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60" windowWidth="19440" windowHeight="8265"/>
  </bookViews>
  <sheets>
    <sheet name="Foglio4" sheetId="4" r:id="rId1"/>
    <sheet name="Foglio1" sheetId="1" r:id="rId2"/>
    <sheet name="Foglio2" sheetId="2" r:id="rId3"/>
    <sheet name="Foglio3" sheetId="3" r:id="rId4"/>
  </sheets>
  <definedNames>
    <definedName name="_xlnm._FilterDatabase" localSheetId="1" hidden="1">Foglio1!$A$1:$BR$2159</definedName>
  </definedNames>
  <calcPr calcId="145621"/>
  <pivotCaches>
    <pivotCache cacheId="0" r:id="rId5"/>
  </pivotCaches>
</workbook>
</file>

<file path=xl/calcChain.xml><?xml version="1.0" encoding="utf-8"?>
<calcChain xmlns="http://schemas.openxmlformats.org/spreadsheetml/2006/main">
  <c r="K375" i="1" l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277" i="1"/>
  <c r="K276" i="1"/>
  <c r="K275" i="1"/>
  <c r="K274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8" i="1"/>
  <c r="K87" i="1"/>
  <c r="K85" i="1"/>
  <c r="K84" i="1"/>
  <c r="K83" i="1"/>
  <c r="K82" i="1"/>
  <c r="K81" i="1"/>
  <c r="K80" i="1"/>
  <c r="K79" i="1"/>
  <c r="K78" i="1"/>
  <c r="K75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3" i="1"/>
  <c r="K89" i="1"/>
  <c r="K86" i="1"/>
  <c r="K77" i="1"/>
  <c r="K76" i="1"/>
  <c r="K74" i="1"/>
  <c r="K73" i="1"/>
  <c r="K72" i="1"/>
  <c r="K34" i="1"/>
  <c r="K33" i="1"/>
  <c r="K32" i="1"/>
  <c r="K31" i="1"/>
  <c r="K30" i="1"/>
  <c r="K29" i="1"/>
  <c r="C560" i="1"/>
  <c r="E560" i="1"/>
  <c r="F560" i="1"/>
  <c r="G560" i="1"/>
  <c r="H560" i="1"/>
  <c r="L560" i="1"/>
  <c r="M560" i="1"/>
  <c r="N560" i="1"/>
  <c r="O560" i="1"/>
  <c r="P560" i="1"/>
  <c r="Q560" i="1"/>
  <c r="R560" i="1"/>
  <c r="S560" i="1"/>
  <c r="T560" i="1"/>
  <c r="U560" i="1"/>
  <c r="V560" i="1"/>
  <c r="AB560" i="1"/>
  <c r="AI560" i="1"/>
  <c r="AJ560" i="1"/>
  <c r="AK560" i="1"/>
  <c r="AP560" i="1"/>
  <c r="AR560" i="1"/>
  <c r="AY560" i="1"/>
  <c r="BE560" i="1"/>
  <c r="BF560" i="1"/>
  <c r="C561" i="1"/>
  <c r="E561" i="1"/>
  <c r="F561" i="1"/>
  <c r="G561" i="1"/>
  <c r="H561" i="1"/>
  <c r="L561" i="1"/>
  <c r="M561" i="1"/>
  <c r="N561" i="1"/>
  <c r="O561" i="1"/>
  <c r="P561" i="1"/>
  <c r="Q561" i="1"/>
  <c r="R561" i="1"/>
  <c r="S561" i="1"/>
  <c r="T561" i="1"/>
  <c r="U561" i="1"/>
  <c r="V561" i="1"/>
  <c r="AB561" i="1"/>
  <c r="AI561" i="1"/>
  <c r="AJ561" i="1"/>
  <c r="AK561" i="1"/>
  <c r="AP561" i="1"/>
  <c r="AR561" i="1"/>
  <c r="AY561" i="1"/>
  <c r="BE561" i="1"/>
  <c r="BF561" i="1"/>
  <c r="C562" i="1"/>
  <c r="E562" i="1"/>
  <c r="F562" i="1"/>
  <c r="G562" i="1"/>
  <c r="H562" i="1"/>
  <c r="L562" i="1"/>
  <c r="M562" i="1"/>
  <c r="N562" i="1"/>
  <c r="O562" i="1"/>
  <c r="P562" i="1"/>
  <c r="Q562" i="1"/>
  <c r="R562" i="1"/>
  <c r="S562" i="1"/>
  <c r="T562" i="1"/>
  <c r="U562" i="1"/>
  <c r="V562" i="1"/>
  <c r="AB562" i="1"/>
  <c r="AI562" i="1"/>
  <c r="AJ562" i="1"/>
  <c r="AK562" i="1"/>
  <c r="AP562" i="1"/>
  <c r="AR562" i="1"/>
  <c r="AY562" i="1"/>
  <c r="BE562" i="1"/>
  <c r="BF562" i="1"/>
  <c r="C563" i="1"/>
  <c r="E563" i="1"/>
  <c r="F563" i="1"/>
  <c r="G563" i="1"/>
  <c r="H563" i="1"/>
  <c r="L563" i="1"/>
  <c r="M563" i="1"/>
  <c r="N563" i="1"/>
  <c r="O563" i="1"/>
  <c r="P563" i="1"/>
  <c r="Q563" i="1"/>
  <c r="R563" i="1"/>
  <c r="S563" i="1"/>
  <c r="T563" i="1"/>
  <c r="U563" i="1"/>
  <c r="V563" i="1"/>
  <c r="AB563" i="1"/>
  <c r="AI563" i="1"/>
  <c r="AJ563" i="1"/>
  <c r="AK563" i="1"/>
  <c r="AP563" i="1"/>
  <c r="AR563" i="1"/>
  <c r="AY563" i="1"/>
  <c r="BE563" i="1"/>
  <c r="BF563" i="1"/>
  <c r="C564" i="1"/>
  <c r="E564" i="1"/>
  <c r="F564" i="1"/>
  <c r="G564" i="1"/>
  <c r="H564" i="1"/>
  <c r="L564" i="1"/>
  <c r="M564" i="1"/>
  <c r="N564" i="1"/>
  <c r="O564" i="1"/>
  <c r="P564" i="1"/>
  <c r="Q564" i="1"/>
  <c r="R564" i="1"/>
  <c r="S564" i="1"/>
  <c r="T564" i="1"/>
  <c r="U564" i="1"/>
  <c r="V564" i="1"/>
  <c r="AB564" i="1"/>
  <c r="AI564" i="1"/>
  <c r="AJ564" i="1"/>
  <c r="AK564" i="1"/>
  <c r="AP564" i="1"/>
  <c r="AR564" i="1"/>
  <c r="AY564" i="1"/>
  <c r="BE564" i="1"/>
  <c r="BF564" i="1"/>
  <c r="C565" i="1"/>
  <c r="E565" i="1"/>
  <c r="F565" i="1"/>
  <c r="G565" i="1"/>
  <c r="H565" i="1"/>
  <c r="L565" i="1"/>
  <c r="M565" i="1"/>
  <c r="N565" i="1"/>
  <c r="O565" i="1"/>
  <c r="P565" i="1"/>
  <c r="Q565" i="1"/>
  <c r="R565" i="1"/>
  <c r="S565" i="1"/>
  <c r="T565" i="1"/>
  <c r="U565" i="1"/>
  <c r="V565" i="1"/>
  <c r="AI565" i="1"/>
  <c r="AJ565" i="1"/>
  <c r="AK565" i="1"/>
  <c r="AP565" i="1"/>
  <c r="AR565" i="1"/>
  <c r="AY565" i="1"/>
  <c r="BE565" i="1"/>
  <c r="BF565" i="1"/>
  <c r="C566" i="1"/>
  <c r="E566" i="1"/>
  <c r="F566" i="1"/>
  <c r="G566" i="1"/>
  <c r="H566" i="1"/>
  <c r="L566" i="1"/>
  <c r="M566" i="1"/>
  <c r="N566" i="1"/>
  <c r="O566" i="1"/>
  <c r="P566" i="1"/>
  <c r="Q566" i="1"/>
  <c r="R566" i="1"/>
  <c r="S566" i="1"/>
  <c r="T566" i="1"/>
  <c r="U566" i="1"/>
  <c r="V566" i="1"/>
  <c r="AI566" i="1"/>
  <c r="AJ566" i="1"/>
  <c r="AK566" i="1"/>
  <c r="AP566" i="1"/>
  <c r="AR566" i="1"/>
  <c r="AY566" i="1"/>
  <c r="BE566" i="1"/>
  <c r="BF566" i="1"/>
  <c r="C567" i="1"/>
  <c r="E567" i="1"/>
  <c r="F567" i="1"/>
  <c r="G567" i="1"/>
  <c r="H567" i="1"/>
  <c r="L567" i="1"/>
  <c r="M567" i="1"/>
  <c r="N567" i="1"/>
  <c r="O567" i="1"/>
  <c r="P567" i="1"/>
  <c r="Q567" i="1"/>
  <c r="R567" i="1"/>
  <c r="S567" i="1"/>
  <c r="T567" i="1"/>
  <c r="U567" i="1"/>
  <c r="V567" i="1"/>
  <c r="AI567" i="1"/>
  <c r="AJ567" i="1"/>
  <c r="AK567" i="1"/>
  <c r="AP567" i="1"/>
  <c r="AR567" i="1"/>
  <c r="AY567" i="1"/>
  <c r="BE567" i="1"/>
  <c r="BF567" i="1"/>
  <c r="C568" i="1"/>
  <c r="E568" i="1"/>
  <c r="F568" i="1"/>
  <c r="G568" i="1"/>
  <c r="H568" i="1"/>
  <c r="L568" i="1"/>
  <c r="M568" i="1"/>
  <c r="N568" i="1"/>
  <c r="O568" i="1"/>
  <c r="P568" i="1"/>
  <c r="Q568" i="1"/>
  <c r="R568" i="1"/>
  <c r="S568" i="1"/>
  <c r="T568" i="1"/>
  <c r="U568" i="1"/>
  <c r="V568" i="1"/>
  <c r="AI568" i="1"/>
  <c r="AJ568" i="1"/>
  <c r="AK568" i="1"/>
  <c r="AP568" i="1"/>
  <c r="AR568" i="1"/>
  <c r="AY568" i="1"/>
  <c r="BE568" i="1"/>
  <c r="BF568" i="1"/>
  <c r="C569" i="1"/>
  <c r="E569" i="1"/>
  <c r="F569" i="1"/>
  <c r="G569" i="1"/>
  <c r="H569" i="1"/>
  <c r="L569" i="1"/>
  <c r="M569" i="1"/>
  <c r="N569" i="1"/>
  <c r="O569" i="1"/>
  <c r="P569" i="1"/>
  <c r="Q569" i="1"/>
  <c r="R569" i="1"/>
  <c r="S569" i="1"/>
  <c r="T569" i="1"/>
  <c r="U569" i="1"/>
  <c r="V569" i="1"/>
  <c r="AI569" i="1"/>
  <c r="AJ569" i="1"/>
  <c r="AK569" i="1"/>
  <c r="AP569" i="1"/>
  <c r="AR569" i="1"/>
  <c r="AY569" i="1"/>
  <c r="BE569" i="1"/>
  <c r="BF569" i="1"/>
  <c r="C570" i="1"/>
  <c r="E570" i="1"/>
  <c r="F570" i="1"/>
  <c r="G570" i="1"/>
  <c r="H570" i="1"/>
  <c r="L570" i="1"/>
  <c r="M570" i="1"/>
  <c r="N570" i="1"/>
  <c r="O570" i="1"/>
  <c r="P570" i="1"/>
  <c r="Q570" i="1"/>
  <c r="R570" i="1"/>
  <c r="S570" i="1"/>
  <c r="T570" i="1"/>
  <c r="U570" i="1"/>
  <c r="V570" i="1"/>
  <c r="AI570" i="1"/>
  <c r="AJ570" i="1"/>
  <c r="AK570" i="1"/>
  <c r="AP570" i="1"/>
  <c r="AR570" i="1"/>
  <c r="AY570" i="1"/>
  <c r="BE570" i="1"/>
  <c r="BF570" i="1"/>
  <c r="C571" i="1"/>
  <c r="E571" i="1"/>
  <c r="F571" i="1"/>
  <c r="G571" i="1"/>
  <c r="H571" i="1"/>
  <c r="L571" i="1"/>
  <c r="M571" i="1"/>
  <c r="N571" i="1"/>
  <c r="O571" i="1"/>
  <c r="P571" i="1"/>
  <c r="Q571" i="1"/>
  <c r="R571" i="1"/>
  <c r="S571" i="1"/>
  <c r="T571" i="1"/>
  <c r="U571" i="1"/>
  <c r="V571" i="1"/>
  <c r="AI571" i="1"/>
  <c r="AJ571" i="1"/>
  <c r="AK571" i="1"/>
  <c r="AP571" i="1"/>
  <c r="AR571" i="1"/>
  <c r="AY571" i="1"/>
  <c r="BE571" i="1"/>
  <c r="BF571" i="1"/>
  <c r="C572" i="1"/>
  <c r="E572" i="1"/>
  <c r="F572" i="1"/>
  <c r="G572" i="1"/>
  <c r="H572" i="1"/>
  <c r="L572" i="1"/>
  <c r="M572" i="1"/>
  <c r="N572" i="1"/>
  <c r="O572" i="1"/>
  <c r="P572" i="1"/>
  <c r="Q572" i="1"/>
  <c r="R572" i="1"/>
  <c r="S572" i="1"/>
  <c r="T572" i="1"/>
  <c r="U572" i="1"/>
  <c r="V572" i="1"/>
  <c r="AI572" i="1"/>
  <c r="AJ572" i="1"/>
  <c r="AK572" i="1"/>
  <c r="AP572" i="1"/>
  <c r="AR572" i="1"/>
  <c r="AY572" i="1"/>
  <c r="BE572" i="1"/>
  <c r="BF572" i="1"/>
  <c r="C573" i="1"/>
  <c r="E573" i="1"/>
  <c r="F573" i="1"/>
  <c r="G573" i="1"/>
  <c r="H573" i="1"/>
  <c r="L573" i="1"/>
  <c r="M573" i="1"/>
  <c r="N573" i="1"/>
  <c r="O573" i="1"/>
  <c r="P573" i="1"/>
  <c r="Q573" i="1"/>
  <c r="R573" i="1"/>
  <c r="S573" i="1"/>
  <c r="T573" i="1"/>
  <c r="U573" i="1"/>
  <c r="V573" i="1"/>
  <c r="AI573" i="1"/>
  <c r="AJ573" i="1"/>
  <c r="AK573" i="1"/>
  <c r="AP573" i="1"/>
  <c r="AR573" i="1"/>
  <c r="AY573" i="1"/>
  <c r="BE573" i="1"/>
  <c r="BF573" i="1"/>
  <c r="C574" i="1"/>
  <c r="E574" i="1"/>
  <c r="F574" i="1"/>
  <c r="G574" i="1"/>
  <c r="H574" i="1"/>
  <c r="L574" i="1"/>
  <c r="M574" i="1"/>
  <c r="N574" i="1"/>
  <c r="O574" i="1"/>
  <c r="P574" i="1"/>
  <c r="Q574" i="1"/>
  <c r="R574" i="1"/>
  <c r="S574" i="1"/>
  <c r="T574" i="1"/>
  <c r="U574" i="1"/>
  <c r="V574" i="1"/>
  <c r="AI574" i="1"/>
  <c r="AJ574" i="1"/>
  <c r="AK574" i="1"/>
  <c r="AP574" i="1"/>
  <c r="AR574" i="1"/>
  <c r="AY574" i="1"/>
  <c r="BE574" i="1"/>
  <c r="BF574" i="1"/>
  <c r="C575" i="1"/>
  <c r="E575" i="1"/>
  <c r="F575" i="1"/>
  <c r="G575" i="1"/>
  <c r="H575" i="1"/>
  <c r="L575" i="1"/>
  <c r="M575" i="1"/>
  <c r="N575" i="1"/>
  <c r="O575" i="1"/>
  <c r="P575" i="1"/>
  <c r="Q575" i="1"/>
  <c r="R575" i="1"/>
  <c r="S575" i="1"/>
  <c r="T575" i="1"/>
  <c r="U575" i="1"/>
  <c r="V575" i="1"/>
  <c r="AI575" i="1"/>
  <c r="AJ575" i="1"/>
  <c r="AK575" i="1"/>
  <c r="AP575" i="1"/>
  <c r="AR575" i="1"/>
  <c r="AY575" i="1"/>
  <c r="BE575" i="1"/>
  <c r="BF575" i="1"/>
  <c r="C576" i="1"/>
  <c r="E576" i="1"/>
  <c r="F576" i="1"/>
  <c r="G576" i="1"/>
  <c r="H576" i="1"/>
  <c r="L576" i="1"/>
  <c r="M576" i="1"/>
  <c r="N576" i="1"/>
  <c r="O576" i="1"/>
  <c r="P576" i="1"/>
  <c r="Q576" i="1"/>
  <c r="R576" i="1"/>
  <c r="S576" i="1"/>
  <c r="T576" i="1"/>
  <c r="U576" i="1"/>
  <c r="V576" i="1"/>
  <c r="AI576" i="1"/>
  <c r="AJ576" i="1"/>
  <c r="AK576" i="1"/>
  <c r="AP576" i="1"/>
  <c r="AR576" i="1"/>
  <c r="AY576" i="1"/>
  <c r="BE576" i="1"/>
  <c r="BF576" i="1"/>
  <c r="C577" i="1"/>
  <c r="E577" i="1"/>
  <c r="F577" i="1"/>
  <c r="G577" i="1"/>
  <c r="H577" i="1"/>
  <c r="L577" i="1"/>
  <c r="M577" i="1"/>
  <c r="N577" i="1"/>
  <c r="O577" i="1"/>
  <c r="P577" i="1"/>
  <c r="Q577" i="1"/>
  <c r="R577" i="1"/>
  <c r="S577" i="1"/>
  <c r="T577" i="1"/>
  <c r="U577" i="1"/>
  <c r="V577" i="1"/>
  <c r="AI577" i="1"/>
  <c r="AJ577" i="1"/>
  <c r="AK577" i="1"/>
  <c r="AP577" i="1"/>
  <c r="AR577" i="1"/>
  <c r="AY577" i="1"/>
  <c r="BE577" i="1"/>
  <c r="BF577" i="1"/>
  <c r="C578" i="1"/>
  <c r="E578" i="1"/>
  <c r="F578" i="1"/>
  <c r="G578" i="1"/>
  <c r="H578" i="1"/>
  <c r="L578" i="1"/>
  <c r="M578" i="1"/>
  <c r="N578" i="1"/>
  <c r="O578" i="1"/>
  <c r="P578" i="1"/>
  <c r="Q578" i="1"/>
  <c r="R578" i="1"/>
  <c r="S578" i="1"/>
  <c r="T578" i="1"/>
  <c r="U578" i="1"/>
  <c r="V578" i="1"/>
  <c r="AI578" i="1"/>
  <c r="AJ578" i="1"/>
  <c r="AK578" i="1"/>
  <c r="AP578" i="1"/>
  <c r="AR578" i="1"/>
  <c r="AY578" i="1"/>
  <c r="BE578" i="1"/>
  <c r="BF578" i="1"/>
  <c r="C579" i="1"/>
  <c r="E579" i="1"/>
  <c r="F579" i="1"/>
  <c r="G579" i="1"/>
  <c r="H579" i="1"/>
  <c r="L579" i="1"/>
  <c r="M579" i="1"/>
  <c r="N579" i="1"/>
  <c r="O579" i="1"/>
  <c r="P579" i="1"/>
  <c r="Q579" i="1"/>
  <c r="R579" i="1"/>
  <c r="S579" i="1"/>
  <c r="T579" i="1"/>
  <c r="U579" i="1"/>
  <c r="V579" i="1"/>
  <c r="AI579" i="1"/>
  <c r="AJ579" i="1"/>
  <c r="AK579" i="1"/>
  <c r="AP579" i="1"/>
  <c r="AR579" i="1"/>
  <c r="AY579" i="1"/>
  <c r="BE579" i="1"/>
  <c r="BF579" i="1"/>
  <c r="C580" i="1"/>
  <c r="E580" i="1"/>
  <c r="F580" i="1"/>
  <c r="G580" i="1"/>
  <c r="H580" i="1"/>
  <c r="L580" i="1"/>
  <c r="M580" i="1"/>
  <c r="N580" i="1"/>
  <c r="O580" i="1"/>
  <c r="P580" i="1"/>
  <c r="Q580" i="1"/>
  <c r="R580" i="1"/>
  <c r="S580" i="1"/>
  <c r="T580" i="1"/>
  <c r="U580" i="1"/>
  <c r="V580" i="1"/>
  <c r="AI580" i="1"/>
  <c r="AJ580" i="1"/>
  <c r="AK580" i="1"/>
  <c r="AP580" i="1"/>
  <c r="AR580" i="1"/>
  <c r="AY580" i="1"/>
  <c r="BE580" i="1"/>
  <c r="BF580" i="1"/>
  <c r="C581" i="1"/>
  <c r="E581" i="1"/>
  <c r="F581" i="1"/>
  <c r="G581" i="1"/>
  <c r="H581" i="1"/>
  <c r="L581" i="1"/>
  <c r="M581" i="1"/>
  <c r="N581" i="1"/>
  <c r="O581" i="1"/>
  <c r="P581" i="1"/>
  <c r="Q581" i="1"/>
  <c r="R581" i="1"/>
  <c r="S581" i="1"/>
  <c r="T581" i="1"/>
  <c r="U581" i="1"/>
  <c r="V581" i="1"/>
  <c r="AI581" i="1"/>
  <c r="AJ581" i="1"/>
  <c r="AK581" i="1"/>
  <c r="AP581" i="1"/>
  <c r="AR581" i="1"/>
  <c r="AY581" i="1"/>
  <c r="BE581" i="1"/>
  <c r="BF581" i="1"/>
  <c r="C582" i="1"/>
  <c r="E582" i="1"/>
  <c r="F582" i="1"/>
  <c r="G582" i="1"/>
  <c r="H582" i="1"/>
  <c r="L582" i="1"/>
  <c r="M582" i="1"/>
  <c r="N582" i="1"/>
  <c r="O582" i="1"/>
  <c r="P582" i="1"/>
  <c r="Q582" i="1"/>
  <c r="R582" i="1"/>
  <c r="S582" i="1"/>
  <c r="T582" i="1"/>
  <c r="U582" i="1"/>
  <c r="V582" i="1"/>
  <c r="AI582" i="1"/>
  <c r="AJ582" i="1"/>
  <c r="AK582" i="1"/>
  <c r="AP582" i="1"/>
  <c r="AR582" i="1"/>
  <c r="AY582" i="1"/>
  <c r="BE582" i="1"/>
  <c r="BF582" i="1"/>
  <c r="C583" i="1"/>
  <c r="E583" i="1"/>
  <c r="F583" i="1"/>
  <c r="G583" i="1"/>
  <c r="H583" i="1"/>
  <c r="L583" i="1"/>
  <c r="M583" i="1"/>
  <c r="N583" i="1"/>
  <c r="O583" i="1"/>
  <c r="P583" i="1"/>
  <c r="Q583" i="1"/>
  <c r="R583" i="1"/>
  <c r="S583" i="1"/>
  <c r="T583" i="1"/>
  <c r="U583" i="1"/>
  <c r="V583" i="1"/>
  <c r="AI583" i="1"/>
  <c r="AJ583" i="1"/>
  <c r="AK583" i="1"/>
  <c r="AP583" i="1"/>
  <c r="AR583" i="1"/>
  <c r="AY583" i="1"/>
  <c r="BE583" i="1"/>
  <c r="BF583" i="1"/>
  <c r="C584" i="1"/>
  <c r="E584" i="1"/>
  <c r="F584" i="1"/>
  <c r="G584" i="1"/>
  <c r="H584" i="1"/>
  <c r="L584" i="1"/>
  <c r="M584" i="1"/>
  <c r="N584" i="1"/>
  <c r="O584" i="1"/>
  <c r="P584" i="1"/>
  <c r="Q584" i="1"/>
  <c r="R584" i="1"/>
  <c r="S584" i="1"/>
  <c r="T584" i="1"/>
  <c r="U584" i="1"/>
  <c r="V584" i="1"/>
  <c r="AI584" i="1"/>
  <c r="AJ584" i="1"/>
  <c r="AK584" i="1"/>
  <c r="AP584" i="1"/>
  <c r="AR584" i="1"/>
  <c r="AY584" i="1"/>
  <c r="BE584" i="1"/>
  <c r="BF584" i="1"/>
  <c r="C585" i="1"/>
  <c r="E585" i="1"/>
  <c r="F585" i="1"/>
  <c r="G585" i="1"/>
  <c r="H585" i="1"/>
  <c r="L585" i="1"/>
  <c r="M585" i="1"/>
  <c r="N585" i="1"/>
  <c r="O585" i="1"/>
  <c r="P585" i="1"/>
  <c r="Q585" i="1"/>
  <c r="R585" i="1"/>
  <c r="S585" i="1"/>
  <c r="T585" i="1"/>
  <c r="U585" i="1"/>
  <c r="V585" i="1"/>
  <c r="AI585" i="1"/>
  <c r="AJ585" i="1"/>
  <c r="AK585" i="1"/>
  <c r="AP585" i="1"/>
  <c r="AR585" i="1"/>
  <c r="AY585" i="1"/>
  <c r="BE585" i="1"/>
  <c r="BF585" i="1"/>
  <c r="C1398" i="1"/>
  <c r="E1398" i="1"/>
  <c r="F1398" i="1"/>
  <c r="G1398" i="1"/>
  <c r="H1398" i="1"/>
  <c r="L1398" i="1"/>
  <c r="M1398" i="1"/>
  <c r="N1398" i="1"/>
  <c r="O1398" i="1"/>
  <c r="P1398" i="1"/>
  <c r="Q1398" i="1"/>
  <c r="R1398" i="1"/>
  <c r="S1398" i="1"/>
  <c r="T1398" i="1"/>
  <c r="U1398" i="1"/>
  <c r="V1398" i="1"/>
  <c r="AB1398" i="1"/>
  <c r="AI1398" i="1"/>
  <c r="AJ1398" i="1"/>
  <c r="AK1398" i="1"/>
  <c r="AP1398" i="1"/>
  <c r="AR1398" i="1"/>
  <c r="AY1398" i="1"/>
  <c r="BE1398" i="1"/>
  <c r="BF1398" i="1"/>
  <c r="C1399" i="1"/>
  <c r="E1399" i="1"/>
  <c r="F1399" i="1"/>
  <c r="G1399" i="1"/>
  <c r="H1399" i="1"/>
  <c r="L1399" i="1"/>
  <c r="M1399" i="1"/>
  <c r="N1399" i="1"/>
  <c r="O1399" i="1"/>
  <c r="P1399" i="1"/>
  <c r="Q1399" i="1"/>
  <c r="R1399" i="1"/>
  <c r="S1399" i="1"/>
  <c r="T1399" i="1"/>
  <c r="U1399" i="1"/>
  <c r="V1399" i="1"/>
  <c r="AB1399" i="1"/>
  <c r="AI1399" i="1"/>
  <c r="AJ1399" i="1"/>
  <c r="AK1399" i="1"/>
  <c r="AP1399" i="1"/>
  <c r="AR1399" i="1"/>
  <c r="AY1399" i="1"/>
  <c r="BE1399" i="1"/>
  <c r="BF1399" i="1"/>
  <c r="C1400" i="1"/>
  <c r="E1400" i="1"/>
  <c r="F1400" i="1"/>
  <c r="G1400" i="1"/>
  <c r="H1400" i="1"/>
  <c r="L1400" i="1"/>
  <c r="M1400" i="1"/>
  <c r="N1400" i="1"/>
  <c r="O1400" i="1"/>
  <c r="P1400" i="1"/>
  <c r="Q1400" i="1"/>
  <c r="R1400" i="1"/>
  <c r="S1400" i="1"/>
  <c r="T1400" i="1"/>
  <c r="U1400" i="1"/>
  <c r="V1400" i="1"/>
  <c r="AB1400" i="1"/>
  <c r="AI1400" i="1"/>
  <c r="AJ1400" i="1"/>
  <c r="AK1400" i="1"/>
  <c r="AP1400" i="1"/>
  <c r="AR1400" i="1"/>
  <c r="AY1400" i="1"/>
  <c r="BE1400" i="1"/>
  <c r="BF1400" i="1"/>
  <c r="C1401" i="1"/>
  <c r="E1401" i="1"/>
  <c r="F1401" i="1"/>
  <c r="G1401" i="1"/>
  <c r="H1401" i="1"/>
  <c r="L1401" i="1"/>
  <c r="M1401" i="1"/>
  <c r="N1401" i="1"/>
  <c r="O1401" i="1"/>
  <c r="P1401" i="1"/>
  <c r="Q1401" i="1"/>
  <c r="R1401" i="1"/>
  <c r="S1401" i="1"/>
  <c r="T1401" i="1"/>
  <c r="U1401" i="1"/>
  <c r="V1401" i="1"/>
  <c r="AB1401" i="1"/>
  <c r="AI1401" i="1"/>
  <c r="AJ1401" i="1"/>
  <c r="AK1401" i="1"/>
  <c r="AP1401" i="1"/>
  <c r="AR1401" i="1"/>
  <c r="AY1401" i="1"/>
  <c r="BE1401" i="1"/>
  <c r="BF1401" i="1"/>
  <c r="C1402" i="1"/>
  <c r="E1402" i="1"/>
  <c r="F1402" i="1"/>
  <c r="G1402" i="1"/>
  <c r="H1402" i="1"/>
  <c r="L1402" i="1"/>
  <c r="M1402" i="1"/>
  <c r="N1402" i="1"/>
  <c r="O1402" i="1"/>
  <c r="P1402" i="1"/>
  <c r="Q1402" i="1"/>
  <c r="R1402" i="1"/>
  <c r="S1402" i="1"/>
  <c r="T1402" i="1"/>
  <c r="U1402" i="1"/>
  <c r="V1402" i="1"/>
  <c r="AB1402" i="1"/>
  <c r="AI1402" i="1"/>
  <c r="AJ1402" i="1"/>
  <c r="AK1402" i="1"/>
  <c r="AP1402" i="1"/>
  <c r="AR1402" i="1"/>
  <c r="AY1402" i="1"/>
  <c r="BE1402" i="1"/>
  <c r="BF1402" i="1"/>
  <c r="C1403" i="1"/>
  <c r="E1403" i="1"/>
  <c r="F1403" i="1"/>
  <c r="G1403" i="1"/>
  <c r="H1403" i="1"/>
  <c r="L1403" i="1"/>
  <c r="M1403" i="1"/>
  <c r="N1403" i="1"/>
  <c r="O1403" i="1"/>
  <c r="P1403" i="1"/>
  <c r="Q1403" i="1"/>
  <c r="R1403" i="1"/>
  <c r="S1403" i="1"/>
  <c r="T1403" i="1"/>
  <c r="U1403" i="1"/>
  <c r="V1403" i="1"/>
  <c r="AB1403" i="1"/>
  <c r="AI1403" i="1"/>
  <c r="AJ1403" i="1"/>
  <c r="AK1403" i="1"/>
  <c r="AP1403" i="1"/>
  <c r="AR1403" i="1"/>
  <c r="AY1403" i="1"/>
  <c r="BE1403" i="1"/>
  <c r="BF1403" i="1"/>
  <c r="C1404" i="1"/>
  <c r="E1404" i="1"/>
  <c r="F1404" i="1"/>
  <c r="G1404" i="1"/>
  <c r="H1404" i="1"/>
  <c r="L1404" i="1"/>
  <c r="M1404" i="1"/>
  <c r="N1404" i="1"/>
  <c r="O1404" i="1"/>
  <c r="P1404" i="1"/>
  <c r="Q1404" i="1"/>
  <c r="R1404" i="1"/>
  <c r="S1404" i="1"/>
  <c r="T1404" i="1"/>
  <c r="U1404" i="1"/>
  <c r="V1404" i="1"/>
  <c r="AB1404" i="1"/>
  <c r="AI1404" i="1"/>
  <c r="AJ1404" i="1"/>
  <c r="AK1404" i="1"/>
  <c r="AP1404" i="1"/>
  <c r="AR1404" i="1"/>
  <c r="AY1404" i="1"/>
  <c r="BE1404" i="1"/>
  <c r="BF1404" i="1"/>
  <c r="C1405" i="1"/>
  <c r="E1405" i="1"/>
  <c r="F1405" i="1"/>
  <c r="G1405" i="1"/>
  <c r="H1405" i="1"/>
  <c r="L1405" i="1"/>
  <c r="M1405" i="1"/>
  <c r="N1405" i="1"/>
  <c r="O1405" i="1"/>
  <c r="P1405" i="1"/>
  <c r="Q1405" i="1"/>
  <c r="R1405" i="1"/>
  <c r="S1405" i="1"/>
  <c r="T1405" i="1"/>
  <c r="U1405" i="1"/>
  <c r="V1405" i="1"/>
  <c r="AB1405" i="1"/>
  <c r="AI1405" i="1"/>
  <c r="AJ1405" i="1"/>
  <c r="AK1405" i="1"/>
  <c r="AP1405" i="1"/>
  <c r="AR1405" i="1"/>
  <c r="AY1405" i="1"/>
  <c r="BE1405" i="1"/>
  <c r="BF1405" i="1"/>
  <c r="C1406" i="1"/>
  <c r="E1406" i="1"/>
  <c r="F1406" i="1"/>
  <c r="G1406" i="1"/>
  <c r="H1406" i="1"/>
  <c r="L1406" i="1"/>
  <c r="M1406" i="1"/>
  <c r="N1406" i="1"/>
  <c r="O1406" i="1"/>
  <c r="P1406" i="1"/>
  <c r="Q1406" i="1"/>
  <c r="R1406" i="1"/>
  <c r="S1406" i="1"/>
  <c r="T1406" i="1"/>
  <c r="U1406" i="1"/>
  <c r="V1406" i="1"/>
  <c r="AB1406" i="1"/>
  <c r="AI1406" i="1"/>
  <c r="AJ1406" i="1"/>
  <c r="AK1406" i="1"/>
  <c r="AP1406" i="1"/>
  <c r="AR1406" i="1"/>
  <c r="AY1406" i="1"/>
  <c r="BE1406" i="1"/>
  <c r="BF1406" i="1"/>
  <c r="C1407" i="1"/>
  <c r="E1407" i="1"/>
  <c r="F1407" i="1"/>
  <c r="G1407" i="1"/>
  <c r="H1407" i="1"/>
  <c r="L1407" i="1"/>
  <c r="M1407" i="1"/>
  <c r="N1407" i="1"/>
  <c r="O1407" i="1"/>
  <c r="P1407" i="1"/>
  <c r="Q1407" i="1"/>
  <c r="R1407" i="1"/>
  <c r="S1407" i="1"/>
  <c r="T1407" i="1"/>
  <c r="U1407" i="1"/>
  <c r="V1407" i="1"/>
  <c r="AB1407" i="1"/>
  <c r="AI1407" i="1"/>
  <c r="AJ1407" i="1"/>
  <c r="AK1407" i="1"/>
  <c r="AP1407" i="1"/>
  <c r="AR1407" i="1"/>
  <c r="AY1407" i="1"/>
  <c r="BE1407" i="1"/>
  <c r="BF1407" i="1"/>
  <c r="C1408" i="1"/>
  <c r="E1408" i="1"/>
  <c r="F1408" i="1"/>
  <c r="G1408" i="1"/>
  <c r="H1408" i="1"/>
  <c r="L1408" i="1"/>
  <c r="M1408" i="1"/>
  <c r="N1408" i="1"/>
  <c r="O1408" i="1"/>
  <c r="P1408" i="1"/>
  <c r="Q1408" i="1"/>
  <c r="R1408" i="1"/>
  <c r="S1408" i="1"/>
  <c r="T1408" i="1"/>
  <c r="U1408" i="1"/>
  <c r="V1408" i="1"/>
  <c r="AB1408" i="1"/>
  <c r="AI1408" i="1"/>
  <c r="AJ1408" i="1"/>
  <c r="AK1408" i="1"/>
  <c r="AP1408" i="1"/>
  <c r="AR1408" i="1"/>
  <c r="AY1408" i="1"/>
  <c r="BE1408" i="1"/>
  <c r="BF1408" i="1"/>
  <c r="C1409" i="1"/>
  <c r="E1409" i="1"/>
  <c r="F1409" i="1"/>
  <c r="G1409" i="1"/>
  <c r="H1409" i="1"/>
  <c r="L1409" i="1"/>
  <c r="M1409" i="1"/>
  <c r="N1409" i="1"/>
  <c r="O1409" i="1"/>
  <c r="P1409" i="1"/>
  <c r="Q1409" i="1"/>
  <c r="R1409" i="1"/>
  <c r="S1409" i="1"/>
  <c r="T1409" i="1"/>
  <c r="U1409" i="1"/>
  <c r="V1409" i="1"/>
  <c r="AB1409" i="1"/>
  <c r="AI1409" i="1"/>
  <c r="AJ1409" i="1"/>
  <c r="AK1409" i="1"/>
  <c r="AP1409" i="1"/>
  <c r="AR1409" i="1"/>
  <c r="AY1409" i="1"/>
  <c r="BE1409" i="1"/>
  <c r="BF1409" i="1"/>
  <c r="C1410" i="1"/>
  <c r="E1410" i="1"/>
  <c r="F1410" i="1"/>
  <c r="G1410" i="1"/>
  <c r="H1410" i="1"/>
  <c r="L1410" i="1"/>
  <c r="M1410" i="1"/>
  <c r="N1410" i="1"/>
  <c r="O1410" i="1"/>
  <c r="P1410" i="1"/>
  <c r="Q1410" i="1"/>
  <c r="R1410" i="1"/>
  <c r="S1410" i="1"/>
  <c r="T1410" i="1"/>
  <c r="U1410" i="1"/>
  <c r="V1410" i="1"/>
  <c r="AB1410" i="1"/>
  <c r="AI1410" i="1"/>
  <c r="AJ1410" i="1"/>
  <c r="AK1410" i="1"/>
  <c r="AP1410" i="1"/>
  <c r="AR1410" i="1"/>
  <c r="AY1410" i="1"/>
  <c r="BE1410" i="1"/>
  <c r="BF1410" i="1"/>
  <c r="C1411" i="1"/>
  <c r="E1411" i="1"/>
  <c r="F1411" i="1"/>
  <c r="G1411" i="1"/>
  <c r="H1411" i="1"/>
  <c r="L1411" i="1"/>
  <c r="M1411" i="1"/>
  <c r="N1411" i="1"/>
  <c r="O1411" i="1"/>
  <c r="P1411" i="1"/>
  <c r="Q1411" i="1"/>
  <c r="R1411" i="1"/>
  <c r="S1411" i="1"/>
  <c r="T1411" i="1"/>
  <c r="U1411" i="1"/>
  <c r="V1411" i="1"/>
  <c r="AB1411" i="1"/>
  <c r="AI1411" i="1"/>
  <c r="AJ1411" i="1"/>
  <c r="AK1411" i="1"/>
  <c r="AP1411" i="1"/>
  <c r="AR1411" i="1"/>
  <c r="AY1411" i="1"/>
  <c r="BE1411" i="1"/>
  <c r="BF1411" i="1"/>
  <c r="C1412" i="1"/>
  <c r="E1412" i="1"/>
  <c r="F1412" i="1"/>
  <c r="G1412" i="1"/>
  <c r="H1412" i="1"/>
  <c r="L1412" i="1"/>
  <c r="M1412" i="1"/>
  <c r="N1412" i="1"/>
  <c r="O1412" i="1"/>
  <c r="P1412" i="1"/>
  <c r="Q1412" i="1"/>
  <c r="R1412" i="1"/>
  <c r="S1412" i="1"/>
  <c r="T1412" i="1"/>
  <c r="U1412" i="1"/>
  <c r="V1412" i="1"/>
  <c r="AB1412" i="1"/>
  <c r="AI1412" i="1"/>
  <c r="AJ1412" i="1"/>
  <c r="AK1412" i="1"/>
  <c r="AP1412" i="1"/>
  <c r="AR1412" i="1"/>
  <c r="AY1412" i="1"/>
  <c r="BE1412" i="1"/>
  <c r="BF1412" i="1"/>
  <c r="C1413" i="1"/>
  <c r="E1413" i="1"/>
  <c r="F1413" i="1"/>
  <c r="G1413" i="1"/>
  <c r="H1413" i="1"/>
  <c r="L1413" i="1"/>
  <c r="M1413" i="1"/>
  <c r="N1413" i="1"/>
  <c r="O1413" i="1"/>
  <c r="P1413" i="1"/>
  <c r="Q1413" i="1"/>
  <c r="R1413" i="1"/>
  <c r="S1413" i="1"/>
  <c r="T1413" i="1"/>
  <c r="U1413" i="1"/>
  <c r="V1413" i="1"/>
  <c r="AB1413" i="1"/>
  <c r="AI1413" i="1"/>
  <c r="AJ1413" i="1"/>
  <c r="AK1413" i="1"/>
  <c r="AP1413" i="1"/>
  <c r="AR1413" i="1"/>
  <c r="AY1413" i="1"/>
  <c r="BE1413" i="1"/>
  <c r="BF1413" i="1"/>
  <c r="C1414" i="1"/>
  <c r="E1414" i="1"/>
  <c r="F1414" i="1"/>
  <c r="G1414" i="1"/>
  <c r="H1414" i="1"/>
  <c r="L1414" i="1"/>
  <c r="M1414" i="1"/>
  <c r="N1414" i="1"/>
  <c r="O1414" i="1"/>
  <c r="P1414" i="1"/>
  <c r="Q1414" i="1"/>
  <c r="R1414" i="1"/>
  <c r="S1414" i="1"/>
  <c r="T1414" i="1"/>
  <c r="U1414" i="1"/>
  <c r="V1414" i="1"/>
  <c r="AB1414" i="1"/>
  <c r="AI1414" i="1"/>
  <c r="AJ1414" i="1"/>
  <c r="AK1414" i="1"/>
  <c r="AP1414" i="1"/>
  <c r="AR1414" i="1"/>
  <c r="AY1414" i="1"/>
  <c r="BE1414" i="1"/>
  <c r="BF1414" i="1"/>
  <c r="C1415" i="1"/>
  <c r="E1415" i="1"/>
  <c r="F1415" i="1"/>
  <c r="G1415" i="1"/>
  <c r="H1415" i="1"/>
  <c r="L1415" i="1"/>
  <c r="M1415" i="1"/>
  <c r="N1415" i="1"/>
  <c r="O1415" i="1"/>
  <c r="P1415" i="1"/>
  <c r="Q1415" i="1"/>
  <c r="R1415" i="1"/>
  <c r="S1415" i="1"/>
  <c r="T1415" i="1"/>
  <c r="U1415" i="1"/>
  <c r="V1415" i="1"/>
  <c r="AB1415" i="1"/>
  <c r="AI1415" i="1"/>
  <c r="AJ1415" i="1"/>
  <c r="AK1415" i="1"/>
  <c r="AP1415" i="1"/>
  <c r="AR1415" i="1"/>
  <c r="AY1415" i="1"/>
  <c r="BE1415" i="1"/>
  <c r="BF1415" i="1"/>
  <c r="C1416" i="1"/>
  <c r="E1416" i="1"/>
  <c r="F1416" i="1"/>
  <c r="G1416" i="1"/>
  <c r="H1416" i="1"/>
  <c r="L1416" i="1"/>
  <c r="M1416" i="1"/>
  <c r="N1416" i="1"/>
  <c r="O1416" i="1"/>
  <c r="P1416" i="1"/>
  <c r="Q1416" i="1"/>
  <c r="R1416" i="1"/>
  <c r="S1416" i="1"/>
  <c r="T1416" i="1"/>
  <c r="U1416" i="1"/>
  <c r="V1416" i="1"/>
  <c r="AB1416" i="1"/>
  <c r="AI1416" i="1"/>
  <c r="AJ1416" i="1"/>
  <c r="AK1416" i="1"/>
  <c r="AP1416" i="1"/>
  <c r="AR1416" i="1"/>
  <c r="AY1416" i="1"/>
  <c r="BE1416" i="1"/>
  <c r="BF1416" i="1"/>
  <c r="C1417" i="1"/>
  <c r="E1417" i="1"/>
  <c r="F1417" i="1"/>
  <c r="G1417" i="1"/>
  <c r="H1417" i="1"/>
  <c r="L1417" i="1"/>
  <c r="M1417" i="1"/>
  <c r="N1417" i="1"/>
  <c r="O1417" i="1"/>
  <c r="P1417" i="1"/>
  <c r="Q1417" i="1"/>
  <c r="R1417" i="1"/>
  <c r="S1417" i="1"/>
  <c r="T1417" i="1"/>
  <c r="U1417" i="1"/>
  <c r="V1417" i="1"/>
  <c r="AB1417" i="1"/>
  <c r="AI1417" i="1"/>
  <c r="AJ1417" i="1"/>
  <c r="AK1417" i="1"/>
  <c r="AP1417" i="1"/>
  <c r="AR1417" i="1"/>
  <c r="AY1417" i="1"/>
  <c r="BE1417" i="1"/>
  <c r="BF1417" i="1"/>
  <c r="C1418" i="1"/>
  <c r="E1418" i="1"/>
  <c r="F1418" i="1"/>
  <c r="G1418" i="1"/>
  <c r="H1418" i="1"/>
  <c r="L1418" i="1"/>
  <c r="M1418" i="1"/>
  <c r="N1418" i="1"/>
  <c r="O1418" i="1"/>
  <c r="P1418" i="1"/>
  <c r="Q1418" i="1"/>
  <c r="R1418" i="1"/>
  <c r="S1418" i="1"/>
  <c r="T1418" i="1"/>
  <c r="U1418" i="1"/>
  <c r="V1418" i="1"/>
  <c r="AB1418" i="1"/>
  <c r="AI1418" i="1"/>
  <c r="AJ1418" i="1"/>
  <c r="AK1418" i="1"/>
  <c r="AP1418" i="1"/>
  <c r="AR1418" i="1"/>
  <c r="AY1418" i="1"/>
  <c r="BE1418" i="1"/>
  <c r="BF1418" i="1"/>
  <c r="C1419" i="1"/>
  <c r="E1419" i="1"/>
  <c r="F1419" i="1"/>
  <c r="G1419" i="1"/>
  <c r="H1419" i="1"/>
  <c r="L1419" i="1"/>
  <c r="M1419" i="1"/>
  <c r="N1419" i="1"/>
  <c r="O1419" i="1"/>
  <c r="P1419" i="1"/>
  <c r="Q1419" i="1"/>
  <c r="R1419" i="1"/>
  <c r="S1419" i="1"/>
  <c r="T1419" i="1"/>
  <c r="U1419" i="1"/>
  <c r="V1419" i="1"/>
  <c r="AB1419" i="1"/>
  <c r="AI1419" i="1"/>
  <c r="AJ1419" i="1"/>
  <c r="AK1419" i="1"/>
  <c r="AP1419" i="1"/>
  <c r="AR1419" i="1"/>
  <c r="AY1419" i="1"/>
  <c r="BE1419" i="1"/>
  <c r="BF1419" i="1"/>
  <c r="C1420" i="1"/>
  <c r="E1420" i="1"/>
  <c r="F1420" i="1"/>
  <c r="G1420" i="1"/>
  <c r="H1420" i="1"/>
  <c r="L1420" i="1"/>
  <c r="M1420" i="1"/>
  <c r="N1420" i="1"/>
  <c r="O1420" i="1"/>
  <c r="P1420" i="1"/>
  <c r="Q1420" i="1"/>
  <c r="R1420" i="1"/>
  <c r="S1420" i="1"/>
  <c r="T1420" i="1"/>
  <c r="U1420" i="1"/>
  <c r="V1420" i="1"/>
  <c r="AB1420" i="1"/>
  <c r="AI1420" i="1"/>
  <c r="AJ1420" i="1"/>
  <c r="AK1420" i="1"/>
  <c r="AP1420" i="1"/>
  <c r="AR1420" i="1"/>
  <c r="AY1420" i="1"/>
  <c r="BE1420" i="1"/>
  <c r="BF1420" i="1"/>
  <c r="C1421" i="1"/>
  <c r="E1421" i="1"/>
  <c r="F1421" i="1"/>
  <c r="G1421" i="1"/>
  <c r="H1421" i="1"/>
  <c r="L1421" i="1"/>
  <c r="M1421" i="1"/>
  <c r="N1421" i="1"/>
  <c r="O1421" i="1"/>
  <c r="P1421" i="1"/>
  <c r="Q1421" i="1"/>
  <c r="R1421" i="1"/>
  <c r="S1421" i="1"/>
  <c r="T1421" i="1"/>
  <c r="U1421" i="1"/>
  <c r="V1421" i="1"/>
  <c r="AB1421" i="1"/>
  <c r="AI1421" i="1"/>
  <c r="AJ1421" i="1"/>
  <c r="AK1421" i="1"/>
  <c r="AP1421" i="1"/>
  <c r="AR1421" i="1"/>
  <c r="AY1421" i="1"/>
  <c r="BE1421" i="1"/>
  <c r="BF1421" i="1"/>
  <c r="C1422" i="1"/>
  <c r="E1422" i="1"/>
  <c r="F1422" i="1"/>
  <c r="G1422" i="1"/>
  <c r="H1422" i="1"/>
  <c r="L1422" i="1"/>
  <c r="M1422" i="1"/>
  <c r="N1422" i="1"/>
  <c r="O1422" i="1"/>
  <c r="P1422" i="1"/>
  <c r="Q1422" i="1"/>
  <c r="R1422" i="1"/>
  <c r="S1422" i="1"/>
  <c r="T1422" i="1"/>
  <c r="U1422" i="1"/>
  <c r="V1422" i="1"/>
  <c r="AB1422" i="1"/>
  <c r="AI1422" i="1"/>
  <c r="AJ1422" i="1"/>
  <c r="AK1422" i="1"/>
  <c r="AP1422" i="1"/>
  <c r="AR1422" i="1"/>
  <c r="AY1422" i="1"/>
  <c r="BE1422" i="1"/>
  <c r="BF1422" i="1"/>
  <c r="C1423" i="1"/>
  <c r="E1423" i="1"/>
  <c r="F1423" i="1"/>
  <c r="G1423" i="1"/>
  <c r="H1423" i="1"/>
  <c r="L1423" i="1"/>
  <c r="M1423" i="1"/>
  <c r="N1423" i="1"/>
  <c r="O1423" i="1"/>
  <c r="P1423" i="1"/>
  <c r="Q1423" i="1"/>
  <c r="R1423" i="1"/>
  <c r="S1423" i="1"/>
  <c r="T1423" i="1"/>
  <c r="U1423" i="1"/>
  <c r="V1423" i="1"/>
  <c r="AB1423" i="1"/>
  <c r="AI1423" i="1"/>
  <c r="AJ1423" i="1"/>
  <c r="AK1423" i="1"/>
  <c r="AP1423" i="1"/>
  <c r="AR1423" i="1"/>
  <c r="AY1423" i="1"/>
  <c r="BE1423" i="1"/>
  <c r="BF1423" i="1"/>
  <c r="C1424" i="1"/>
  <c r="E1424" i="1"/>
  <c r="F1424" i="1"/>
  <c r="G1424" i="1"/>
  <c r="H1424" i="1"/>
  <c r="L1424" i="1"/>
  <c r="M1424" i="1"/>
  <c r="N1424" i="1"/>
  <c r="O1424" i="1"/>
  <c r="P1424" i="1"/>
  <c r="Q1424" i="1"/>
  <c r="R1424" i="1"/>
  <c r="S1424" i="1"/>
  <c r="T1424" i="1"/>
  <c r="U1424" i="1"/>
  <c r="V1424" i="1"/>
  <c r="AB1424" i="1"/>
  <c r="AI1424" i="1"/>
  <c r="AJ1424" i="1"/>
  <c r="AK1424" i="1"/>
  <c r="AP1424" i="1"/>
  <c r="AR1424" i="1"/>
  <c r="AY1424" i="1"/>
  <c r="BE1424" i="1"/>
  <c r="BF1424" i="1"/>
  <c r="C1425" i="1"/>
  <c r="E1425" i="1"/>
  <c r="F1425" i="1"/>
  <c r="G1425" i="1"/>
  <c r="H1425" i="1"/>
  <c r="L1425" i="1"/>
  <c r="M1425" i="1"/>
  <c r="N1425" i="1"/>
  <c r="O1425" i="1"/>
  <c r="P1425" i="1"/>
  <c r="Q1425" i="1"/>
  <c r="R1425" i="1"/>
  <c r="S1425" i="1"/>
  <c r="T1425" i="1"/>
  <c r="U1425" i="1"/>
  <c r="V1425" i="1"/>
  <c r="AB1425" i="1"/>
  <c r="AI1425" i="1"/>
  <c r="AJ1425" i="1"/>
  <c r="AK1425" i="1"/>
  <c r="AP1425" i="1"/>
  <c r="AR1425" i="1"/>
  <c r="AY1425" i="1"/>
  <c r="BE1425" i="1"/>
  <c r="BF1425" i="1"/>
  <c r="C1426" i="1"/>
  <c r="E1426" i="1"/>
  <c r="F1426" i="1"/>
  <c r="G1426" i="1"/>
  <c r="H1426" i="1"/>
  <c r="L1426" i="1"/>
  <c r="M1426" i="1"/>
  <c r="N1426" i="1"/>
  <c r="O1426" i="1"/>
  <c r="P1426" i="1"/>
  <c r="Q1426" i="1"/>
  <c r="R1426" i="1"/>
  <c r="S1426" i="1"/>
  <c r="T1426" i="1"/>
  <c r="U1426" i="1"/>
  <c r="V1426" i="1"/>
  <c r="AB1426" i="1"/>
  <c r="AI1426" i="1"/>
  <c r="AJ1426" i="1"/>
  <c r="AK1426" i="1"/>
  <c r="AP1426" i="1"/>
  <c r="AR1426" i="1"/>
  <c r="AY1426" i="1"/>
  <c r="BE1426" i="1"/>
  <c r="BF1426" i="1"/>
  <c r="C1427" i="1"/>
  <c r="E1427" i="1"/>
  <c r="F1427" i="1"/>
  <c r="G1427" i="1"/>
  <c r="H1427" i="1"/>
  <c r="L1427" i="1"/>
  <c r="M1427" i="1"/>
  <c r="N1427" i="1"/>
  <c r="O1427" i="1"/>
  <c r="P1427" i="1"/>
  <c r="Q1427" i="1"/>
  <c r="R1427" i="1"/>
  <c r="S1427" i="1"/>
  <c r="T1427" i="1"/>
  <c r="U1427" i="1"/>
  <c r="V1427" i="1"/>
  <c r="AB1427" i="1"/>
  <c r="AI1427" i="1"/>
  <c r="AJ1427" i="1"/>
  <c r="AK1427" i="1"/>
  <c r="AP1427" i="1"/>
  <c r="AR1427" i="1"/>
  <c r="AY1427" i="1"/>
  <c r="BE1427" i="1"/>
  <c r="BF1427" i="1"/>
  <c r="C1428" i="1"/>
  <c r="E1428" i="1"/>
  <c r="F1428" i="1"/>
  <c r="G1428" i="1"/>
  <c r="H1428" i="1"/>
  <c r="L1428" i="1"/>
  <c r="M1428" i="1"/>
  <c r="N1428" i="1"/>
  <c r="O1428" i="1"/>
  <c r="P1428" i="1"/>
  <c r="Q1428" i="1"/>
  <c r="R1428" i="1"/>
  <c r="S1428" i="1"/>
  <c r="T1428" i="1"/>
  <c r="U1428" i="1"/>
  <c r="V1428" i="1"/>
  <c r="AB1428" i="1"/>
  <c r="AI1428" i="1"/>
  <c r="AJ1428" i="1"/>
  <c r="AK1428" i="1"/>
  <c r="AP1428" i="1"/>
  <c r="AR1428" i="1"/>
  <c r="AY1428" i="1"/>
  <c r="BE1428" i="1"/>
  <c r="BF1428" i="1"/>
  <c r="C1429" i="1"/>
  <c r="E1429" i="1"/>
  <c r="F1429" i="1"/>
  <c r="G1429" i="1"/>
  <c r="H1429" i="1"/>
  <c r="L1429" i="1"/>
  <c r="M1429" i="1"/>
  <c r="N1429" i="1"/>
  <c r="O1429" i="1"/>
  <c r="P1429" i="1"/>
  <c r="Q1429" i="1"/>
  <c r="R1429" i="1"/>
  <c r="S1429" i="1"/>
  <c r="T1429" i="1"/>
  <c r="U1429" i="1"/>
  <c r="V1429" i="1"/>
  <c r="AB1429" i="1"/>
  <c r="AI1429" i="1"/>
  <c r="AJ1429" i="1"/>
  <c r="AK1429" i="1"/>
  <c r="AP1429" i="1"/>
  <c r="AR1429" i="1"/>
  <c r="AY1429" i="1"/>
  <c r="BE1429" i="1"/>
  <c r="BF1429" i="1"/>
  <c r="C1430" i="1"/>
  <c r="E1430" i="1"/>
  <c r="F1430" i="1"/>
  <c r="G1430" i="1"/>
  <c r="H1430" i="1"/>
  <c r="L1430" i="1"/>
  <c r="M1430" i="1"/>
  <c r="N1430" i="1"/>
  <c r="O1430" i="1"/>
  <c r="P1430" i="1"/>
  <c r="Q1430" i="1"/>
  <c r="R1430" i="1"/>
  <c r="S1430" i="1"/>
  <c r="T1430" i="1"/>
  <c r="U1430" i="1"/>
  <c r="V1430" i="1"/>
  <c r="AB1430" i="1"/>
  <c r="AI1430" i="1"/>
  <c r="AJ1430" i="1"/>
  <c r="AK1430" i="1"/>
  <c r="AP1430" i="1"/>
  <c r="AR1430" i="1"/>
  <c r="AY1430" i="1"/>
  <c r="BE1430" i="1"/>
  <c r="BF1430" i="1"/>
  <c r="C1431" i="1"/>
  <c r="E1431" i="1"/>
  <c r="F1431" i="1"/>
  <c r="G1431" i="1"/>
  <c r="H1431" i="1"/>
  <c r="L1431" i="1"/>
  <c r="M1431" i="1"/>
  <c r="N1431" i="1"/>
  <c r="O1431" i="1"/>
  <c r="P1431" i="1"/>
  <c r="Q1431" i="1"/>
  <c r="R1431" i="1"/>
  <c r="S1431" i="1"/>
  <c r="T1431" i="1"/>
  <c r="U1431" i="1"/>
  <c r="V1431" i="1"/>
  <c r="AB1431" i="1"/>
  <c r="AI1431" i="1"/>
  <c r="AJ1431" i="1"/>
  <c r="AK1431" i="1"/>
  <c r="AP1431" i="1"/>
  <c r="AR1431" i="1"/>
  <c r="AY1431" i="1"/>
  <c r="BE1431" i="1"/>
  <c r="BF1431" i="1"/>
  <c r="C1432" i="1"/>
  <c r="E1432" i="1"/>
  <c r="F1432" i="1"/>
  <c r="G1432" i="1"/>
  <c r="H1432" i="1"/>
  <c r="L1432" i="1"/>
  <c r="M1432" i="1"/>
  <c r="N1432" i="1"/>
  <c r="O1432" i="1"/>
  <c r="P1432" i="1"/>
  <c r="Q1432" i="1"/>
  <c r="R1432" i="1"/>
  <c r="S1432" i="1"/>
  <c r="T1432" i="1"/>
  <c r="U1432" i="1"/>
  <c r="V1432" i="1"/>
  <c r="AB1432" i="1"/>
  <c r="AI1432" i="1"/>
  <c r="AJ1432" i="1"/>
  <c r="AK1432" i="1"/>
  <c r="AP1432" i="1"/>
  <c r="AR1432" i="1"/>
  <c r="AY1432" i="1"/>
  <c r="BE1432" i="1"/>
  <c r="BF1432" i="1"/>
  <c r="C1433" i="1"/>
  <c r="E1433" i="1"/>
  <c r="F1433" i="1"/>
  <c r="G1433" i="1"/>
  <c r="H1433" i="1"/>
  <c r="L1433" i="1"/>
  <c r="M1433" i="1"/>
  <c r="N1433" i="1"/>
  <c r="O1433" i="1"/>
  <c r="P1433" i="1"/>
  <c r="Q1433" i="1"/>
  <c r="R1433" i="1"/>
  <c r="S1433" i="1"/>
  <c r="T1433" i="1"/>
  <c r="U1433" i="1"/>
  <c r="V1433" i="1"/>
  <c r="AB1433" i="1"/>
  <c r="AI1433" i="1"/>
  <c r="AJ1433" i="1"/>
  <c r="AK1433" i="1"/>
  <c r="AP1433" i="1"/>
  <c r="AR1433" i="1"/>
  <c r="AY1433" i="1"/>
  <c r="BE1433" i="1"/>
  <c r="BF1433" i="1"/>
  <c r="C1434" i="1"/>
  <c r="E1434" i="1"/>
  <c r="F1434" i="1"/>
  <c r="G1434" i="1"/>
  <c r="H1434" i="1"/>
  <c r="L1434" i="1"/>
  <c r="M1434" i="1"/>
  <c r="N1434" i="1"/>
  <c r="O1434" i="1"/>
  <c r="P1434" i="1"/>
  <c r="Q1434" i="1"/>
  <c r="R1434" i="1"/>
  <c r="S1434" i="1"/>
  <c r="T1434" i="1"/>
  <c r="U1434" i="1"/>
  <c r="V1434" i="1"/>
  <c r="AB1434" i="1"/>
  <c r="AI1434" i="1"/>
  <c r="AJ1434" i="1"/>
  <c r="AK1434" i="1"/>
  <c r="AP1434" i="1"/>
  <c r="AR1434" i="1"/>
  <c r="AY1434" i="1"/>
  <c r="BE1434" i="1"/>
  <c r="BF1434" i="1"/>
  <c r="C1435" i="1"/>
  <c r="E1435" i="1"/>
  <c r="F1435" i="1"/>
  <c r="G1435" i="1"/>
  <c r="H1435" i="1"/>
  <c r="L1435" i="1"/>
  <c r="M1435" i="1"/>
  <c r="N1435" i="1"/>
  <c r="O1435" i="1"/>
  <c r="P1435" i="1"/>
  <c r="Q1435" i="1"/>
  <c r="R1435" i="1"/>
  <c r="S1435" i="1"/>
  <c r="T1435" i="1"/>
  <c r="U1435" i="1"/>
  <c r="V1435" i="1"/>
  <c r="AB1435" i="1"/>
  <c r="AI1435" i="1"/>
  <c r="AJ1435" i="1"/>
  <c r="AK1435" i="1"/>
  <c r="AP1435" i="1"/>
  <c r="AR1435" i="1"/>
  <c r="AY1435" i="1"/>
  <c r="BE1435" i="1"/>
  <c r="BF1435" i="1"/>
  <c r="C1436" i="1"/>
  <c r="E1436" i="1"/>
  <c r="F1436" i="1"/>
  <c r="G1436" i="1"/>
  <c r="H1436" i="1"/>
  <c r="L1436" i="1"/>
  <c r="M1436" i="1"/>
  <c r="N1436" i="1"/>
  <c r="O1436" i="1"/>
  <c r="P1436" i="1"/>
  <c r="Q1436" i="1"/>
  <c r="R1436" i="1"/>
  <c r="S1436" i="1"/>
  <c r="T1436" i="1"/>
  <c r="U1436" i="1"/>
  <c r="V1436" i="1"/>
  <c r="AB1436" i="1"/>
  <c r="AI1436" i="1"/>
  <c r="AJ1436" i="1"/>
  <c r="AK1436" i="1"/>
  <c r="AP1436" i="1"/>
  <c r="AR1436" i="1"/>
  <c r="AY1436" i="1"/>
  <c r="BE1436" i="1"/>
  <c r="BF1436" i="1"/>
  <c r="C1437" i="1"/>
  <c r="E1437" i="1"/>
  <c r="F1437" i="1"/>
  <c r="G1437" i="1"/>
  <c r="H1437" i="1"/>
  <c r="L1437" i="1"/>
  <c r="M1437" i="1"/>
  <c r="N1437" i="1"/>
  <c r="O1437" i="1"/>
  <c r="P1437" i="1"/>
  <c r="Q1437" i="1"/>
  <c r="R1437" i="1"/>
  <c r="S1437" i="1"/>
  <c r="T1437" i="1"/>
  <c r="U1437" i="1"/>
  <c r="V1437" i="1"/>
  <c r="AB1437" i="1"/>
  <c r="AI1437" i="1"/>
  <c r="AJ1437" i="1"/>
  <c r="AK1437" i="1"/>
  <c r="AP1437" i="1"/>
  <c r="AR1437" i="1"/>
  <c r="AY1437" i="1"/>
  <c r="BE1437" i="1"/>
  <c r="BF1437" i="1"/>
  <c r="C1438" i="1"/>
  <c r="E1438" i="1"/>
  <c r="F1438" i="1"/>
  <c r="G1438" i="1"/>
  <c r="H1438" i="1"/>
  <c r="L1438" i="1"/>
  <c r="M1438" i="1"/>
  <c r="N1438" i="1"/>
  <c r="O1438" i="1"/>
  <c r="P1438" i="1"/>
  <c r="Q1438" i="1"/>
  <c r="R1438" i="1"/>
  <c r="S1438" i="1"/>
  <c r="T1438" i="1"/>
  <c r="U1438" i="1"/>
  <c r="V1438" i="1"/>
  <c r="AB1438" i="1"/>
  <c r="AI1438" i="1"/>
  <c r="AJ1438" i="1"/>
  <c r="AK1438" i="1"/>
  <c r="AP1438" i="1"/>
  <c r="AR1438" i="1"/>
  <c r="AY1438" i="1"/>
  <c r="BE1438" i="1"/>
  <c r="BF1438" i="1"/>
  <c r="C1439" i="1"/>
  <c r="E1439" i="1"/>
  <c r="F1439" i="1"/>
  <c r="G1439" i="1"/>
  <c r="H1439" i="1"/>
  <c r="L1439" i="1"/>
  <c r="M1439" i="1"/>
  <c r="N1439" i="1"/>
  <c r="O1439" i="1"/>
  <c r="P1439" i="1"/>
  <c r="Q1439" i="1"/>
  <c r="R1439" i="1"/>
  <c r="S1439" i="1"/>
  <c r="T1439" i="1"/>
  <c r="U1439" i="1"/>
  <c r="V1439" i="1"/>
  <c r="AB1439" i="1"/>
  <c r="AI1439" i="1"/>
  <c r="AJ1439" i="1"/>
  <c r="AK1439" i="1"/>
  <c r="AP1439" i="1"/>
  <c r="AR1439" i="1"/>
  <c r="AY1439" i="1"/>
  <c r="BE1439" i="1"/>
  <c r="BF1439" i="1"/>
  <c r="C1440" i="1"/>
  <c r="E1440" i="1"/>
  <c r="F1440" i="1"/>
  <c r="G1440" i="1"/>
  <c r="H1440" i="1"/>
  <c r="L1440" i="1"/>
  <c r="M1440" i="1"/>
  <c r="N1440" i="1"/>
  <c r="O1440" i="1"/>
  <c r="P1440" i="1"/>
  <c r="Q1440" i="1"/>
  <c r="R1440" i="1"/>
  <c r="S1440" i="1"/>
  <c r="T1440" i="1"/>
  <c r="U1440" i="1"/>
  <c r="V1440" i="1"/>
  <c r="AB1440" i="1"/>
  <c r="AI1440" i="1"/>
  <c r="AJ1440" i="1"/>
  <c r="AK1440" i="1"/>
  <c r="AP1440" i="1"/>
  <c r="AR1440" i="1"/>
  <c r="AY1440" i="1"/>
  <c r="BE1440" i="1"/>
  <c r="BF1440" i="1"/>
  <c r="C1441" i="1"/>
  <c r="E1441" i="1"/>
  <c r="F1441" i="1"/>
  <c r="G1441" i="1"/>
  <c r="H1441" i="1"/>
  <c r="L1441" i="1"/>
  <c r="M1441" i="1"/>
  <c r="N1441" i="1"/>
  <c r="O1441" i="1"/>
  <c r="P1441" i="1"/>
  <c r="Q1441" i="1"/>
  <c r="R1441" i="1"/>
  <c r="S1441" i="1"/>
  <c r="T1441" i="1"/>
  <c r="U1441" i="1"/>
  <c r="V1441" i="1"/>
  <c r="AB1441" i="1"/>
  <c r="AI1441" i="1"/>
  <c r="AJ1441" i="1"/>
  <c r="AK1441" i="1"/>
  <c r="AP1441" i="1"/>
  <c r="AR1441" i="1"/>
  <c r="AY1441" i="1"/>
  <c r="BE1441" i="1"/>
  <c r="BF1441" i="1"/>
  <c r="C1442" i="1"/>
  <c r="E1442" i="1"/>
  <c r="F1442" i="1"/>
  <c r="G1442" i="1"/>
  <c r="H1442" i="1"/>
  <c r="L1442" i="1"/>
  <c r="M1442" i="1"/>
  <c r="N1442" i="1"/>
  <c r="O1442" i="1"/>
  <c r="P1442" i="1"/>
  <c r="Q1442" i="1"/>
  <c r="R1442" i="1"/>
  <c r="S1442" i="1"/>
  <c r="T1442" i="1"/>
  <c r="U1442" i="1"/>
  <c r="V1442" i="1"/>
  <c r="AB1442" i="1"/>
  <c r="AI1442" i="1"/>
  <c r="AJ1442" i="1"/>
  <c r="AK1442" i="1"/>
  <c r="AP1442" i="1"/>
  <c r="AR1442" i="1"/>
  <c r="AY1442" i="1"/>
  <c r="BE1442" i="1"/>
  <c r="BF1442" i="1"/>
  <c r="C1443" i="1"/>
  <c r="E1443" i="1"/>
  <c r="F1443" i="1"/>
  <c r="G1443" i="1"/>
  <c r="H1443" i="1"/>
  <c r="L1443" i="1"/>
  <c r="M1443" i="1"/>
  <c r="N1443" i="1"/>
  <c r="O1443" i="1"/>
  <c r="P1443" i="1"/>
  <c r="Q1443" i="1"/>
  <c r="R1443" i="1"/>
  <c r="S1443" i="1"/>
  <c r="T1443" i="1"/>
  <c r="U1443" i="1"/>
  <c r="V1443" i="1"/>
  <c r="AB1443" i="1"/>
  <c r="AI1443" i="1"/>
  <c r="AJ1443" i="1"/>
  <c r="AK1443" i="1"/>
  <c r="AP1443" i="1"/>
  <c r="AR1443" i="1"/>
  <c r="AY1443" i="1"/>
  <c r="BE1443" i="1"/>
  <c r="BF1443" i="1"/>
  <c r="C1444" i="1"/>
  <c r="E1444" i="1"/>
  <c r="F1444" i="1"/>
  <c r="G1444" i="1"/>
  <c r="H1444" i="1"/>
  <c r="L1444" i="1"/>
  <c r="M1444" i="1"/>
  <c r="N1444" i="1"/>
  <c r="O1444" i="1"/>
  <c r="P1444" i="1"/>
  <c r="Q1444" i="1"/>
  <c r="R1444" i="1"/>
  <c r="S1444" i="1"/>
  <c r="T1444" i="1"/>
  <c r="U1444" i="1"/>
  <c r="V1444" i="1"/>
  <c r="AB1444" i="1"/>
  <c r="AI1444" i="1"/>
  <c r="AJ1444" i="1"/>
  <c r="AK1444" i="1"/>
  <c r="AP1444" i="1"/>
  <c r="AR1444" i="1"/>
  <c r="AY1444" i="1"/>
  <c r="BE1444" i="1"/>
  <c r="BF1444" i="1"/>
  <c r="C1445" i="1"/>
  <c r="E1445" i="1"/>
  <c r="F1445" i="1"/>
  <c r="G1445" i="1"/>
  <c r="H1445" i="1"/>
  <c r="L1445" i="1"/>
  <c r="M1445" i="1"/>
  <c r="N1445" i="1"/>
  <c r="O1445" i="1"/>
  <c r="P1445" i="1"/>
  <c r="Q1445" i="1"/>
  <c r="R1445" i="1"/>
  <c r="S1445" i="1"/>
  <c r="T1445" i="1"/>
  <c r="U1445" i="1"/>
  <c r="V1445" i="1"/>
  <c r="AB1445" i="1"/>
  <c r="AI1445" i="1"/>
  <c r="AJ1445" i="1"/>
  <c r="AK1445" i="1"/>
  <c r="AP1445" i="1"/>
  <c r="AR1445" i="1"/>
  <c r="AY1445" i="1"/>
  <c r="BE1445" i="1"/>
  <c r="BF1445" i="1"/>
  <c r="C1446" i="1"/>
  <c r="E1446" i="1"/>
  <c r="F1446" i="1"/>
  <c r="G1446" i="1"/>
  <c r="H1446" i="1"/>
  <c r="L1446" i="1"/>
  <c r="M1446" i="1"/>
  <c r="N1446" i="1"/>
  <c r="O1446" i="1"/>
  <c r="P1446" i="1"/>
  <c r="Q1446" i="1"/>
  <c r="R1446" i="1"/>
  <c r="S1446" i="1"/>
  <c r="T1446" i="1"/>
  <c r="U1446" i="1"/>
  <c r="V1446" i="1"/>
  <c r="AB1446" i="1"/>
  <c r="AI1446" i="1"/>
  <c r="AJ1446" i="1"/>
  <c r="AK1446" i="1"/>
  <c r="AP1446" i="1"/>
  <c r="AR1446" i="1"/>
  <c r="AY1446" i="1"/>
  <c r="BE1446" i="1"/>
  <c r="BF1446" i="1"/>
  <c r="C1447" i="1"/>
  <c r="E1447" i="1"/>
  <c r="F1447" i="1"/>
  <c r="G1447" i="1"/>
  <c r="H1447" i="1"/>
  <c r="L1447" i="1"/>
  <c r="M1447" i="1"/>
  <c r="N1447" i="1"/>
  <c r="O1447" i="1"/>
  <c r="P1447" i="1"/>
  <c r="Q1447" i="1"/>
  <c r="R1447" i="1"/>
  <c r="S1447" i="1"/>
  <c r="T1447" i="1"/>
  <c r="U1447" i="1"/>
  <c r="V1447" i="1"/>
  <c r="AB1447" i="1"/>
  <c r="AI1447" i="1"/>
  <c r="AJ1447" i="1"/>
  <c r="AK1447" i="1"/>
  <c r="AP1447" i="1"/>
  <c r="AR1447" i="1"/>
  <c r="AY1447" i="1"/>
  <c r="BE1447" i="1"/>
  <c r="BF1447" i="1"/>
  <c r="C1448" i="1"/>
  <c r="E1448" i="1"/>
  <c r="F1448" i="1"/>
  <c r="G1448" i="1"/>
  <c r="H1448" i="1"/>
  <c r="L1448" i="1"/>
  <c r="M1448" i="1"/>
  <c r="N1448" i="1"/>
  <c r="O1448" i="1"/>
  <c r="P1448" i="1"/>
  <c r="Q1448" i="1"/>
  <c r="R1448" i="1"/>
  <c r="S1448" i="1"/>
  <c r="T1448" i="1"/>
  <c r="U1448" i="1"/>
  <c r="V1448" i="1"/>
  <c r="AB1448" i="1"/>
  <c r="AI1448" i="1"/>
  <c r="AJ1448" i="1"/>
  <c r="AK1448" i="1"/>
  <c r="AP1448" i="1"/>
  <c r="AR1448" i="1"/>
  <c r="AY1448" i="1"/>
  <c r="BE1448" i="1"/>
  <c r="BF1448" i="1"/>
  <c r="C1449" i="1"/>
  <c r="E1449" i="1"/>
  <c r="F1449" i="1"/>
  <c r="G1449" i="1"/>
  <c r="H1449" i="1"/>
  <c r="L1449" i="1"/>
  <c r="M1449" i="1"/>
  <c r="N1449" i="1"/>
  <c r="O1449" i="1"/>
  <c r="P1449" i="1"/>
  <c r="Q1449" i="1"/>
  <c r="R1449" i="1"/>
  <c r="S1449" i="1"/>
  <c r="T1449" i="1"/>
  <c r="U1449" i="1"/>
  <c r="V1449" i="1"/>
  <c r="AB1449" i="1"/>
  <c r="AI1449" i="1"/>
  <c r="AJ1449" i="1"/>
  <c r="AK1449" i="1"/>
  <c r="AP1449" i="1"/>
  <c r="AR1449" i="1"/>
  <c r="AY1449" i="1"/>
  <c r="BE1449" i="1"/>
  <c r="BF1449" i="1"/>
  <c r="C1450" i="1"/>
  <c r="E1450" i="1"/>
  <c r="F1450" i="1"/>
  <c r="G1450" i="1"/>
  <c r="H1450" i="1"/>
  <c r="L1450" i="1"/>
  <c r="M1450" i="1"/>
  <c r="N1450" i="1"/>
  <c r="O1450" i="1"/>
  <c r="P1450" i="1"/>
  <c r="Q1450" i="1"/>
  <c r="R1450" i="1"/>
  <c r="S1450" i="1"/>
  <c r="T1450" i="1"/>
  <c r="U1450" i="1"/>
  <c r="V1450" i="1"/>
  <c r="AB1450" i="1"/>
  <c r="AI1450" i="1"/>
  <c r="AJ1450" i="1"/>
  <c r="AK1450" i="1"/>
  <c r="AP1450" i="1"/>
  <c r="AR1450" i="1"/>
  <c r="AY1450" i="1"/>
  <c r="BE1450" i="1"/>
  <c r="BF1450" i="1"/>
  <c r="C1451" i="1"/>
  <c r="E1451" i="1"/>
  <c r="F1451" i="1"/>
  <c r="G1451" i="1"/>
  <c r="H1451" i="1"/>
  <c r="L1451" i="1"/>
  <c r="M1451" i="1"/>
  <c r="N1451" i="1"/>
  <c r="O1451" i="1"/>
  <c r="P1451" i="1"/>
  <c r="Q1451" i="1"/>
  <c r="R1451" i="1"/>
  <c r="S1451" i="1"/>
  <c r="T1451" i="1"/>
  <c r="U1451" i="1"/>
  <c r="V1451" i="1"/>
  <c r="AB1451" i="1"/>
  <c r="AI1451" i="1"/>
  <c r="AJ1451" i="1"/>
  <c r="AK1451" i="1"/>
  <c r="AP1451" i="1"/>
  <c r="AR1451" i="1"/>
  <c r="AY1451" i="1"/>
  <c r="BE1451" i="1"/>
  <c r="BF1451" i="1"/>
  <c r="C1452" i="1"/>
  <c r="E1452" i="1"/>
  <c r="F1452" i="1"/>
  <c r="G1452" i="1"/>
  <c r="H1452" i="1"/>
  <c r="L1452" i="1"/>
  <c r="M1452" i="1"/>
  <c r="N1452" i="1"/>
  <c r="O1452" i="1"/>
  <c r="P1452" i="1"/>
  <c r="Q1452" i="1"/>
  <c r="R1452" i="1"/>
  <c r="S1452" i="1"/>
  <c r="T1452" i="1"/>
  <c r="U1452" i="1"/>
  <c r="V1452" i="1"/>
  <c r="AB1452" i="1"/>
  <c r="AI1452" i="1"/>
  <c r="AJ1452" i="1"/>
  <c r="AK1452" i="1"/>
  <c r="AP1452" i="1"/>
  <c r="AR1452" i="1"/>
  <c r="AY1452" i="1"/>
  <c r="BE1452" i="1"/>
  <c r="BF1452" i="1"/>
  <c r="C1453" i="1"/>
  <c r="E1453" i="1"/>
  <c r="F1453" i="1"/>
  <c r="G1453" i="1"/>
  <c r="H1453" i="1"/>
  <c r="L1453" i="1"/>
  <c r="M1453" i="1"/>
  <c r="N1453" i="1"/>
  <c r="O1453" i="1"/>
  <c r="P1453" i="1"/>
  <c r="Q1453" i="1"/>
  <c r="R1453" i="1"/>
  <c r="S1453" i="1"/>
  <c r="T1453" i="1"/>
  <c r="U1453" i="1"/>
  <c r="V1453" i="1"/>
  <c r="AB1453" i="1"/>
  <c r="AI1453" i="1"/>
  <c r="AJ1453" i="1"/>
  <c r="AK1453" i="1"/>
  <c r="AP1453" i="1"/>
  <c r="AR1453" i="1"/>
  <c r="AY1453" i="1"/>
  <c r="BE1453" i="1"/>
  <c r="BF1453" i="1"/>
  <c r="C1454" i="1"/>
  <c r="E1454" i="1"/>
  <c r="F1454" i="1"/>
  <c r="G1454" i="1"/>
  <c r="H1454" i="1"/>
  <c r="L1454" i="1"/>
  <c r="M1454" i="1"/>
  <c r="N1454" i="1"/>
  <c r="O1454" i="1"/>
  <c r="P1454" i="1"/>
  <c r="Q1454" i="1"/>
  <c r="R1454" i="1"/>
  <c r="S1454" i="1"/>
  <c r="T1454" i="1"/>
  <c r="U1454" i="1"/>
  <c r="V1454" i="1"/>
  <c r="AB1454" i="1"/>
  <c r="AI1454" i="1"/>
  <c r="AJ1454" i="1"/>
  <c r="AK1454" i="1"/>
  <c r="AP1454" i="1"/>
  <c r="AR1454" i="1"/>
  <c r="AY1454" i="1"/>
  <c r="BE1454" i="1"/>
  <c r="BF1454" i="1"/>
  <c r="C1455" i="1"/>
  <c r="E1455" i="1"/>
  <c r="F1455" i="1"/>
  <c r="G1455" i="1"/>
  <c r="H1455" i="1"/>
  <c r="L1455" i="1"/>
  <c r="M1455" i="1"/>
  <c r="N1455" i="1"/>
  <c r="O1455" i="1"/>
  <c r="P1455" i="1"/>
  <c r="Q1455" i="1"/>
  <c r="R1455" i="1"/>
  <c r="S1455" i="1"/>
  <c r="T1455" i="1"/>
  <c r="U1455" i="1"/>
  <c r="V1455" i="1"/>
  <c r="AB1455" i="1"/>
  <c r="AI1455" i="1"/>
  <c r="AJ1455" i="1"/>
  <c r="AK1455" i="1"/>
  <c r="AP1455" i="1"/>
  <c r="AR1455" i="1"/>
  <c r="AY1455" i="1"/>
  <c r="BE1455" i="1"/>
  <c r="BF1455" i="1"/>
  <c r="C1456" i="1"/>
  <c r="E1456" i="1"/>
  <c r="F1456" i="1"/>
  <c r="G1456" i="1"/>
  <c r="H1456" i="1"/>
  <c r="L1456" i="1"/>
  <c r="M1456" i="1"/>
  <c r="N1456" i="1"/>
  <c r="O1456" i="1"/>
  <c r="P1456" i="1"/>
  <c r="Q1456" i="1"/>
  <c r="R1456" i="1"/>
  <c r="S1456" i="1"/>
  <c r="T1456" i="1"/>
  <c r="U1456" i="1"/>
  <c r="V1456" i="1"/>
  <c r="AB1456" i="1"/>
  <c r="AI1456" i="1"/>
  <c r="AJ1456" i="1"/>
  <c r="AK1456" i="1"/>
  <c r="AP1456" i="1"/>
  <c r="AR1456" i="1"/>
  <c r="AY1456" i="1"/>
  <c r="BE1456" i="1"/>
  <c r="BF1456" i="1"/>
  <c r="C1457" i="1"/>
  <c r="E1457" i="1"/>
  <c r="F1457" i="1"/>
  <c r="G1457" i="1"/>
  <c r="H1457" i="1"/>
  <c r="L1457" i="1"/>
  <c r="M1457" i="1"/>
  <c r="N1457" i="1"/>
  <c r="O1457" i="1"/>
  <c r="P1457" i="1"/>
  <c r="Q1457" i="1"/>
  <c r="R1457" i="1"/>
  <c r="S1457" i="1"/>
  <c r="T1457" i="1"/>
  <c r="U1457" i="1"/>
  <c r="V1457" i="1"/>
  <c r="AB1457" i="1"/>
  <c r="AI1457" i="1"/>
  <c r="AJ1457" i="1"/>
  <c r="AK1457" i="1"/>
  <c r="AP1457" i="1"/>
  <c r="AR1457" i="1"/>
  <c r="AY1457" i="1"/>
  <c r="BE1457" i="1"/>
  <c r="BF1457" i="1"/>
  <c r="C1458" i="1"/>
  <c r="E1458" i="1"/>
  <c r="F1458" i="1"/>
  <c r="G1458" i="1"/>
  <c r="H1458" i="1"/>
  <c r="L1458" i="1"/>
  <c r="M1458" i="1"/>
  <c r="N1458" i="1"/>
  <c r="O1458" i="1"/>
  <c r="P1458" i="1"/>
  <c r="Q1458" i="1"/>
  <c r="R1458" i="1"/>
  <c r="S1458" i="1"/>
  <c r="T1458" i="1"/>
  <c r="U1458" i="1"/>
  <c r="V1458" i="1"/>
  <c r="AB1458" i="1"/>
  <c r="AI1458" i="1"/>
  <c r="AJ1458" i="1"/>
  <c r="AK1458" i="1"/>
  <c r="AP1458" i="1"/>
  <c r="AR1458" i="1"/>
  <c r="AY1458" i="1"/>
  <c r="BE1458" i="1"/>
  <c r="BF1458" i="1"/>
  <c r="C1459" i="1"/>
  <c r="E1459" i="1"/>
  <c r="F1459" i="1"/>
  <c r="G1459" i="1"/>
  <c r="H1459" i="1"/>
  <c r="L1459" i="1"/>
  <c r="M1459" i="1"/>
  <c r="N1459" i="1"/>
  <c r="O1459" i="1"/>
  <c r="P1459" i="1"/>
  <c r="Q1459" i="1"/>
  <c r="R1459" i="1"/>
  <c r="S1459" i="1"/>
  <c r="T1459" i="1"/>
  <c r="U1459" i="1"/>
  <c r="V1459" i="1"/>
  <c r="AB1459" i="1"/>
  <c r="AI1459" i="1"/>
  <c r="AJ1459" i="1"/>
  <c r="AK1459" i="1"/>
  <c r="AP1459" i="1"/>
  <c r="AR1459" i="1"/>
  <c r="AY1459" i="1"/>
  <c r="BE1459" i="1"/>
  <c r="BF1459" i="1"/>
  <c r="C1460" i="1"/>
  <c r="E1460" i="1"/>
  <c r="F1460" i="1"/>
  <c r="G1460" i="1"/>
  <c r="H1460" i="1"/>
  <c r="L1460" i="1"/>
  <c r="M1460" i="1"/>
  <c r="N1460" i="1"/>
  <c r="O1460" i="1"/>
  <c r="P1460" i="1"/>
  <c r="Q1460" i="1"/>
  <c r="R1460" i="1"/>
  <c r="S1460" i="1"/>
  <c r="T1460" i="1"/>
  <c r="U1460" i="1"/>
  <c r="V1460" i="1"/>
  <c r="AB1460" i="1"/>
  <c r="AI1460" i="1"/>
  <c r="AJ1460" i="1"/>
  <c r="AK1460" i="1"/>
  <c r="AP1460" i="1"/>
  <c r="AR1460" i="1"/>
  <c r="AY1460" i="1"/>
  <c r="BE1460" i="1"/>
  <c r="BF1460" i="1"/>
  <c r="C1461" i="1"/>
  <c r="E1461" i="1"/>
  <c r="F1461" i="1"/>
  <c r="G1461" i="1"/>
  <c r="H1461" i="1"/>
  <c r="L1461" i="1"/>
  <c r="M1461" i="1"/>
  <c r="N1461" i="1"/>
  <c r="O1461" i="1"/>
  <c r="P1461" i="1"/>
  <c r="Q1461" i="1"/>
  <c r="R1461" i="1"/>
  <c r="S1461" i="1"/>
  <c r="T1461" i="1"/>
  <c r="U1461" i="1"/>
  <c r="V1461" i="1"/>
  <c r="AB1461" i="1"/>
  <c r="AI1461" i="1"/>
  <c r="AJ1461" i="1"/>
  <c r="AK1461" i="1"/>
  <c r="AP1461" i="1"/>
  <c r="AR1461" i="1"/>
  <c r="AY1461" i="1"/>
  <c r="BE1461" i="1"/>
  <c r="BF1461" i="1"/>
  <c r="C1462" i="1"/>
  <c r="E1462" i="1"/>
  <c r="F1462" i="1"/>
  <c r="G1462" i="1"/>
  <c r="H1462" i="1"/>
  <c r="L1462" i="1"/>
  <c r="M1462" i="1"/>
  <c r="N1462" i="1"/>
  <c r="O1462" i="1"/>
  <c r="P1462" i="1"/>
  <c r="Q1462" i="1"/>
  <c r="R1462" i="1"/>
  <c r="S1462" i="1"/>
  <c r="T1462" i="1"/>
  <c r="U1462" i="1"/>
  <c r="V1462" i="1"/>
  <c r="AB1462" i="1"/>
  <c r="AI1462" i="1"/>
  <c r="AJ1462" i="1"/>
  <c r="AK1462" i="1"/>
  <c r="AP1462" i="1"/>
  <c r="AR1462" i="1"/>
  <c r="AY1462" i="1"/>
  <c r="BE1462" i="1"/>
  <c r="BF1462" i="1"/>
  <c r="C1463" i="1"/>
  <c r="E1463" i="1"/>
  <c r="F1463" i="1"/>
  <c r="G1463" i="1"/>
  <c r="H1463" i="1"/>
  <c r="L1463" i="1"/>
  <c r="M1463" i="1"/>
  <c r="N1463" i="1"/>
  <c r="O1463" i="1"/>
  <c r="P1463" i="1"/>
  <c r="Q1463" i="1"/>
  <c r="R1463" i="1"/>
  <c r="S1463" i="1"/>
  <c r="T1463" i="1"/>
  <c r="U1463" i="1"/>
  <c r="V1463" i="1"/>
  <c r="AB1463" i="1"/>
  <c r="AI1463" i="1"/>
  <c r="AJ1463" i="1"/>
  <c r="AK1463" i="1"/>
  <c r="AP1463" i="1"/>
  <c r="AR1463" i="1"/>
  <c r="AY1463" i="1"/>
  <c r="BE1463" i="1"/>
  <c r="BF1463" i="1"/>
  <c r="C1464" i="1"/>
  <c r="E1464" i="1"/>
  <c r="F1464" i="1"/>
  <c r="G1464" i="1"/>
  <c r="H1464" i="1"/>
  <c r="L1464" i="1"/>
  <c r="M1464" i="1"/>
  <c r="N1464" i="1"/>
  <c r="O1464" i="1"/>
  <c r="P1464" i="1"/>
  <c r="Q1464" i="1"/>
  <c r="R1464" i="1"/>
  <c r="S1464" i="1"/>
  <c r="T1464" i="1"/>
  <c r="U1464" i="1"/>
  <c r="V1464" i="1"/>
  <c r="AB1464" i="1"/>
  <c r="AI1464" i="1"/>
  <c r="AJ1464" i="1"/>
  <c r="AK1464" i="1"/>
  <c r="AP1464" i="1"/>
  <c r="AR1464" i="1"/>
  <c r="AY1464" i="1"/>
  <c r="BE1464" i="1"/>
  <c r="BF1464" i="1"/>
  <c r="C1465" i="1"/>
  <c r="E1465" i="1"/>
  <c r="F1465" i="1"/>
  <c r="G1465" i="1"/>
  <c r="H1465" i="1"/>
  <c r="L1465" i="1"/>
  <c r="M1465" i="1"/>
  <c r="N1465" i="1"/>
  <c r="O1465" i="1"/>
  <c r="P1465" i="1"/>
  <c r="Q1465" i="1"/>
  <c r="R1465" i="1"/>
  <c r="S1465" i="1"/>
  <c r="T1465" i="1"/>
  <c r="U1465" i="1"/>
  <c r="V1465" i="1"/>
  <c r="AB1465" i="1"/>
  <c r="AI1465" i="1"/>
  <c r="AJ1465" i="1"/>
  <c r="AK1465" i="1"/>
  <c r="AP1465" i="1"/>
  <c r="AR1465" i="1"/>
  <c r="AY1465" i="1"/>
  <c r="BE1465" i="1"/>
  <c r="BF1465" i="1"/>
  <c r="C1466" i="1"/>
  <c r="E1466" i="1"/>
  <c r="F1466" i="1"/>
  <c r="G1466" i="1"/>
  <c r="H1466" i="1"/>
  <c r="L1466" i="1"/>
  <c r="M1466" i="1"/>
  <c r="N1466" i="1"/>
  <c r="O1466" i="1"/>
  <c r="P1466" i="1"/>
  <c r="Q1466" i="1"/>
  <c r="R1466" i="1"/>
  <c r="S1466" i="1"/>
  <c r="T1466" i="1"/>
  <c r="U1466" i="1"/>
  <c r="V1466" i="1"/>
  <c r="AB1466" i="1"/>
  <c r="AI1466" i="1"/>
  <c r="AJ1466" i="1"/>
  <c r="AK1466" i="1"/>
  <c r="AP1466" i="1"/>
  <c r="AR1466" i="1"/>
  <c r="AY1466" i="1"/>
  <c r="BE1466" i="1"/>
  <c r="BF1466" i="1"/>
  <c r="C1467" i="1"/>
  <c r="E1467" i="1"/>
  <c r="F1467" i="1"/>
  <c r="G1467" i="1"/>
  <c r="H1467" i="1"/>
  <c r="L1467" i="1"/>
  <c r="M1467" i="1"/>
  <c r="N1467" i="1"/>
  <c r="O1467" i="1"/>
  <c r="P1467" i="1"/>
  <c r="Q1467" i="1"/>
  <c r="R1467" i="1"/>
  <c r="S1467" i="1"/>
  <c r="T1467" i="1"/>
  <c r="U1467" i="1"/>
  <c r="V1467" i="1"/>
  <c r="AB1467" i="1"/>
  <c r="AI1467" i="1"/>
  <c r="AJ1467" i="1"/>
  <c r="AK1467" i="1"/>
  <c r="AP1467" i="1"/>
  <c r="AR1467" i="1"/>
  <c r="AY1467" i="1"/>
  <c r="BE1467" i="1"/>
  <c r="BF1467" i="1"/>
  <c r="C1468" i="1"/>
  <c r="E1468" i="1"/>
  <c r="F1468" i="1"/>
  <c r="G1468" i="1"/>
  <c r="H1468" i="1"/>
  <c r="L1468" i="1"/>
  <c r="M1468" i="1"/>
  <c r="N1468" i="1"/>
  <c r="O1468" i="1"/>
  <c r="P1468" i="1"/>
  <c r="Q1468" i="1"/>
  <c r="R1468" i="1"/>
  <c r="S1468" i="1"/>
  <c r="T1468" i="1"/>
  <c r="U1468" i="1"/>
  <c r="V1468" i="1"/>
  <c r="AB1468" i="1"/>
  <c r="AI1468" i="1"/>
  <c r="AJ1468" i="1"/>
  <c r="AK1468" i="1"/>
  <c r="AP1468" i="1"/>
  <c r="AR1468" i="1"/>
  <c r="AY1468" i="1"/>
  <c r="BE1468" i="1"/>
  <c r="BF1468" i="1"/>
  <c r="C1469" i="1"/>
  <c r="E1469" i="1"/>
  <c r="F1469" i="1"/>
  <c r="G1469" i="1"/>
  <c r="H1469" i="1"/>
  <c r="L1469" i="1"/>
  <c r="M1469" i="1"/>
  <c r="N1469" i="1"/>
  <c r="O1469" i="1"/>
  <c r="P1469" i="1"/>
  <c r="Q1469" i="1"/>
  <c r="R1469" i="1"/>
  <c r="S1469" i="1"/>
  <c r="T1469" i="1"/>
  <c r="U1469" i="1"/>
  <c r="V1469" i="1"/>
  <c r="AB1469" i="1"/>
  <c r="AI1469" i="1"/>
  <c r="AJ1469" i="1"/>
  <c r="AK1469" i="1"/>
  <c r="AP1469" i="1"/>
  <c r="AR1469" i="1"/>
  <c r="AY1469" i="1"/>
  <c r="BE1469" i="1"/>
  <c r="BF1469" i="1"/>
  <c r="C1470" i="1"/>
  <c r="E1470" i="1"/>
  <c r="F1470" i="1"/>
  <c r="G1470" i="1"/>
  <c r="H1470" i="1"/>
  <c r="L1470" i="1"/>
  <c r="M1470" i="1"/>
  <c r="N1470" i="1"/>
  <c r="O1470" i="1"/>
  <c r="P1470" i="1"/>
  <c r="Q1470" i="1"/>
  <c r="R1470" i="1"/>
  <c r="S1470" i="1"/>
  <c r="T1470" i="1"/>
  <c r="U1470" i="1"/>
  <c r="V1470" i="1"/>
  <c r="AB1470" i="1"/>
  <c r="AI1470" i="1"/>
  <c r="AJ1470" i="1"/>
  <c r="AK1470" i="1"/>
  <c r="AP1470" i="1"/>
  <c r="AR1470" i="1"/>
  <c r="AY1470" i="1"/>
  <c r="BE1470" i="1"/>
  <c r="BF1470" i="1"/>
  <c r="C1471" i="1"/>
  <c r="E1471" i="1"/>
  <c r="F1471" i="1"/>
  <c r="G1471" i="1"/>
  <c r="H1471" i="1"/>
  <c r="L1471" i="1"/>
  <c r="M1471" i="1"/>
  <c r="N1471" i="1"/>
  <c r="O1471" i="1"/>
  <c r="P1471" i="1"/>
  <c r="Q1471" i="1"/>
  <c r="R1471" i="1"/>
  <c r="S1471" i="1"/>
  <c r="T1471" i="1"/>
  <c r="U1471" i="1"/>
  <c r="V1471" i="1"/>
  <c r="AB1471" i="1"/>
  <c r="AI1471" i="1"/>
  <c r="AJ1471" i="1"/>
  <c r="AK1471" i="1"/>
  <c r="AP1471" i="1"/>
  <c r="AR1471" i="1"/>
  <c r="AY1471" i="1"/>
  <c r="BE1471" i="1"/>
  <c r="BF1471" i="1"/>
  <c r="C1472" i="1"/>
  <c r="E1472" i="1"/>
  <c r="F1472" i="1"/>
  <c r="G1472" i="1"/>
  <c r="H1472" i="1"/>
  <c r="L1472" i="1"/>
  <c r="M1472" i="1"/>
  <c r="N1472" i="1"/>
  <c r="O1472" i="1"/>
  <c r="P1472" i="1"/>
  <c r="Q1472" i="1"/>
  <c r="R1472" i="1"/>
  <c r="S1472" i="1"/>
  <c r="T1472" i="1"/>
  <c r="U1472" i="1"/>
  <c r="V1472" i="1"/>
  <c r="AB1472" i="1"/>
  <c r="AI1472" i="1"/>
  <c r="AJ1472" i="1"/>
  <c r="AK1472" i="1"/>
  <c r="AP1472" i="1"/>
  <c r="AR1472" i="1"/>
  <c r="AY1472" i="1"/>
  <c r="BE1472" i="1"/>
  <c r="BF1472" i="1"/>
  <c r="C1473" i="1"/>
  <c r="E1473" i="1"/>
  <c r="F1473" i="1"/>
  <c r="G1473" i="1"/>
  <c r="H1473" i="1"/>
  <c r="L1473" i="1"/>
  <c r="M1473" i="1"/>
  <c r="N1473" i="1"/>
  <c r="O1473" i="1"/>
  <c r="P1473" i="1"/>
  <c r="Q1473" i="1"/>
  <c r="R1473" i="1"/>
  <c r="S1473" i="1"/>
  <c r="T1473" i="1"/>
  <c r="U1473" i="1"/>
  <c r="V1473" i="1"/>
  <c r="AB1473" i="1"/>
  <c r="AI1473" i="1"/>
  <c r="AJ1473" i="1"/>
  <c r="AK1473" i="1"/>
  <c r="AP1473" i="1"/>
  <c r="AR1473" i="1"/>
  <c r="AY1473" i="1"/>
  <c r="BE1473" i="1"/>
  <c r="BF1473" i="1"/>
  <c r="C1474" i="1"/>
  <c r="E1474" i="1"/>
  <c r="F1474" i="1"/>
  <c r="G1474" i="1"/>
  <c r="H1474" i="1"/>
  <c r="L1474" i="1"/>
  <c r="M1474" i="1"/>
  <c r="N1474" i="1"/>
  <c r="O1474" i="1"/>
  <c r="P1474" i="1"/>
  <c r="Q1474" i="1"/>
  <c r="R1474" i="1"/>
  <c r="S1474" i="1"/>
  <c r="T1474" i="1"/>
  <c r="U1474" i="1"/>
  <c r="V1474" i="1"/>
  <c r="AB1474" i="1"/>
  <c r="AI1474" i="1"/>
  <c r="AJ1474" i="1"/>
  <c r="AK1474" i="1"/>
  <c r="AP1474" i="1"/>
  <c r="AR1474" i="1"/>
  <c r="AY1474" i="1"/>
  <c r="BE1474" i="1"/>
  <c r="BF1474" i="1"/>
  <c r="C1475" i="1"/>
  <c r="E1475" i="1"/>
  <c r="F1475" i="1"/>
  <c r="G1475" i="1"/>
  <c r="H1475" i="1"/>
  <c r="L1475" i="1"/>
  <c r="M1475" i="1"/>
  <c r="N1475" i="1"/>
  <c r="O1475" i="1"/>
  <c r="P1475" i="1"/>
  <c r="Q1475" i="1"/>
  <c r="R1475" i="1"/>
  <c r="S1475" i="1"/>
  <c r="T1475" i="1"/>
  <c r="U1475" i="1"/>
  <c r="V1475" i="1"/>
  <c r="AB1475" i="1"/>
  <c r="AI1475" i="1"/>
  <c r="AJ1475" i="1"/>
  <c r="AK1475" i="1"/>
  <c r="AP1475" i="1"/>
  <c r="AR1475" i="1"/>
  <c r="AY1475" i="1"/>
  <c r="BE1475" i="1"/>
  <c r="BF1475" i="1"/>
  <c r="C1476" i="1"/>
  <c r="E1476" i="1"/>
  <c r="F1476" i="1"/>
  <c r="G1476" i="1"/>
  <c r="H1476" i="1"/>
  <c r="L1476" i="1"/>
  <c r="M1476" i="1"/>
  <c r="N1476" i="1"/>
  <c r="O1476" i="1"/>
  <c r="P1476" i="1"/>
  <c r="Q1476" i="1"/>
  <c r="R1476" i="1"/>
  <c r="S1476" i="1"/>
  <c r="T1476" i="1"/>
  <c r="U1476" i="1"/>
  <c r="V1476" i="1"/>
  <c r="AB1476" i="1"/>
  <c r="AI1476" i="1"/>
  <c r="AJ1476" i="1"/>
  <c r="AK1476" i="1"/>
  <c r="AP1476" i="1"/>
  <c r="AR1476" i="1"/>
  <c r="AY1476" i="1"/>
  <c r="BE1476" i="1"/>
  <c r="BF1476" i="1"/>
  <c r="C1477" i="1"/>
  <c r="E1477" i="1"/>
  <c r="F1477" i="1"/>
  <c r="G1477" i="1"/>
  <c r="H1477" i="1"/>
  <c r="L1477" i="1"/>
  <c r="M1477" i="1"/>
  <c r="N1477" i="1"/>
  <c r="O1477" i="1"/>
  <c r="P1477" i="1"/>
  <c r="Q1477" i="1"/>
  <c r="R1477" i="1"/>
  <c r="S1477" i="1"/>
  <c r="T1477" i="1"/>
  <c r="U1477" i="1"/>
  <c r="V1477" i="1"/>
  <c r="AB1477" i="1"/>
  <c r="AI1477" i="1"/>
  <c r="AJ1477" i="1"/>
  <c r="AK1477" i="1"/>
  <c r="AP1477" i="1"/>
  <c r="AR1477" i="1"/>
  <c r="AY1477" i="1"/>
  <c r="BE1477" i="1"/>
  <c r="BF1477" i="1"/>
  <c r="C1478" i="1"/>
  <c r="E1478" i="1"/>
  <c r="F1478" i="1"/>
  <c r="G1478" i="1"/>
  <c r="H1478" i="1"/>
  <c r="L1478" i="1"/>
  <c r="M1478" i="1"/>
  <c r="N1478" i="1"/>
  <c r="O1478" i="1"/>
  <c r="P1478" i="1"/>
  <c r="Q1478" i="1"/>
  <c r="R1478" i="1"/>
  <c r="S1478" i="1"/>
  <c r="T1478" i="1"/>
  <c r="U1478" i="1"/>
  <c r="V1478" i="1"/>
  <c r="AB1478" i="1"/>
  <c r="AI1478" i="1"/>
  <c r="AJ1478" i="1"/>
  <c r="AK1478" i="1"/>
  <c r="AP1478" i="1"/>
  <c r="AR1478" i="1"/>
  <c r="AY1478" i="1"/>
  <c r="BE1478" i="1"/>
  <c r="BF1478" i="1"/>
  <c r="C1479" i="1"/>
  <c r="E1479" i="1"/>
  <c r="F1479" i="1"/>
  <c r="G1479" i="1"/>
  <c r="H1479" i="1"/>
  <c r="L1479" i="1"/>
  <c r="M1479" i="1"/>
  <c r="N1479" i="1"/>
  <c r="O1479" i="1"/>
  <c r="P1479" i="1"/>
  <c r="Q1479" i="1"/>
  <c r="R1479" i="1"/>
  <c r="S1479" i="1"/>
  <c r="T1479" i="1"/>
  <c r="U1479" i="1"/>
  <c r="V1479" i="1"/>
  <c r="AB1479" i="1"/>
  <c r="AI1479" i="1"/>
  <c r="AJ1479" i="1"/>
  <c r="AK1479" i="1"/>
  <c r="AP1479" i="1"/>
  <c r="AR1479" i="1"/>
  <c r="AY1479" i="1"/>
  <c r="BE1479" i="1"/>
  <c r="BF1479" i="1"/>
  <c r="C1480" i="1"/>
  <c r="E1480" i="1"/>
  <c r="F1480" i="1"/>
  <c r="G1480" i="1"/>
  <c r="H1480" i="1"/>
  <c r="L1480" i="1"/>
  <c r="M1480" i="1"/>
  <c r="N1480" i="1"/>
  <c r="O1480" i="1"/>
  <c r="P1480" i="1"/>
  <c r="Q1480" i="1"/>
  <c r="R1480" i="1"/>
  <c r="S1480" i="1"/>
  <c r="T1480" i="1"/>
  <c r="U1480" i="1"/>
  <c r="V1480" i="1"/>
  <c r="AB1480" i="1"/>
  <c r="AI1480" i="1"/>
  <c r="AJ1480" i="1"/>
  <c r="AK1480" i="1"/>
  <c r="AP1480" i="1"/>
  <c r="AR1480" i="1"/>
  <c r="AY1480" i="1"/>
  <c r="BE1480" i="1"/>
  <c r="BF1480" i="1"/>
  <c r="C1481" i="1"/>
  <c r="E1481" i="1"/>
  <c r="F1481" i="1"/>
  <c r="G1481" i="1"/>
  <c r="H1481" i="1"/>
  <c r="L1481" i="1"/>
  <c r="M1481" i="1"/>
  <c r="N1481" i="1"/>
  <c r="O1481" i="1"/>
  <c r="P1481" i="1"/>
  <c r="Q1481" i="1"/>
  <c r="R1481" i="1"/>
  <c r="S1481" i="1"/>
  <c r="T1481" i="1"/>
  <c r="U1481" i="1"/>
  <c r="V1481" i="1"/>
  <c r="AB1481" i="1"/>
  <c r="AI1481" i="1"/>
  <c r="AJ1481" i="1"/>
  <c r="AK1481" i="1"/>
  <c r="AP1481" i="1"/>
  <c r="AR1481" i="1"/>
  <c r="AY1481" i="1"/>
  <c r="BE1481" i="1"/>
  <c r="BF1481" i="1"/>
  <c r="C1482" i="1"/>
  <c r="E1482" i="1"/>
  <c r="F1482" i="1"/>
  <c r="G1482" i="1"/>
  <c r="H1482" i="1"/>
  <c r="L1482" i="1"/>
  <c r="M1482" i="1"/>
  <c r="N1482" i="1"/>
  <c r="O1482" i="1"/>
  <c r="P1482" i="1"/>
  <c r="Q1482" i="1"/>
  <c r="R1482" i="1"/>
  <c r="S1482" i="1"/>
  <c r="T1482" i="1"/>
  <c r="U1482" i="1"/>
  <c r="V1482" i="1"/>
  <c r="AB1482" i="1"/>
  <c r="AI1482" i="1"/>
  <c r="AJ1482" i="1"/>
  <c r="AK1482" i="1"/>
  <c r="AP1482" i="1"/>
  <c r="AR1482" i="1"/>
  <c r="AY1482" i="1"/>
  <c r="BE1482" i="1"/>
  <c r="BF1482" i="1"/>
  <c r="C1483" i="1"/>
  <c r="E1483" i="1"/>
  <c r="F1483" i="1"/>
  <c r="G1483" i="1"/>
  <c r="H1483" i="1"/>
  <c r="L1483" i="1"/>
  <c r="M1483" i="1"/>
  <c r="N1483" i="1"/>
  <c r="O1483" i="1"/>
  <c r="P1483" i="1"/>
  <c r="Q1483" i="1"/>
  <c r="R1483" i="1"/>
  <c r="S1483" i="1"/>
  <c r="T1483" i="1"/>
  <c r="U1483" i="1"/>
  <c r="V1483" i="1"/>
  <c r="AB1483" i="1"/>
  <c r="AI1483" i="1"/>
  <c r="AJ1483" i="1"/>
  <c r="AK1483" i="1"/>
  <c r="AP1483" i="1"/>
  <c r="AR1483" i="1"/>
  <c r="AY1483" i="1"/>
  <c r="BE1483" i="1"/>
  <c r="BF1483" i="1"/>
  <c r="C1484" i="1"/>
  <c r="E1484" i="1"/>
  <c r="F1484" i="1"/>
  <c r="G1484" i="1"/>
  <c r="H1484" i="1"/>
  <c r="L1484" i="1"/>
  <c r="M1484" i="1"/>
  <c r="N1484" i="1"/>
  <c r="O1484" i="1"/>
  <c r="P1484" i="1"/>
  <c r="Q1484" i="1"/>
  <c r="R1484" i="1"/>
  <c r="S1484" i="1"/>
  <c r="T1484" i="1"/>
  <c r="U1484" i="1"/>
  <c r="V1484" i="1"/>
  <c r="AB1484" i="1"/>
  <c r="AI1484" i="1"/>
  <c r="AJ1484" i="1"/>
  <c r="AK1484" i="1"/>
  <c r="AP1484" i="1"/>
  <c r="AR1484" i="1"/>
  <c r="AY1484" i="1"/>
  <c r="BE1484" i="1"/>
  <c r="BF1484" i="1"/>
  <c r="C1485" i="1"/>
  <c r="E1485" i="1"/>
  <c r="F1485" i="1"/>
  <c r="G1485" i="1"/>
  <c r="H1485" i="1"/>
  <c r="L1485" i="1"/>
  <c r="M1485" i="1"/>
  <c r="N1485" i="1"/>
  <c r="O1485" i="1"/>
  <c r="P1485" i="1"/>
  <c r="Q1485" i="1"/>
  <c r="R1485" i="1"/>
  <c r="S1485" i="1"/>
  <c r="T1485" i="1"/>
  <c r="U1485" i="1"/>
  <c r="V1485" i="1"/>
  <c r="AB1485" i="1"/>
  <c r="AI1485" i="1"/>
  <c r="AJ1485" i="1"/>
  <c r="AK1485" i="1"/>
  <c r="AP1485" i="1"/>
  <c r="AR1485" i="1"/>
  <c r="AY1485" i="1"/>
  <c r="BE1485" i="1"/>
  <c r="BF1485" i="1"/>
  <c r="C1486" i="1"/>
  <c r="E1486" i="1"/>
  <c r="F1486" i="1"/>
  <c r="G1486" i="1"/>
  <c r="H1486" i="1"/>
  <c r="L1486" i="1"/>
  <c r="M1486" i="1"/>
  <c r="N1486" i="1"/>
  <c r="O1486" i="1"/>
  <c r="P1486" i="1"/>
  <c r="Q1486" i="1"/>
  <c r="R1486" i="1"/>
  <c r="S1486" i="1"/>
  <c r="T1486" i="1"/>
  <c r="U1486" i="1"/>
  <c r="V1486" i="1"/>
  <c r="AB1486" i="1"/>
  <c r="AI1486" i="1"/>
  <c r="AJ1486" i="1"/>
  <c r="AK1486" i="1"/>
  <c r="AP1486" i="1"/>
  <c r="AR1486" i="1"/>
  <c r="AY1486" i="1"/>
  <c r="BE1486" i="1"/>
  <c r="BF1486" i="1"/>
  <c r="C1487" i="1"/>
  <c r="E1487" i="1"/>
  <c r="F1487" i="1"/>
  <c r="G1487" i="1"/>
  <c r="H1487" i="1"/>
  <c r="L1487" i="1"/>
  <c r="M1487" i="1"/>
  <c r="N1487" i="1"/>
  <c r="O1487" i="1"/>
  <c r="P1487" i="1"/>
  <c r="Q1487" i="1"/>
  <c r="R1487" i="1"/>
  <c r="S1487" i="1"/>
  <c r="T1487" i="1"/>
  <c r="U1487" i="1"/>
  <c r="V1487" i="1"/>
  <c r="AB1487" i="1"/>
  <c r="AI1487" i="1"/>
  <c r="AJ1487" i="1"/>
  <c r="AK1487" i="1"/>
  <c r="AP1487" i="1"/>
  <c r="AR1487" i="1"/>
  <c r="AY1487" i="1"/>
  <c r="BE1487" i="1"/>
  <c r="BF1487" i="1"/>
  <c r="C1488" i="1"/>
  <c r="E1488" i="1"/>
  <c r="F1488" i="1"/>
  <c r="G1488" i="1"/>
  <c r="H1488" i="1"/>
  <c r="L1488" i="1"/>
  <c r="M1488" i="1"/>
  <c r="N1488" i="1"/>
  <c r="O1488" i="1"/>
  <c r="P1488" i="1"/>
  <c r="Q1488" i="1"/>
  <c r="R1488" i="1"/>
  <c r="S1488" i="1"/>
  <c r="T1488" i="1"/>
  <c r="U1488" i="1"/>
  <c r="V1488" i="1"/>
  <c r="AB1488" i="1"/>
  <c r="AI1488" i="1"/>
  <c r="AJ1488" i="1"/>
  <c r="AK1488" i="1"/>
  <c r="AP1488" i="1"/>
  <c r="AR1488" i="1"/>
  <c r="AY1488" i="1"/>
  <c r="BE1488" i="1"/>
  <c r="BF1488" i="1"/>
  <c r="C1489" i="1"/>
  <c r="E1489" i="1"/>
  <c r="F1489" i="1"/>
  <c r="G1489" i="1"/>
  <c r="H1489" i="1"/>
  <c r="L1489" i="1"/>
  <c r="M1489" i="1"/>
  <c r="N1489" i="1"/>
  <c r="O1489" i="1"/>
  <c r="P1489" i="1"/>
  <c r="Q1489" i="1"/>
  <c r="R1489" i="1"/>
  <c r="S1489" i="1"/>
  <c r="T1489" i="1"/>
  <c r="U1489" i="1"/>
  <c r="V1489" i="1"/>
  <c r="AB1489" i="1"/>
  <c r="AI1489" i="1"/>
  <c r="AJ1489" i="1"/>
  <c r="AK1489" i="1"/>
  <c r="AP1489" i="1"/>
  <c r="AR1489" i="1"/>
  <c r="AY1489" i="1"/>
  <c r="BE1489" i="1"/>
  <c r="BF1489" i="1"/>
  <c r="C1490" i="1"/>
  <c r="E1490" i="1"/>
  <c r="F1490" i="1"/>
  <c r="G1490" i="1"/>
  <c r="H1490" i="1"/>
  <c r="L1490" i="1"/>
  <c r="M1490" i="1"/>
  <c r="N1490" i="1"/>
  <c r="O1490" i="1"/>
  <c r="P1490" i="1"/>
  <c r="Q1490" i="1"/>
  <c r="R1490" i="1"/>
  <c r="S1490" i="1"/>
  <c r="T1490" i="1"/>
  <c r="U1490" i="1"/>
  <c r="V1490" i="1"/>
  <c r="AB1490" i="1"/>
  <c r="AI1490" i="1"/>
  <c r="AJ1490" i="1"/>
  <c r="AK1490" i="1"/>
  <c r="AP1490" i="1"/>
  <c r="AR1490" i="1"/>
  <c r="AY1490" i="1"/>
  <c r="BE1490" i="1"/>
  <c r="BF1490" i="1"/>
  <c r="C1491" i="1"/>
  <c r="E1491" i="1"/>
  <c r="F1491" i="1"/>
  <c r="G1491" i="1"/>
  <c r="H1491" i="1"/>
  <c r="L1491" i="1"/>
  <c r="M1491" i="1"/>
  <c r="N1491" i="1"/>
  <c r="O1491" i="1"/>
  <c r="P1491" i="1"/>
  <c r="Q1491" i="1"/>
  <c r="R1491" i="1"/>
  <c r="S1491" i="1"/>
  <c r="T1491" i="1"/>
  <c r="U1491" i="1"/>
  <c r="V1491" i="1"/>
  <c r="AB1491" i="1"/>
  <c r="AI1491" i="1"/>
  <c r="AJ1491" i="1"/>
  <c r="AK1491" i="1"/>
  <c r="AP1491" i="1"/>
  <c r="AR1491" i="1"/>
  <c r="AY1491" i="1"/>
  <c r="BE1491" i="1"/>
  <c r="BF1491" i="1"/>
  <c r="C1492" i="1"/>
  <c r="E1492" i="1"/>
  <c r="F1492" i="1"/>
  <c r="G1492" i="1"/>
  <c r="H1492" i="1"/>
  <c r="L1492" i="1"/>
  <c r="M1492" i="1"/>
  <c r="N1492" i="1"/>
  <c r="O1492" i="1"/>
  <c r="P1492" i="1"/>
  <c r="Q1492" i="1"/>
  <c r="R1492" i="1"/>
  <c r="S1492" i="1"/>
  <c r="T1492" i="1"/>
  <c r="U1492" i="1"/>
  <c r="V1492" i="1"/>
  <c r="AB1492" i="1"/>
  <c r="AI1492" i="1"/>
  <c r="AJ1492" i="1"/>
  <c r="AK1492" i="1"/>
  <c r="AP1492" i="1"/>
  <c r="AR1492" i="1"/>
  <c r="AY1492" i="1"/>
  <c r="BE1492" i="1"/>
  <c r="BF1492" i="1"/>
  <c r="C1493" i="1"/>
  <c r="E1493" i="1"/>
  <c r="F1493" i="1"/>
  <c r="G1493" i="1"/>
  <c r="H1493" i="1"/>
  <c r="L1493" i="1"/>
  <c r="M1493" i="1"/>
  <c r="N1493" i="1"/>
  <c r="O1493" i="1"/>
  <c r="P1493" i="1"/>
  <c r="Q1493" i="1"/>
  <c r="R1493" i="1"/>
  <c r="S1493" i="1"/>
  <c r="T1493" i="1"/>
  <c r="U1493" i="1"/>
  <c r="V1493" i="1"/>
  <c r="AB1493" i="1"/>
  <c r="AI1493" i="1"/>
  <c r="AJ1493" i="1"/>
  <c r="AK1493" i="1"/>
  <c r="AP1493" i="1"/>
  <c r="AR1493" i="1"/>
  <c r="AY1493" i="1"/>
  <c r="BE1493" i="1"/>
  <c r="BF1493" i="1"/>
  <c r="C1494" i="1"/>
  <c r="E1494" i="1"/>
  <c r="F1494" i="1"/>
  <c r="G1494" i="1"/>
  <c r="H1494" i="1"/>
  <c r="L1494" i="1"/>
  <c r="M1494" i="1"/>
  <c r="N1494" i="1"/>
  <c r="O1494" i="1"/>
  <c r="P1494" i="1"/>
  <c r="Q1494" i="1"/>
  <c r="R1494" i="1"/>
  <c r="S1494" i="1"/>
  <c r="T1494" i="1"/>
  <c r="U1494" i="1"/>
  <c r="V1494" i="1"/>
  <c r="AB1494" i="1"/>
  <c r="AI1494" i="1"/>
  <c r="AJ1494" i="1"/>
  <c r="AK1494" i="1"/>
  <c r="AP1494" i="1"/>
  <c r="AR1494" i="1"/>
  <c r="AY1494" i="1"/>
  <c r="BE1494" i="1"/>
  <c r="BF1494" i="1"/>
  <c r="C1495" i="1"/>
  <c r="E1495" i="1"/>
  <c r="F1495" i="1"/>
  <c r="G1495" i="1"/>
  <c r="H1495" i="1"/>
  <c r="L1495" i="1"/>
  <c r="M1495" i="1"/>
  <c r="N1495" i="1"/>
  <c r="O1495" i="1"/>
  <c r="P1495" i="1"/>
  <c r="Q1495" i="1"/>
  <c r="R1495" i="1"/>
  <c r="S1495" i="1"/>
  <c r="T1495" i="1"/>
  <c r="U1495" i="1"/>
  <c r="V1495" i="1"/>
  <c r="AB1495" i="1"/>
  <c r="AI1495" i="1"/>
  <c r="AJ1495" i="1"/>
  <c r="AK1495" i="1"/>
  <c r="AP1495" i="1"/>
  <c r="AR1495" i="1"/>
  <c r="AY1495" i="1"/>
  <c r="BE1495" i="1"/>
  <c r="BF1495" i="1"/>
  <c r="C1496" i="1"/>
  <c r="E1496" i="1"/>
  <c r="F1496" i="1"/>
  <c r="G1496" i="1"/>
  <c r="H1496" i="1"/>
  <c r="L1496" i="1"/>
  <c r="M1496" i="1"/>
  <c r="N1496" i="1"/>
  <c r="O1496" i="1"/>
  <c r="P1496" i="1"/>
  <c r="Q1496" i="1"/>
  <c r="R1496" i="1"/>
  <c r="S1496" i="1"/>
  <c r="T1496" i="1"/>
  <c r="U1496" i="1"/>
  <c r="V1496" i="1"/>
  <c r="AB1496" i="1"/>
  <c r="AI1496" i="1"/>
  <c r="AJ1496" i="1"/>
  <c r="AK1496" i="1"/>
  <c r="AP1496" i="1"/>
  <c r="AR1496" i="1"/>
  <c r="AY1496" i="1"/>
  <c r="BE1496" i="1"/>
  <c r="BF1496" i="1"/>
  <c r="C1497" i="1"/>
  <c r="E1497" i="1"/>
  <c r="F1497" i="1"/>
  <c r="G1497" i="1"/>
  <c r="H1497" i="1"/>
  <c r="L1497" i="1"/>
  <c r="M1497" i="1"/>
  <c r="N1497" i="1"/>
  <c r="O1497" i="1"/>
  <c r="P1497" i="1"/>
  <c r="Q1497" i="1"/>
  <c r="R1497" i="1"/>
  <c r="S1497" i="1"/>
  <c r="T1497" i="1"/>
  <c r="U1497" i="1"/>
  <c r="V1497" i="1"/>
  <c r="AB1497" i="1"/>
  <c r="AI1497" i="1"/>
  <c r="AJ1497" i="1"/>
  <c r="AK1497" i="1"/>
  <c r="AP1497" i="1"/>
  <c r="AR1497" i="1"/>
  <c r="AY1497" i="1"/>
  <c r="BE1497" i="1"/>
  <c r="BF1497" i="1"/>
  <c r="C1498" i="1"/>
  <c r="E1498" i="1"/>
  <c r="F1498" i="1"/>
  <c r="G1498" i="1"/>
  <c r="H1498" i="1"/>
  <c r="L1498" i="1"/>
  <c r="M1498" i="1"/>
  <c r="N1498" i="1"/>
  <c r="O1498" i="1"/>
  <c r="P1498" i="1"/>
  <c r="Q1498" i="1"/>
  <c r="R1498" i="1"/>
  <c r="S1498" i="1"/>
  <c r="T1498" i="1"/>
  <c r="U1498" i="1"/>
  <c r="V1498" i="1"/>
  <c r="AB1498" i="1"/>
  <c r="AI1498" i="1"/>
  <c r="AJ1498" i="1"/>
  <c r="AK1498" i="1"/>
  <c r="AP1498" i="1"/>
  <c r="AR1498" i="1"/>
  <c r="AY1498" i="1"/>
  <c r="BE1498" i="1"/>
  <c r="BF1498" i="1"/>
  <c r="C1499" i="1"/>
  <c r="E1499" i="1"/>
  <c r="F1499" i="1"/>
  <c r="G1499" i="1"/>
  <c r="H1499" i="1"/>
  <c r="L1499" i="1"/>
  <c r="M1499" i="1"/>
  <c r="N1499" i="1"/>
  <c r="O1499" i="1"/>
  <c r="P1499" i="1"/>
  <c r="Q1499" i="1"/>
  <c r="R1499" i="1"/>
  <c r="S1499" i="1"/>
  <c r="T1499" i="1"/>
  <c r="U1499" i="1"/>
  <c r="V1499" i="1"/>
  <c r="AB1499" i="1"/>
  <c r="AI1499" i="1"/>
  <c r="AJ1499" i="1"/>
  <c r="AK1499" i="1"/>
  <c r="AP1499" i="1"/>
  <c r="AR1499" i="1"/>
  <c r="AY1499" i="1"/>
  <c r="BE1499" i="1"/>
  <c r="BF1499" i="1"/>
  <c r="C1500" i="1"/>
  <c r="E1500" i="1"/>
  <c r="F1500" i="1"/>
  <c r="G1500" i="1"/>
  <c r="H1500" i="1"/>
  <c r="L1500" i="1"/>
  <c r="M1500" i="1"/>
  <c r="N1500" i="1"/>
  <c r="O1500" i="1"/>
  <c r="P1500" i="1"/>
  <c r="Q1500" i="1"/>
  <c r="R1500" i="1"/>
  <c r="S1500" i="1"/>
  <c r="T1500" i="1"/>
  <c r="U1500" i="1"/>
  <c r="V1500" i="1"/>
  <c r="AB1500" i="1"/>
  <c r="AI1500" i="1"/>
  <c r="AJ1500" i="1"/>
  <c r="AK1500" i="1"/>
  <c r="AP1500" i="1"/>
  <c r="AR1500" i="1"/>
  <c r="AY1500" i="1"/>
  <c r="BE1500" i="1"/>
  <c r="BF1500" i="1"/>
  <c r="C1501" i="1"/>
  <c r="E1501" i="1"/>
  <c r="F1501" i="1"/>
  <c r="G1501" i="1"/>
  <c r="H1501" i="1"/>
  <c r="L1501" i="1"/>
  <c r="M1501" i="1"/>
  <c r="N1501" i="1"/>
  <c r="O1501" i="1"/>
  <c r="P1501" i="1"/>
  <c r="Q1501" i="1"/>
  <c r="R1501" i="1"/>
  <c r="S1501" i="1"/>
  <c r="T1501" i="1"/>
  <c r="U1501" i="1"/>
  <c r="V1501" i="1"/>
  <c r="AB1501" i="1"/>
  <c r="AI1501" i="1"/>
  <c r="AJ1501" i="1"/>
  <c r="AK1501" i="1"/>
  <c r="AP1501" i="1"/>
  <c r="AR1501" i="1"/>
  <c r="AY1501" i="1"/>
  <c r="BE1501" i="1"/>
  <c r="BF1501" i="1"/>
  <c r="C1502" i="1"/>
  <c r="E1502" i="1"/>
  <c r="F1502" i="1"/>
  <c r="G1502" i="1"/>
  <c r="H1502" i="1"/>
  <c r="L1502" i="1"/>
  <c r="M1502" i="1"/>
  <c r="N1502" i="1"/>
  <c r="O1502" i="1"/>
  <c r="P1502" i="1"/>
  <c r="Q1502" i="1"/>
  <c r="R1502" i="1"/>
  <c r="S1502" i="1"/>
  <c r="T1502" i="1"/>
  <c r="U1502" i="1"/>
  <c r="V1502" i="1"/>
  <c r="AB1502" i="1"/>
  <c r="AI1502" i="1"/>
  <c r="AJ1502" i="1"/>
  <c r="AK1502" i="1"/>
  <c r="AP1502" i="1"/>
  <c r="AR1502" i="1"/>
  <c r="AY1502" i="1"/>
  <c r="BE1502" i="1"/>
  <c r="BF1502" i="1"/>
  <c r="C1503" i="1"/>
  <c r="E1503" i="1"/>
  <c r="F1503" i="1"/>
  <c r="G1503" i="1"/>
  <c r="H1503" i="1"/>
  <c r="L1503" i="1"/>
  <c r="M1503" i="1"/>
  <c r="N1503" i="1"/>
  <c r="O1503" i="1"/>
  <c r="P1503" i="1"/>
  <c r="Q1503" i="1"/>
  <c r="R1503" i="1"/>
  <c r="S1503" i="1"/>
  <c r="T1503" i="1"/>
  <c r="U1503" i="1"/>
  <c r="V1503" i="1"/>
  <c r="AB1503" i="1"/>
  <c r="AI1503" i="1"/>
  <c r="AJ1503" i="1"/>
  <c r="AK1503" i="1"/>
  <c r="AP1503" i="1"/>
  <c r="AR1503" i="1"/>
  <c r="AY1503" i="1"/>
  <c r="BE1503" i="1"/>
  <c r="BF1503" i="1"/>
  <c r="C1504" i="1"/>
  <c r="E1504" i="1"/>
  <c r="F1504" i="1"/>
  <c r="G1504" i="1"/>
  <c r="H1504" i="1"/>
  <c r="L1504" i="1"/>
  <c r="M1504" i="1"/>
  <c r="N1504" i="1"/>
  <c r="O1504" i="1"/>
  <c r="P1504" i="1"/>
  <c r="Q1504" i="1"/>
  <c r="R1504" i="1"/>
  <c r="S1504" i="1"/>
  <c r="T1504" i="1"/>
  <c r="U1504" i="1"/>
  <c r="V1504" i="1"/>
  <c r="AB1504" i="1"/>
  <c r="AI1504" i="1"/>
  <c r="AJ1504" i="1"/>
  <c r="AK1504" i="1"/>
  <c r="AP1504" i="1"/>
  <c r="AR1504" i="1"/>
  <c r="AY1504" i="1"/>
  <c r="BE1504" i="1"/>
  <c r="BF1504" i="1"/>
  <c r="C1505" i="1"/>
  <c r="E1505" i="1"/>
  <c r="F1505" i="1"/>
  <c r="G1505" i="1"/>
  <c r="H1505" i="1"/>
  <c r="L1505" i="1"/>
  <c r="M1505" i="1"/>
  <c r="N1505" i="1"/>
  <c r="O1505" i="1"/>
  <c r="P1505" i="1"/>
  <c r="Q1505" i="1"/>
  <c r="R1505" i="1"/>
  <c r="S1505" i="1"/>
  <c r="T1505" i="1"/>
  <c r="U1505" i="1"/>
  <c r="V1505" i="1"/>
  <c r="AB1505" i="1"/>
  <c r="AI1505" i="1"/>
  <c r="AJ1505" i="1"/>
  <c r="AK1505" i="1"/>
  <c r="AP1505" i="1"/>
  <c r="AR1505" i="1"/>
  <c r="AY1505" i="1"/>
  <c r="BE1505" i="1"/>
  <c r="BF1505" i="1"/>
  <c r="C1506" i="1"/>
  <c r="E1506" i="1"/>
  <c r="F1506" i="1"/>
  <c r="G1506" i="1"/>
  <c r="H1506" i="1"/>
  <c r="L1506" i="1"/>
  <c r="M1506" i="1"/>
  <c r="N1506" i="1"/>
  <c r="O1506" i="1"/>
  <c r="P1506" i="1"/>
  <c r="Q1506" i="1"/>
  <c r="R1506" i="1"/>
  <c r="S1506" i="1"/>
  <c r="T1506" i="1"/>
  <c r="U1506" i="1"/>
  <c r="V1506" i="1"/>
  <c r="AB1506" i="1"/>
  <c r="AI1506" i="1"/>
  <c r="AJ1506" i="1"/>
  <c r="AK1506" i="1"/>
  <c r="AP1506" i="1"/>
  <c r="AR1506" i="1"/>
  <c r="AY1506" i="1"/>
  <c r="BE1506" i="1"/>
  <c r="BF1506" i="1"/>
  <c r="C1507" i="1"/>
  <c r="E1507" i="1"/>
  <c r="F1507" i="1"/>
  <c r="G1507" i="1"/>
  <c r="H1507" i="1"/>
  <c r="L1507" i="1"/>
  <c r="M1507" i="1"/>
  <c r="N1507" i="1"/>
  <c r="O1507" i="1"/>
  <c r="P1507" i="1"/>
  <c r="Q1507" i="1"/>
  <c r="R1507" i="1"/>
  <c r="S1507" i="1"/>
  <c r="T1507" i="1"/>
  <c r="U1507" i="1"/>
  <c r="V1507" i="1"/>
  <c r="AB1507" i="1"/>
  <c r="AI1507" i="1"/>
  <c r="AJ1507" i="1"/>
  <c r="AK1507" i="1"/>
  <c r="AP1507" i="1"/>
  <c r="AR1507" i="1"/>
  <c r="AY1507" i="1"/>
  <c r="BE1507" i="1"/>
  <c r="BF1507" i="1"/>
  <c r="C1508" i="1"/>
  <c r="E1508" i="1"/>
  <c r="F1508" i="1"/>
  <c r="G1508" i="1"/>
  <c r="H1508" i="1"/>
  <c r="L1508" i="1"/>
  <c r="M1508" i="1"/>
  <c r="N1508" i="1"/>
  <c r="O1508" i="1"/>
  <c r="P1508" i="1"/>
  <c r="Q1508" i="1"/>
  <c r="R1508" i="1"/>
  <c r="S1508" i="1"/>
  <c r="T1508" i="1"/>
  <c r="U1508" i="1"/>
  <c r="V1508" i="1"/>
  <c r="AB1508" i="1"/>
  <c r="AI1508" i="1"/>
  <c r="AJ1508" i="1"/>
  <c r="AK1508" i="1"/>
  <c r="AP1508" i="1"/>
  <c r="AR1508" i="1"/>
  <c r="AY1508" i="1"/>
  <c r="BE1508" i="1"/>
  <c r="BF1508" i="1"/>
  <c r="C1509" i="1"/>
  <c r="E1509" i="1"/>
  <c r="F1509" i="1"/>
  <c r="G1509" i="1"/>
  <c r="H1509" i="1"/>
  <c r="L1509" i="1"/>
  <c r="M1509" i="1"/>
  <c r="N1509" i="1"/>
  <c r="O1509" i="1"/>
  <c r="P1509" i="1"/>
  <c r="Q1509" i="1"/>
  <c r="R1509" i="1"/>
  <c r="S1509" i="1"/>
  <c r="T1509" i="1"/>
  <c r="U1509" i="1"/>
  <c r="V1509" i="1"/>
  <c r="AB1509" i="1"/>
  <c r="AI1509" i="1"/>
  <c r="AJ1509" i="1"/>
  <c r="AK1509" i="1"/>
  <c r="AP1509" i="1"/>
  <c r="AR1509" i="1"/>
  <c r="AY1509" i="1"/>
  <c r="BE1509" i="1"/>
  <c r="BF1509" i="1"/>
  <c r="C1510" i="1"/>
  <c r="E1510" i="1"/>
  <c r="F1510" i="1"/>
  <c r="G1510" i="1"/>
  <c r="H1510" i="1"/>
  <c r="L1510" i="1"/>
  <c r="M1510" i="1"/>
  <c r="N1510" i="1"/>
  <c r="O1510" i="1"/>
  <c r="P1510" i="1"/>
  <c r="Q1510" i="1"/>
  <c r="R1510" i="1"/>
  <c r="S1510" i="1"/>
  <c r="T1510" i="1"/>
  <c r="U1510" i="1"/>
  <c r="V1510" i="1"/>
  <c r="AB1510" i="1"/>
  <c r="AI1510" i="1"/>
  <c r="AJ1510" i="1"/>
  <c r="AK1510" i="1"/>
  <c r="AP1510" i="1"/>
  <c r="AR1510" i="1"/>
  <c r="AY1510" i="1"/>
  <c r="BE1510" i="1"/>
  <c r="BF1510" i="1"/>
  <c r="C1511" i="1"/>
  <c r="E1511" i="1"/>
  <c r="F1511" i="1"/>
  <c r="G1511" i="1"/>
  <c r="H1511" i="1"/>
  <c r="L1511" i="1"/>
  <c r="M1511" i="1"/>
  <c r="N1511" i="1"/>
  <c r="O1511" i="1"/>
  <c r="P1511" i="1"/>
  <c r="Q1511" i="1"/>
  <c r="R1511" i="1"/>
  <c r="S1511" i="1"/>
  <c r="T1511" i="1"/>
  <c r="U1511" i="1"/>
  <c r="V1511" i="1"/>
  <c r="AB1511" i="1"/>
  <c r="AI1511" i="1"/>
  <c r="AJ1511" i="1"/>
  <c r="AK1511" i="1"/>
  <c r="AP1511" i="1"/>
  <c r="AR1511" i="1"/>
  <c r="AY1511" i="1"/>
  <c r="BE1511" i="1"/>
  <c r="BF1511" i="1"/>
  <c r="C1512" i="1"/>
  <c r="E1512" i="1"/>
  <c r="F1512" i="1"/>
  <c r="G1512" i="1"/>
  <c r="H1512" i="1"/>
  <c r="L1512" i="1"/>
  <c r="M1512" i="1"/>
  <c r="N1512" i="1"/>
  <c r="O1512" i="1"/>
  <c r="P1512" i="1"/>
  <c r="Q1512" i="1"/>
  <c r="R1512" i="1"/>
  <c r="S1512" i="1"/>
  <c r="T1512" i="1"/>
  <c r="U1512" i="1"/>
  <c r="V1512" i="1"/>
  <c r="AB1512" i="1"/>
  <c r="AI1512" i="1"/>
  <c r="AJ1512" i="1"/>
  <c r="AK1512" i="1"/>
  <c r="AP1512" i="1"/>
  <c r="AR1512" i="1"/>
  <c r="AY1512" i="1"/>
  <c r="BE1512" i="1"/>
  <c r="BF1512" i="1"/>
  <c r="C1513" i="1"/>
  <c r="E1513" i="1"/>
  <c r="F1513" i="1"/>
  <c r="G1513" i="1"/>
  <c r="H1513" i="1"/>
  <c r="L1513" i="1"/>
  <c r="M1513" i="1"/>
  <c r="N1513" i="1"/>
  <c r="O1513" i="1"/>
  <c r="P1513" i="1"/>
  <c r="Q1513" i="1"/>
  <c r="R1513" i="1"/>
  <c r="S1513" i="1"/>
  <c r="T1513" i="1"/>
  <c r="U1513" i="1"/>
  <c r="V1513" i="1"/>
  <c r="AB1513" i="1"/>
  <c r="AI1513" i="1"/>
  <c r="AJ1513" i="1"/>
  <c r="AK1513" i="1"/>
  <c r="AP1513" i="1"/>
  <c r="AR1513" i="1"/>
  <c r="AY1513" i="1"/>
  <c r="BE1513" i="1"/>
  <c r="BF1513" i="1"/>
  <c r="C1514" i="1"/>
  <c r="E1514" i="1"/>
  <c r="F1514" i="1"/>
  <c r="G1514" i="1"/>
  <c r="H1514" i="1"/>
  <c r="L1514" i="1"/>
  <c r="M1514" i="1"/>
  <c r="N1514" i="1"/>
  <c r="O1514" i="1"/>
  <c r="P1514" i="1"/>
  <c r="Q1514" i="1"/>
  <c r="R1514" i="1"/>
  <c r="S1514" i="1"/>
  <c r="T1514" i="1"/>
  <c r="U1514" i="1"/>
  <c r="V1514" i="1"/>
  <c r="AB1514" i="1"/>
  <c r="AI1514" i="1"/>
  <c r="AJ1514" i="1"/>
  <c r="AK1514" i="1"/>
  <c r="AP1514" i="1"/>
  <c r="AR1514" i="1"/>
  <c r="AY1514" i="1"/>
  <c r="BE1514" i="1"/>
  <c r="BF1514" i="1"/>
  <c r="C1515" i="1"/>
  <c r="E1515" i="1"/>
  <c r="F1515" i="1"/>
  <c r="G1515" i="1"/>
  <c r="H1515" i="1"/>
  <c r="L1515" i="1"/>
  <c r="M1515" i="1"/>
  <c r="N1515" i="1"/>
  <c r="O1515" i="1"/>
  <c r="P1515" i="1"/>
  <c r="Q1515" i="1"/>
  <c r="R1515" i="1"/>
  <c r="S1515" i="1"/>
  <c r="T1515" i="1"/>
  <c r="U1515" i="1"/>
  <c r="V1515" i="1"/>
  <c r="AB1515" i="1"/>
  <c r="AI1515" i="1"/>
  <c r="AJ1515" i="1"/>
  <c r="AK1515" i="1"/>
  <c r="AP1515" i="1"/>
  <c r="AR1515" i="1"/>
  <c r="AY1515" i="1"/>
  <c r="BE1515" i="1"/>
  <c r="BF1515" i="1"/>
  <c r="C1516" i="1"/>
  <c r="E1516" i="1"/>
  <c r="F1516" i="1"/>
  <c r="G1516" i="1"/>
  <c r="H1516" i="1"/>
  <c r="L1516" i="1"/>
  <c r="M1516" i="1"/>
  <c r="N1516" i="1"/>
  <c r="O1516" i="1"/>
  <c r="P1516" i="1"/>
  <c r="Q1516" i="1"/>
  <c r="R1516" i="1"/>
  <c r="S1516" i="1"/>
  <c r="T1516" i="1"/>
  <c r="U1516" i="1"/>
  <c r="V1516" i="1"/>
  <c r="AB1516" i="1"/>
  <c r="AI1516" i="1"/>
  <c r="AJ1516" i="1"/>
  <c r="AK1516" i="1"/>
  <c r="AP1516" i="1"/>
  <c r="AR1516" i="1"/>
  <c r="AY1516" i="1"/>
  <c r="BE1516" i="1"/>
  <c r="BF1516" i="1"/>
  <c r="C1517" i="1"/>
  <c r="E1517" i="1"/>
  <c r="F1517" i="1"/>
  <c r="G1517" i="1"/>
  <c r="H1517" i="1"/>
  <c r="L1517" i="1"/>
  <c r="M1517" i="1"/>
  <c r="N1517" i="1"/>
  <c r="O1517" i="1"/>
  <c r="P1517" i="1"/>
  <c r="Q1517" i="1"/>
  <c r="R1517" i="1"/>
  <c r="S1517" i="1"/>
  <c r="T1517" i="1"/>
  <c r="U1517" i="1"/>
  <c r="V1517" i="1"/>
  <c r="AB1517" i="1"/>
  <c r="AI1517" i="1"/>
  <c r="AJ1517" i="1"/>
  <c r="AK1517" i="1"/>
  <c r="AP1517" i="1"/>
  <c r="AR1517" i="1"/>
  <c r="AY1517" i="1"/>
  <c r="BE1517" i="1"/>
  <c r="BF1517" i="1"/>
  <c r="C1518" i="1"/>
  <c r="E1518" i="1"/>
  <c r="F1518" i="1"/>
  <c r="G1518" i="1"/>
  <c r="H1518" i="1"/>
  <c r="L1518" i="1"/>
  <c r="M1518" i="1"/>
  <c r="N1518" i="1"/>
  <c r="O1518" i="1"/>
  <c r="P1518" i="1"/>
  <c r="Q1518" i="1"/>
  <c r="R1518" i="1"/>
  <c r="S1518" i="1"/>
  <c r="T1518" i="1"/>
  <c r="U1518" i="1"/>
  <c r="V1518" i="1"/>
  <c r="AB1518" i="1"/>
  <c r="AI1518" i="1"/>
  <c r="AJ1518" i="1"/>
  <c r="AK1518" i="1"/>
  <c r="AP1518" i="1"/>
  <c r="AR1518" i="1"/>
  <c r="AY1518" i="1"/>
  <c r="BE1518" i="1"/>
  <c r="BF1518" i="1"/>
  <c r="C1519" i="1"/>
  <c r="E1519" i="1"/>
  <c r="F1519" i="1"/>
  <c r="G1519" i="1"/>
  <c r="H1519" i="1"/>
  <c r="L1519" i="1"/>
  <c r="M1519" i="1"/>
  <c r="N1519" i="1"/>
  <c r="O1519" i="1"/>
  <c r="P1519" i="1"/>
  <c r="Q1519" i="1"/>
  <c r="R1519" i="1"/>
  <c r="S1519" i="1"/>
  <c r="T1519" i="1"/>
  <c r="U1519" i="1"/>
  <c r="V1519" i="1"/>
  <c r="AB1519" i="1"/>
  <c r="AI1519" i="1"/>
  <c r="AJ1519" i="1"/>
  <c r="AK1519" i="1"/>
  <c r="AP1519" i="1"/>
  <c r="AR1519" i="1"/>
  <c r="AY1519" i="1"/>
  <c r="BE1519" i="1"/>
  <c r="BF1519" i="1"/>
  <c r="C1520" i="1"/>
  <c r="E1520" i="1"/>
  <c r="F1520" i="1"/>
  <c r="G1520" i="1"/>
  <c r="H1520" i="1"/>
  <c r="L1520" i="1"/>
  <c r="M1520" i="1"/>
  <c r="N1520" i="1"/>
  <c r="O1520" i="1"/>
  <c r="P1520" i="1"/>
  <c r="Q1520" i="1"/>
  <c r="R1520" i="1"/>
  <c r="S1520" i="1"/>
  <c r="T1520" i="1"/>
  <c r="U1520" i="1"/>
  <c r="V1520" i="1"/>
  <c r="AB1520" i="1"/>
  <c r="AI1520" i="1"/>
  <c r="AJ1520" i="1"/>
  <c r="AK1520" i="1"/>
  <c r="AP1520" i="1"/>
  <c r="AR1520" i="1"/>
  <c r="AY1520" i="1"/>
  <c r="BE1520" i="1"/>
  <c r="BF1520" i="1"/>
  <c r="C1521" i="1"/>
  <c r="E1521" i="1"/>
  <c r="F1521" i="1"/>
  <c r="G1521" i="1"/>
  <c r="H1521" i="1"/>
  <c r="L1521" i="1"/>
  <c r="M1521" i="1"/>
  <c r="N1521" i="1"/>
  <c r="O1521" i="1"/>
  <c r="P1521" i="1"/>
  <c r="Q1521" i="1"/>
  <c r="R1521" i="1"/>
  <c r="S1521" i="1"/>
  <c r="T1521" i="1"/>
  <c r="U1521" i="1"/>
  <c r="V1521" i="1"/>
  <c r="AB1521" i="1"/>
  <c r="AI1521" i="1"/>
  <c r="AJ1521" i="1"/>
  <c r="AK1521" i="1"/>
  <c r="AP1521" i="1"/>
  <c r="AR1521" i="1"/>
  <c r="AY1521" i="1"/>
  <c r="BE1521" i="1"/>
  <c r="BF1521" i="1"/>
  <c r="C1522" i="1"/>
  <c r="E1522" i="1"/>
  <c r="F1522" i="1"/>
  <c r="G1522" i="1"/>
  <c r="H1522" i="1"/>
  <c r="L1522" i="1"/>
  <c r="M1522" i="1"/>
  <c r="N1522" i="1"/>
  <c r="O1522" i="1"/>
  <c r="P1522" i="1"/>
  <c r="Q1522" i="1"/>
  <c r="R1522" i="1"/>
  <c r="S1522" i="1"/>
  <c r="T1522" i="1"/>
  <c r="U1522" i="1"/>
  <c r="V1522" i="1"/>
  <c r="AB1522" i="1"/>
  <c r="AI1522" i="1"/>
  <c r="AJ1522" i="1"/>
  <c r="AK1522" i="1"/>
  <c r="AP1522" i="1"/>
  <c r="AR1522" i="1"/>
  <c r="AY1522" i="1"/>
  <c r="BE1522" i="1"/>
  <c r="BF1522" i="1"/>
  <c r="C1523" i="1"/>
  <c r="E1523" i="1"/>
  <c r="F1523" i="1"/>
  <c r="G1523" i="1"/>
  <c r="H1523" i="1"/>
  <c r="L1523" i="1"/>
  <c r="M1523" i="1"/>
  <c r="N1523" i="1"/>
  <c r="O1523" i="1"/>
  <c r="P1523" i="1"/>
  <c r="Q1523" i="1"/>
  <c r="R1523" i="1"/>
  <c r="S1523" i="1"/>
  <c r="T1523" i="1"/>
  <c r="U1523" i="1"/>
  <c r="V1523" i="1"/>
  <c r="AB1523" i="1"/>
  <c r="AI1523" i="1"/>
  <c r="AJ1523" i="1"/>
  <c r="AK1523" i="1"/>
  <c r="AP1523" i="1"/>
  <c r="AR1523" i="1"/>
  <c r="AY1523" i="1"/>
  <c r="BE1523" i="1"/>
  <c r="BF1523" i="1"/>
  <c r="C1524" i="1"/>
  <c r="E1524" i="1"/>
  <c r="F1524" i="1"/>
  <c r="G1524" i="1"/>
  <c r="H1524" i="1"/>
  <c r="L1524" i="1"/>
  <c r="M1524" i="1"/>
  <c r="N1524" i="1"/>
  <c r="O1524" i="1"/>
  <c r="P1524" i="1"/>
  <c r="Q1524" i="1"/>
  <c r="R1524" i="1"/>
  <c r="S1524" i="1"/>
  <c r="T1524" i="1"/>
  <c r="U1524" i="1"/>
  <c r="V1524" i="1"/>
  <c r="AB1524" i="1"/>
  <c r="AI1524" i="1"/>
  <c r="AJ1524" i="1"/>
  <c r="AK1524" i="1"/>
  <c r="AP1524" i="1"/>
  <c r="AR1524" i="1"/>
  <c r="AY1524" i="1"/>
  <c r="BE1524" i="1"/>
  <c r="BF1524" i="1"/>
  <c r="C1525" i="1"/>
  <c r="E1525" i="1"/>
  <c r="F1525" i="1"/>
  <c r="G1525" i="1"/>
  <c r="H1525" i="1"/>
  <c r="L1525" i="1"/>
  <c r="M1525" i="1"/>
  <c r="N1525" i="1"/>
  <c r="O1525" i="1"/>
  <c r="P1525" i="1"/>
  <c r="Q1525" i="1"/>
  <c r="R1525" i="1"/>
  <c r="S1525" i="1"/>
  <c r="T1525" i="1"/>
  <c r="U1525" i="1"/>
  <c r="V1525" i="1"/>
  <c r="AB1525" i="1"/>
  <c r="AI1525" i="1"/>
  <c r="AJ1525" i="1"/>
  <c r="AK1525" i="1"/>
  <c r="AP1525" i="1"/>
  <c r="AR1525" i="1"/>
  <c r="AY1525" i="1"/>
  <c r="BE1525" i="1"/>
  <c r="BF1525" i="1"/>
  <c r="C1526" i="1"/>
  <c r="E1526" i="1"/>
  <c r="F1526" i="1"/>
  <c r="G1526" i="1"/>
  <c r="H1526" i="1"/>
  <c r="L1526" i="1"/>
  <c r="M1526" i="1"/>
  <c r="N1526" i="1"/>
  <c r="O1526" i="1"/>
  <c r="P1526" i="1"/>
  <c r="Q1526" i="1"/>
  <c r="R1526" i="1"/>
  <c r="S1526" i="1"/>
  <c r="T1526" i="1"/>
  <c r="U1526" i="1"/>
  <c r="V1526" i="1"/>
  <c r="AB1526" i="1"/>
  <c r="AI1526" i="1"/>
  <c r="AJ1526" i="1"/>
  <c r="AK1526" i="1"/>
  <c r="AP1526" i="1"/>
  <c r="AR1526" i="1"/>
  <c r="AY1526" i="1"/>
  <c r="BE1526" i="1"/>
  <c r="BF1526" i="1"/>
  <c r="C1527" i="1"/>
  <c r="E1527" i="1"/>
  <c r="F1527" i="1"/>
  <c r="G1527" i="1"/>
  <c r="H1527" i="1"/>
  <c r="L1527" i="1"/>
  <c r="M1527" i="1"/>
  <c r="N1527" i="1"/>
  <c r="O1527" i="1"/>
  <c r="P1527" i="1"/>
  <c r="Q1527" i="1"/>
  <c r="R1527" i="1"/>
  <c r="S1527" i="1"/>
  <c r="T1527" i="1"/>
  <c r="U1527" i="1"/>
  <c r="V1527" i="1"/>
  <c r="AB1527" i="1"/>
  <c r="AI1527" i="1"/>
  <c r="AJ1527" i="1"/>
  <c r="AK1527" i="1"/>
  <c r="AP1527" i="1"/>
  <c r="AR1527" i="1"/>
  <c r="AY1527" i="1"/>
  <c r="BE1527" i="1"/>
  <c r="BF1527" i="1"/>
  <c r="C1528" i="1"/>
  <c r="E1528" i="1"/>
  <c r="F1528" i="1"/>
  <c r="G1528" i="1"/>
  <c r="H1528" i="1"/>
  <c r="L1528" i="1"/>
  <c r="M1528" i="1"/>
  <c r="N1528" i="1"/>
  <c r="O1528" i="1"/>
  <c r="P1528" i="1"/>
  <c r="Q1528" i="1"/>
  <c r="R1528" i="1"/>
  <c r="S1528" i="1"/>
  <c r="T1528" i="1"/>
  <c r="U1528" i="1"/>
  <c r="V1528" i="1"/>
  <c r="AB1528" i="1"/>
  <c r="AI1528" i="1"/>
  <c r="AJ1528" i="1"/>
  <c r="AK1528" i="1"/>
  <c r="AP1528" i="1"/>
  <c r="AR1528" i="1"/>
  <c r="AY1528" i="1"/>
  <c r="BE1528" i="1"/>
  <c r="BF1528" i="1"/>
  <c r="C1529" i="1"/>
  <c r="E1529" i="1"/>
  <c r="F1529" i="1"/>
  <c r="G1529" i="1"/>
  <c r="H1529" i="1"/>
  <c r="L1529" i="1"/>
  <c r="M1529" i="1"/>
  <c r="N1529" i="1"/>
  <c r="O1529" i="1"/>
  <c r="P1529" i="1"/>
  <c r="Q1529" i="1"/>
  <c r="R1529" i="1"/>
  <c r="S1529" i="1"/>
  <c r="T1529" i="1"/>
  <c r="U1529" i="1"/>
  <c r="V1529" i="1"/>
  <c r="AB1529" i="1"/>
  <c r="AI1529" i="1"/>
  <c r="AJ1529" i="1"/>
  <c r="AK1529" i="1"/>
  <c r="AP1529" i="1"/>
  <c r="AR1529" i="1"/>
  <c r="AY1529" i="1"/>
  <c r="BE1529" i="1"/>
  <c r="BF1529" i="1"/>
  <c r="C1530" i="1"/>
  <c r="E1530" i="1"/>
  <c r="F1530" i="1"/>
  <c r="G1530" i="1"/>
  <c r="H1530" i="1"/>
  <c r="L1530" i="1"/>
  <c r="M1530" i="1"/>
  <c r="N1530" i="1"/>
  <c r="O1530" i="1"/>
  <c r="P1530" i="1"/>
  <c r="Q1530" i="1"/>
  <c r="R1530" i="1"/>
  <c r="S1530" i="1"/>
  <c r="T1530" i="1"/>
  <c r="U1530" i="1"/>
  <c r="V1530" i="1"/>
  <c r="AB1530" i="1"/>
  <c r="AI1530" i="1"/>
  <c r="AJ1530" i="1"/>
  <c r="AK1530" i="1"/>
  <c r="AP1530" i="1"/>
  <c r="AR1530" i="1"/>
  <c r="AY1530" i="1"/>
  <c r="BE1530" i="1"/>
  <c r="BF1530" i="1"/>
  <c r="C1531" i="1"/>
  <c r="E1531" i="1"/>
  <c r="F1531" i="1"/>
  <c r="G1531" i="1"/>
  <c r="H1531" i="1"/>
  <c r="L1531" i="1"/>
  <c r="M1531" i="1"/>
  <c r="N1531" i="1"/>
  <c r="O1531" i="1"/>
  <c r="P1531" i="1"/>
  <c r="Q1531" i="1"/>
  <c r="R1531" i="1"/>
  <c r="S1531" i="1"/>
  <c r="T1531" i="1"/>
  <c r="U1531" i="1"/>
  <c r="V1531" i="1"/>
  <c r="AB1531" i="1"/>
  <c r="AI1531" i="1"/>
  <c r="AJ1531" i="1"/>
  <c r="AK1531" i="1"/>
  <c r="AP1531" i="1"/>
  <c r="AR1531" i="1"/>
  <c r="AY1531" i="1"/>
  <c r="BE1531" i="1"/>
  <c r="BF1531" i="1"/>
  <c r="C1532" i="1"/>
  <c r="E1532" i="1"/>
  <c r="F1532" i="1"/>
  <c r="G1532" i="1"/>
  <c r="H1532" i="1"/>
  <c r="L1532" i="1"/>
  <c r="M1532" i="1"/>
  <c r="N1532" i="1"/>
  <c r="O1532" i="1"/>
  <c r="P1532" i="1"/>
  <c r="Q1532" i="1"/>
  <c r="R1532" i="1"/>
  <c r="S1532" i="1"/>
  <c r="T1532" i="1"/>
  <c r="U1532" i="1"/>
  <c r="V1532" i="1"/>
  <c r="AB1532" i="1"/>
  <c r="AI1532" i="1"/>
  <c r="AJ1532" i="1"/>
  <c r="AK1532" i="1"/>
  <c r="AP1532" i="1"/>
  <c r="AR1532" i="1"/>
  <c r="AY1532" i="1"/>
  <c r="BE1532" i="1"/>
  <c r="BF1532" i="1"/>
  <c r="C1533" i="1"/>
  <c r="E1533" i="1"/>
  <c r="F1533" i="1"/>
  <c r="G1533" i="1"/>
  <c r="H1533" i="1"/>
  <c r="L1533" i="1"/>
  <c r="M1533" i="1"/>
  <c r="N1533" i="1"/>
  <c r="O1533" i="1"/>
  <c r="P1533" i="1"/>
  <c r="Q1533" i="1"/>
  <c r="R1533" i="1"/>
  <c r="S1533" i="1"/>
  <c r="T1533" i="1"/>
  <c r="U1533" i="1"/>
  <c r="V1533" i="1"/>
  <c r="AB1533" i="1"/>
  <c r="AI1533" i="1"/>
  <c r="AJ1533" i="1"/>
  <c r="AK1533" i="1"/>
  <c r="AP1533" i="1"/>
  <c r="AR1533" i="1"/>
  <c r="AY1533" i="1"/>
  <c r="BE1533" i="1"/>
  <c r="BF1533" i="1"/>
  <c r="C1534" i="1"/>
  <c r="E1534" i="1"/>
  <c r="F1534" i="1"/>
  <c r="G1534" i="1"/>
  <c r="H1534" i="1"/>
  <c r="L1534" i="1"/>
  <c r="M1534" i="1"/>
  <c r="N1534" i="1"/>
  <c r="O1534" i="1"/>
  <c r="P1534" i="1"/>
  <c r="Q1534" i="1"/>
  <c r="R1534" i="1"/>
  <c r="S1534" i="1"/>
  <c r="T1534" i="1"/>
  <c r="U1534" i="1"/>
  <c r="V1534" i="1"/>
  <c r="AB1534" i="1"/>
  <c r="AI1534" i="1"/>
  <c r="AJ1534" i="1"/>
  <c r="AK1534" i="1"/>
  <c r="AP1534" i="1"/>
  <c r="AR1534" i="1"/>
  <c r="AY1534" i="1"/>
  <c r="BE1534" i="1"/>
  <c r="BF1534" i="1"/>
  <c r="C1535" i="1"/>
  <c r="E1535" i="1"/>
  <c r="F1535" i="1"/>
  <c r="G1535" i="1"/>
  <c r="H1535" i="1"/>
  <c r="L1535" i="1"/>
  <c r="M1535" i="1"/>
  <c r="N1535" i="1"/>
  <c r="O1535" i="1"/>
  <c r="P1535" i="1"/>
  <c r="Q1535" i="1"/>
  <c r="R1535" i="1"/>
  <c r="S1535" i="1"/>
  <c r="T1535" i="1"/>
  <c r="U1535" i="1"/>
  <c r="V1535" i="1"/>
  <c r="AB1535" i="1"/>
  <c r="AI1535" i="1"/>
  <c r="AJ1535" i="1"/>
  <c r="AK1535" i="1"/>
  <c r="AP1535" i="1"/>
  <c r="AR1535" i="1"/>
  <c r="AY1535" i="1"/>
  <c r="BE1535" i="1"/>
  <c r="BF1535" i="1"/>
  <c r="C1536" i="1"/>
  <c r="E1536" i="1"/>
  <c r="F1536" i="1"/>
  <c r="G1536" i="1"/>
  <c r="H1536" i="1"/>
  <c r="L1536" i="1"/>
  <c r="M1536" i="1"/>
  <c r="N1536" i="1"/>
  <c r="O1536" i="1"/>
  <c r="P1536" i="1"/>
  <c r="Q1536" i="1"/>
  <c r="R1536" i="1"/>
  <c r="S1536" i="1"/>
  <c r="T1536" i="1"/>
  <c r="U1536" i="1"/>
  <c r="V1536" i="1"/>
  <c r="AB1536" i="1"/>
  <c r="AI1536" i="1"/>
  <c r="AJ1536" i="1"/>
  <c r="AK1536" i="1"/>
  <c r="AP1536" i="1"/>
  <c r="AR1536" i="1"/>
  <c r="AY1536" i="1"/>
  <c r="BE1536" i="1"/>
  <c r="BF1536" i="1"/>
  <c r="C1537" i="1"/>
  <c r="E1537" i="1"/>
  <c r="F1537" i="1"/>
  <c r="G1537" i="1"/>
  <c r="H1537" i="1"/>
  <c r="L1537" i="1"/>
  <c r="M1537" i="1"/>
  <c r="N1537" i="1"/>
  <c r="O1537" i="1"/>
  <c r="P1537" i="1"/>
  <c r="Q1537" i="1"/>
  <c r="R1537" i="1"/>
  <c r="S1537" i="1"/>
  <c r="T1537" i="1"/>
  <c r="U1537" i="1"/>
  <c r="V1537" i="1"/>
  <c r="AB1537" i="1"/>
  <c r="AI1537" i="1"/>
  <c r="AJ1537" i="1"/>
  <c r="AK1537" i="1"/>
  <c r="AP1537" i="1"/>
  <c r="AR1537" i="1"/>
  <c r="AY1537" i="1"/>
  <c r="BE1537" i="1"/>
  <c r="BF1537" i="1"/>
  <c r="C1538" i="1"/>
  <c r="E1538" i="1"/>
  <c r="F1538" i="1"/>
  <c r="G1538" i="1"/>
  <c r="H1538" i="1"/>
  <c r="L1538" i="1"/>
  <c r="M1538" i="1"/>
  <c r="N1538" i="1"/>
  <c r="O1538" i="1"/>
  <c r="P1538" i="1"/>
  <c r="Q1538" i="1"/>
  <c r="R1538" i="1"/>
  <c r="S1538" i="1"/>
  <c r="T1538" i="1"/>
  <c r="U1538" i="1"/>
  <c r="V1538" i="1"/>
  <c r="AB1538" i="1"/>
  <c r="AI1538" i="1"/>
  <c r="AJ1538" i="1"/>
  <c r="AK1538" i="1"/>
  <c r="AP1538" i="1"/>
  <c r="AR1538" i="1"/>
  <c r="AY1538" i="1"/>
  <c r="BE1538" i="1"/>
  <c r="BF1538" i="1"/>
  <c r="C1539" i="1"/>
  <c r="E1539" i="1"/>
  <c r="F1539" i="1"/>
  <c r="G1539" i="1"/>
  <c r="H1539" i="1"/>
  <c r="L1539" i="1"/>
  <c r="M1539" i="1"/>
  <c r="N1539" i="1"/>
  <c r="O1539" i="1"/>
  <c r="P1539" i="1"/>
  <c r="Q1539" i="1"/>
  <c r="R1539" i="1"/>
  <c r="S1539" i="1"/>
  <c r="T1539" i="1"/>
  <c r="U1539" i="1"/>
  <c r="V1539" i="1"/>
  <c r="AB1539" i="1"/>
  <c r="AI1539" i="1"/>
  <c r="AJ1539" i="1"/>
  <c r="AK1539" i="1"/>
  <c r="AP1539" i="1"/>
  <c r="AR1539" i="1"/>
  <c r="AY1539" i="1"/>
  <c r="BE1539" i="1"/>
  <c r="BF1539" i="1"/>
  <c r="C1540" i="1"/>
  <c r="E1540" i="1"/>
  <c r="F1540" i="1"/>
  <c r="G1540" i="1"/>
  <c r="H1540" i="1"/>
  <c r="L1540" i="1"/>
  <c r="M1540" i="1"/>
  <c r="N1540" i="1"/>
  <c r="O1540" i="1"/>
  <c r="P1540" i="1"/>
  <c r="Q1540" i="1"/>
  <c r="R1540" i="1"/>
  <c r="S1540" i="1"/>
  <c r="T1540" i="1"/>
  <c r="U1540" i="1"/>
  <c r="V1540" i="1"/>
  <c r="AB1540" i="1"/>
  <c r="AI1540" i="1"/>
  <c r="AJ1540" i="1"/>
  <c r="AK1540" i="1"/>
  <c r="AP1540" i="1"/>
  <c r="AR1540" i="1"/>
  <c r="AY1540" i="1"/>
  <c r="BE1540" i="1"/>
  <c r="BF1540" i="1"/>
  <c r="C1541" i="1"/>
  <c r="E1541" i="1"/>
  <c r="F1541" i="1"/>
  <c r="G1541" i="1"/>
  <c r="H1541" i="1"/>
  <c r="L1541" i="1"/>
  <c r="M1541" i="1"/>
  <c r="N1541" i="1"/>
  <c r="O1541" i="1"/>
  <c r="P1541" i="1"/>
  <c r="Q1541" i="1"/>
  <c r="R1541" i="1"/>
  <c r="S1541" i="1"/>
  <c r="T1541" i="1"/>
  <c r="U1541" i="1"/>
  <c r="V1541" i="1"/>
  <c r="AB1541" i="1"/>
  <c r="AI1541" i="1"/>
  <c r="AJ1541" i="1"/>
  <c r="AK1541" i="1"/>
  <c r="AP1541" i="1"/>
  <c r="AR1541" i="1"/>
  <c r="AY1541" i="1"/>
  <c r="BE1541" i="1"/>
  <c r="BF1541" i="1"/>
  <c r="C1542" i="1"/>
  <c r="E1542" i="1"/>
  <c r="F1542" i="1"/>
  <c r="G1542" i="1"/>
  <c r="H1542" i="1"/>
  <c r="L1542" i="1"/>
  <c r="M1542" i="1"/>
  <c r="N1542" i="1"/>
  <c r="O1542" i="1"/>
  <c r="P1542" i="1"/>
  <c r="Q1542" i="1"/>
  <c r="R1542" i="1"/>
  <c r="S1542" i="1"/>
  <c r="T1542" i="1"/>
  <c r="U1542" i="1"/>
  <c r="V1542" i="1"/>
  <c r="AB1542" i="1"/>
  <c r="AI1542" i="1"/>
  <c r="AJ1542" i="1"/>
  <c r="AK1542" i="1"/>
  <c r="AP1542" i="1"/>
  <c r="AR1542" i="1"/>
  <c r="AY1542" i="1"/>
  <c r="BE1542" i="1"/>
  <c r="BF1542" i="1"/>
  <c r="C1543" i="1"/>
  <c r="E1543" i="1"/>
  <c r="F1543" i="1"/>
  <c r="G1543" i="1"/>
  <c r="H1543" i="1"/>
  <c r="L1543" i="1"/>
  <c r="M1543" i="1"/>
  <c r="N1543" i="1"/>
  <c r="O1543" i="1"/>
  <c r="P1543" i="1"/>
  <c r="Q1543" i="1"/>
  <c r="R1543" i="1"/>
  <c r="S1543" i="1"/>
  <c r="T1543" i="1"/>
  <c r="U1543" i="1"/>
  <c r="V1543" i="1"/>
  <c r="AB1543" i="1"/>
  <c r="AI1543" i="1"/>
  <c r="AJ1543" i="1"/>
  <c r="AK1543" i="1"/>
  <c r="AP1543" i="1"/>
  <c r="AR1543" i="1"/>
  <c r="AY1543" i="1"/>
  <c r="BE1543" i="1"/>
  <c r="BF1543" i="1"/>
  <c r="C1544" i="1"/>
  <c r="E1544" i="1"/>
  <c r="F1544" i="1"/>
  <c r="G1544" i="1"/>
  <c r="H1544" i="1"/>
  <c r="L1544" i="1"/>
  <c r="M1544" i="1"/>
  <c r="N1544" i="1"/>
  <c r="O1544" i="1"/>
  <c r="P1544" i="1"/>
  <c r="Q1544" i="1"/>
  <c r="R1544" i="1"/>
  <c r="S1544" i="1"/>
  <c r="T1544" i="1"/>
  <c r="U1544" i="1"/>
  <c r="V1544" i="1"/>
  <c r="AB1544" i="1"/>
  <c r="AI1544" i="1"/>
  <c r="AJ1544" i="1"/>
  <c r="AK1544" i="1"/>
  <c r="AP1544" i="1"/>
  <c r="AR1544" i="1"/>
  <c r="AY1544" i="1"/>
  <c r="BE1544" i="1"/>
  <c r="BF1544" i="1"/>
  <c r="C1545" i="1"/>
  <c r="E1545" i="1"/>
  <c r="F1545" i="1"/>
  <c r="G1545" i="1"/>
  <c r="H1545" i="1"/>
  <c r="L1545" i="1"/>
  <c r="M1545" i="1"/>
  <c r="N1545" i="1"/>
  <c r="O1545" i="1"/>
  <c r="P1545" i="1"/>
  <c r="Q1545" i="1"/>
  <c r="R1545" i="1"/>
  <c r="S1545" i="1"/>
  <c r="T1545" i="1"/>
  <c r="U1545" i="1"/>
  <c r="V1545" i="1"/>
  <c r="AB1545" i="1"/>
  <c r="AI1545" i="1"/>
  <c r="AJ1545" i="1"/>
  <c r="AK1545" i="1"/>
  <c r="AP1545" i="1"/>
  <c r="AR1545" i="1"/>
  <c r="AY1545" i="1"/>
  <c r="BE1545" i="1"/>
  <c r="BF1545" i="1"/>
  <c r="C1546" i="1"/>
  <c r="E1546" i="1"/>
  <c r="F1546" i="1"/>
  <c r="G1546" i="1"/>
  <c r="H1546" i="1"/>
  <c r="L1546" i="1"/>
  <c r="M1546" i="1"/>
  <c r="N1546" i="1"/>
  <c r="O1546" i="1"/>
  <c r="P1546" i="1"/>
  <c r="Q1546" i="1"/>
  <c r="R1546" i="1"/>
  <c r="S1546" i="1"/>
  <c r="T1546" i="1"/>
  <c r="U1546" i="1"/>
  <c r="V1546" i="1"/>
  <c r="AB1546" i="1"/>
  <c r="AI1546" i="1"/>
  <c r="AJ1546" i="1"/>
  <c r="AK1546" i="1"/>
  <c r="AP1546" i="1"/>
  <c r="AR1546" i="1"/>
  <c r="AY1546" i="1"/>
  <c r="BE1546" i="1"/>
  <c r="BF1546" i="1"/>
  <c r="C1547" i="1"/>
  <c r="E1547" i="1"/>
  <c r="F1547" i="1"/>
  <c r="G1547" i="1"/>
  <c r="H1547" i="1"/>
  <c r="L1547" i="1"/>
  <c r="M1547" i="1"/>
  <c r="N1547" i="1"/>
  <c r="O1547" i="1"/>
  <c r="P1547" i="1"/>
  <c r="Q1547" i="1"/>
  <c r="R1547" i="1"/>
  <c r="S1547" i="1"/>
  <c r="T1547" i="1"/>
  <c r="U1547" i="1"/>
  <c r="V1547" i="1"/>
  <c r="AB1547" i="1"/>
  <c r="AI1547" i="1"/>
  <c r="AJ1547" i="1"/>
  <c r="AK1547" i="1"/>
  <c r="AP1547" i="1"/>
  <c r="AR1547" i="1"/>
  <c r="AY1547" i="1"/>
  <c r="BE1547" i="1"/>
  <c r="BF1547" i="1"/>
  <c r="C1548" i="1"/>
  <c r="E1548" i="1"/>
  <c r="F1548" i="1"/>
  <c r="G1548" i="1"/>
  <c r="H1548" i="1"/>
  <c r="L1548" i="1"/>
  <c r="M1548" i="1"/>
  <c r="N1548" i="1"/>
  <c r="O1548" i="1"/>
  <c r="P1548" i="1"/>
  <c r="Q1548" i="1"/>
  <c r="R1548" i="1"/>
  <c r="S1548" i="1"/>
  <c r="T1548" i="1"/>
  <c r="U1548" i="1"/>
  <c r="V1548" i="1"/>
  <c r="AB1548" i="1"/>
  <c r="AI1548" i="1"/>
  <c r="AJ1548" i="1"/>
  <c r="AK1548" i="1"/>
  <c r="AP1548" i="1"/>
  <c r="AR1548" i="1"/>
  <c r="AY1548" i="1"/>
  <c r="BE1548" i="1"/>
  <c r="BF1548" i="1"/>
  <c r="C1549" i="1"/>
  <c r="E1549" i="1"/>
  <c r="F1549" i="1"/>
  <c r="G1549" i="1"/>
  <c r="H1549" i="1"/>
  <c r="L1549" i="1"/>
  <c r="M1549" i="1"/>
  <c r="N1549" i="1"/>
  <c r="O1549" i="1"/>
  <c r="P1549" i="1"/>
  <c r="Q1549" i="1"/>
  <c r="R1549" i="1"/>
  <c r="S1549" i="1"/>
  <c r="T1549" i="1"/>
  <c r="U1549" i="1"/>
  <c r="V1549" i="1"/>
  <c r="AB1549" i="1"/>
  <c r="AI1549" i="1"/>
  <c r="AJ1549" i="1"/>
  <c r="AK1549" i="1"/>
  <c r="AP1549" i="1"/>
  <c r="AR1549" i="1"/>
  <c r="AY1549" i="1"/>
  <c r="BE1549" i="1"/>
  <c r="BF1549" i="1"/>
  <c r="C1550" i="1"/>
  <c r="E1550" i="1"/>
  <c r="F1550" i="1"/>
  <c r="G1550" i="1"/>
  <c r="H1550" i="1"/>
  <c r="L1550" i="1"/>
  <c r="M1550" i="1"/>
  <c r="N1550" i="1"/>
  <c r="O1550" i="1"/>
  <c r="P1550" i="1"/>
  <c r="Q1550" i="1"/>
  <c r="R1550" i="1"/>
  <c r="S1550" i="1"/>
  <c r="T1550" i="1"/>
  <c r="U1550" i="1"/>
  <c r="V1550" i="1"/>
  <c r="AB1550" i="1"/>
  <c r="AI1550" i="1"/>
  <c r="AJ1550" i="1"/>
  <c r="AK1550" i="1"/>
  <c r="AP1550" i="1"/>
  <c r="AR1550" i="1"/>
  <c r="AY1550" i="1"/>
  <c r="BE1550" i="1"/>
  <c r="BF1550" i="1"/>
  <c r="C1551" i="1"/>
  <c r="E1551" i="1"/>
  <c r="F1551" i="1"/>
  <c r="G1551" i="1"/>
  <c r="H1551" i="1"/>
  <c r="L1551" i="1"/>
  <c r="M1551" i="1"/>
  <c r="N1551" i="1"/>
  <c r="O1551" i="1"/>
  <c r="P1551" i="1"/>
  <c r="Q1551" i="1"/>
  <c r="R1551" i="1"/>
  <c r="S1551" i="1"/>
  <c r="T1551" i="1"/>
  <c r="U1551" i="1"/>
  <c r="V1551" i="1"/>
  <c r="AB1551" i="1"/>
  <c r="AI1551" i="1"/>
  <c r="AJ1551" i="1"/>
  <c r="AK1551" i="1"/>
  <c r="AP1551" i="1"/>
  <c r="AR1551" i="1"/>
  <c r="AY1551" i="1"/>
  <c r="BE1551" i="1"/>
  <c r="BF1551" i="1"/>
  <c r="C1552" i="1"/>
  <c r="E1552" i="1"/>
  <c r="F1552" i="1"/>
  <c r="G1552" i="1"/>
  <c r="H1552" i="1"/>
  <c r="L1552" i="1"/>
  <c r="M1552" i="1"/>
  <c r="N1552" i="1"/>
  <c r="O1552" i="1"/>
  <c r="P1552" i="1"/>
  <c r="Q1552" i="1"/>
  <c r="R1552" i="1"/>
  <c r="S1552" i="1"/>
  <c r="T1552" i="1"/>
  <c r="U1552" i="1"/>
  <c r="V1552" i="1"/>
  <c r="AB1552" i="1"/>
  <c r="AI1552" i="1"/>
  <c r="AJ1552" i="1"/>
  <c r="AK1552" i="1"/>
  <c r="AP1552" i="1"/>
  <c r="AR1552" i="1"/>
  <c r="AY1552" i="1"/>
  <c r="BE1552" i="1"/>
  <c r="BF1552" i="1"/>
  <c r="C1553" i="1"/>
  <c r="E1553" i="1"/>
  <c r="F1553" i="1"/>
  <c r="G1553" i="1"/>
  <c r="H1553" i="1"/>
  <c r="L1553" i="1"/>
  <c r="M1553" i="1"/>
  <c r="N1553" i="1"/>
  <c r="O1553" i="1"/>
  <c r="P1553" i="1"/>
  <c r="Q1553" i="1"/>
  <c r="R1553" i="1"/>
  <c r="S1553" i="1"/>
  <c r="T1553" i="1"/>
  <c r="U1553" i="1"/>
  <c r="V1553" i="1"/>
  <c r="AB1553" i="1"/>
  <c r="AI1553" i="1"/>
  <c r="AJ1553" i="1"/>
  <c r="AK1553" i="1"/>
  <c r="AP1553" i="1"/>
  <c r="AR1553" i="1"/>
  <c r="AY1553" i="1"/>
  <c r="BE1553" i="1"/>
  <c r="BF1553" i="1"/>
  <c r="C1554" i="1"/>
  <c r="E1554" i="1"/>
  <c r="F1554" i="1"/>
  <c r="G1554" i="1"/>
  <c r="H1554" i="1"/>
  <c r="L1554" i="1"/>
  <c r="M1554" i="1"/>
  <c r="N1554" i="1"/>
  <c r="O1554" i="1"/>
  <c r="P1554" i="1"/>
  <c r="Q1554" i="1"/>
  <c r="R1554" i="1"/>
  <c r="S1554" i="1"/>
  <c r="T1554" i="1"/>
  <c r="U1554" i="1"/>
  <c r="V1554" i="1"/>
  <c r="AB1554" i="1"/>
  <c r="AI1554" i="1"/>
  <c r="AJ1554" i="1"/>
  <c r="AK1554" i="1"/>
  <c r="AP1554" i="1"/>
  <c r="AR1554" i="1"/>
  <c r="AY1554" i="1"/>
  <c r="BE1554" i="1"/>
  <c r="BF1554" i="1"/>
  <c r="C1555" i="1"/>
  <c r="E1555" i="1"/>
  <c r="F1555" i="1"/>
  <c r="G1555" i="1"/>
  <c r="H1555" i="1"/>
  <c r="L1555" i="1"/>
  <c r="M1555" i="1"/>
  <c r="N1555" i="1"/>
  <c r="O1555" i="1"/>
  <c r="P1555" i="1"/>
  <c r="Q1555" i="1"/>
  <c r="R1555" i="1"/>
  <c r="S1555" i="1"/>
  <c r="T1555" i="1"/>
  <c r="U1555" i="1"/>
  <c r="V1555" i="1"/>
  <c r="AB1555" i="1"/>
  <c r="AI1555" i="1"/>
  <c r="AJ1555" i="1"/>
  <c r="AK1555" i="1"/>
  <c r="AP1555" i="1"/>
  <c r="AR1555" i="1"/>
  <c r="AY1555" i="1"/>
  <c r="BE1555" i="1"/>
  <c r="BF1555" i="1"/>
  <c r="C1556" i="1"/>
  <c r="E1556" i="1"/>
  <c r="F1556" i="1"/>
  <c r="G1556" i="1"/>
  <c r="H1556" i="1"/>
  <c r="L1556" i="1"/>
  <c r="M1556" i="1"/>
  <c r="N1556" i="1"/>
  <c r="O1556" i="1"/>
  <c r="P1556" i="1"/>
  <c r="Q1556" i="1"/>
  <c r="R1556" i="1"/>
  <c r="S1556" i="1"/>
  <c r="T1556" i="1"/>
  <c r="U1556" i="1"/>
  <c r="V1556" i="1"/>
  <c r="AB1556" i="1"/>
  <c r="AI1556" i="1"/>
  <c r="AJ1556" i="1"/>
  <c r="AK1556" i="1"/>
  <c r="AP1556" i="1"/>
  <c r="AR1556" i="1"/>
  <c r="AY1556" i="1"/>
  <c r="BE1556" i="1"/>
  <c r="BF1556" i="1"/>
  <c r="C1557" i="1"/>
  <c r="E1557" i="1"/>
  <c r="F1557" i="1"/>
  <c r="G1557" i="1"/>
  <c r="H1557" i="1"/>
  <c r="L1557" i="1"/>
  <c r="M1557" i="1"/>
  <c r="N1557" i="1"/>
  <c r="O1557" i="1"/>
  <c r="P1557" i="1"/>
  <c r="Q1557" i="1"/>
  <c r="R1557" i="1"/>
  <c r="S1557" i="1"/>
  <c r="T1557" i="1"/>
  <c r="U1557" i="1"/>
  <c r="V1557" i="1"/>
  <c r="AB1557" i="1"/>
  <c r="AI1557" i="1"/>
  <c r="AJ1557" i="1"/>
  <c r="AK1557" i="1"/>
  <c r="AP1557" i="1"/>
  <c r="AR1557" i="1"/>
  <c r="AY1557" i="1"/>
  <c r="BE1557" i="1"/>
  <c r="BF1557" i="1"/>
  <c r="C1558" i="1"/>
  <c r="E1558" i="1"/>
  <c r="F1558" i="1"/>
  <c r="G1558" i="1"/>
  <c r="H1558" i="1"/>
  <c r="L1558" i="1"/>
  <c r="M1558" i="1"/>
  <c r="N1558" i="1"/>
  <c r="O1558" i="1"/>
  <c r="P1558" i="1"/>
  <c r="Q1558" i="1"/>
  <c r="R1558" i="1"/>
  <c r="S1558" i="1"/>
  <c r="T1558" i="1"/>
  <c r="U1558" i="1"/>
  <c r="V1558" i="1"/>
  <c r="AB1558" i="1"/>
  <c r="AI1558" i="1"/>
  <c r="AJ1558" i="1"/>
  <c r="AK1558" i="1"/>
  <c r="AP1558" i="1"/>
  <c r="AR1558" i="1"/>
  <c r="AY1558" i="1"/>
  <c r="BE1558" i="1"/>
  <c r="BF1558" i="1"/>
  <c r="C1559" i="1"/>
  <c r="E1559" i="1"/>
  <c r="F1559" i="1"/>
  <c r="G1559" i="1"/>
  <c r="H1559" i="1"/>
  <c r="L1559" i="1"/>
  <c r="M1559" i="1"/>
  <c r="N1559" i="1"/>
  <c r="O1559" i="1"/>
  <c r="P1559" i="1"/>
  <c r="Q1559" i="1"/>
  <c r="R1559" i="1"/>
  <c r="S1559" i="1"/>
  <c r="T1559" i="1"/>
  <c r="U1559" i="1"/>
  <c r="V1559" i="1"/>
  <c r="AB1559" i="1"/>
  <c r="AI1559" i="1"/>
  <c r="AJ1559" i="1"/>
  <c r="AK1559" i="1"/>
  <c r="AP1559" i="1"/>
  <c r="AR1559" i="1"/>
  <c r="AY1559" i="1"/>
  <c r="BE1559" i="1"/>
  <c r="BF1559" i="1"/>
  <c r="C1560" i="1"/>
  <c r="E1560" i="1"/>
  <c r="F1560" i="1"/>
  <c r="G1560" i="1"/>
  <c r="H1560" i="1"/>
  <c r="L1560" i="1"/>
  <c r="M1560" i="1"/>
  <c r="N1560" i="1"/>
  <c r="O1560" i="1"/>
  <c r="P1560" i="1"/>
  <c r="Q1560" i="1"/>
  <c r="R1560" i="1"/>
  <c r="S1560" i="1"/>
  <c r="T1560" i="1"/>
  <c r="U1560" i="1"/>
  <c r="V1560" i="1"/>
  <c r="AB1560" i="1"/>
  <c r="AI1560" i="1"/>
  <c r="AJ1560" i="1"/>
  <c r="AK1560" i="1"/>
  <c r="AP1560" i="1"/>
  <c r="AR1560" i="1"/>
  <c r="AY1560" i="1"/>
  <c r="BE1560" i="1"/>
  <c r="BF1560" i="1"/>
  <c r="C1561" i="1"/>
  <c r="E1561" i="1"/>
  <c r="F1561" i="1"/>
  <c r="G1561" i="1"/>
  <c r="H1561" i="1"/>
  <c r="L1561" i="1"/>
  <c r="M1561" i="1"/>
  <c r="N1561" i="1"/>
  <c r="O1561" i="1"/>
  <c r="P1561" i="1"/>
  <c r="Q1561" i="1"/>
  <c r="R1561" i="1"/>
  <c r="S1561" i="1"/>
  <c r="T1561" i="1"/>
  <c r="U1561" i="1"/>
  <c r="V1561" i="1"/>
  <c r="AB1561" i="1"/>
  <c r="AI1561" i="1"/>
  <c r="AJ1561" i="1"/>
  <c r="AK1561" i="1"/>
  <c r="AP1561" i="1"/>
  <c r="AR1561" i="1"/>
  <c r="AY1561" i="1"/>
  <c r="BE1561" i="1"/>
  <c r="BF1561" i="1"/>
  <c r="C1562" i="1"/>
  <c r="E1562" i="1"/>
  <c r="F1562" i="1"/>
  <c r="G1562" i="1"/>
  <c r="H1562" i="1"/>
  <c r="L1562" i="1"/>
  <c r="M1562" i="1"/>
  <c r="N1562" i="1"/>
  <c r="O1562" i="1"/>
  <c r="P1562" i="1"/>
  <c r="Q1562" i="1"/>
  <c r="R1562" i="1"/>
  <c r="S1562" i="1"/>
  <c r="T1562" i="1"/>
  <c r="U1562" i="1"/>
  <c r="V1562" i="1"/>
  <c r="AB1562" i="1"/>
  <c r="AI1562" i="1"/>
  <c r="AJ1562" i="1"/>
  <c r="AK1562" i="1"/>
  <c r="AP1562" i="1"/>
  <c r="AR1562" i="1"/>
  <c r="AY1562" i="1"/>
  <c r="BE1562" i="1"/>
  <c r="BF1562" i="1"/>
  <c r="C1563" i="1"/>
  <c r="E1563" i="1"/>
  <c r="F1563" i="1"/>
  <c r="G1563" i="1"/>
  <c r="H1563" i="1"/>
  <c r="L1563" i="1"/>
  <c r="M1563" i="1"/>
  <c r="N1563" i="1"/>
  <c r="O1563" i="1"/>
  <c r="P1563" i="1"/>
  <c r="Q1563" i="1"/>
  <c r="R1563" i="1"/>
  <c r="S1563" i="1"/>
  <c r="T1563" i="1"/>
  <c r="U1563" i="1"/>
  <c r="V1563" i="1"/>
  <c r="AB1563" i="1"/>
  <c r="AI1563" i="1"/>
  <c r="AJ1563" i="1"/>
  <c r="AK1563" i="1"/>
  <c r="AP1563" i="1"/>
  <c r="AR1563" i="1"/>
  <c r="AY1563" i="1"/>
  <c r="BE1563" i="1"/>
  <c r="BF1563" i="1"/>
  <c r="C1564" i="1"/>
  <c r="E1564" i="1"/>
  <c r="F1564" i="1"/>
  <c r="G1564" i="1"/>
  <c r="H1564" i="1"/>
  <c r="L1564" i="1"/>
  <c r="M1564" i="1"/>
  <c r="N1564" i="1"/>
  <c r="O1564" i="1"/>
  <c r="P1564" i="1"/>
  <c r="Q1564" i="1"/>
  <c r="R1564" i="1"/>
  <c r="S1564" i="1"/>
  <c r="T1564" i="1"/>
  <c r="U1564" i="1"/>
  <c r="V1564" i="1"/>
  <c r="AB1564" i="1"/>
  <c r="AI1564" i="1"/>
  <c r="AJ1564" i="1"/>
  <c r="AK1564" i="1"/>
  <c r="AP1564" i="1"/>
  <c r="AR1564" i="1"/>
  <c r="AY1564" i="1"/>
  <c r="BE1564" i="1"/>
  <c r="BF1564" i="1"/>
  <c r="C1565" i="1"/>
  <c r="E1565" i="1"/>
  <c r="F1565" i="1"/>
  <c r="G1565" i="1"/>
  <c r="H1565" i="1"/>
  <c r="L1565" i="1"/>
  <c r="M1565" i="1"/>
  <c r="N1565" i="1"/>
  <c r="O1565" i="1"/>
  <c r="P1565" i="1"/>
  <c r="Q1565" i="1"/>
  <c r="R1565" i="1"/>
  <c r="S1565" i="1"/>
  <c r="T1565" i="1"/>
  <c r="U1565" i="1"/>
  <c r="V1565" i="1"/>
  <c r="AB1565" i="1"/>
  <c r="AI1565" i="1"/>
  <c r="AJ1565" i="1"/>
  <c r="AK1565" i="1"/>
  <c r="AP1565" i="1"/>
  <c r="AR1565" i="1"/>
  <c r="AY1565" i="1"/>
  <c r="BE1565" i="1"/>
  <c r="BF1565" i="1"/>
  <c r="C1566" i="1"/>
  <c r="E1566" i="1"/>
  <c r="F1566" i="1"/>
  <c r="G1566" i="1"/>
  <c r="H1566" i="1"/>
  <c r="L1566" i="1"/>
  <c r="M1566" i="1"/>
  <c r="N1566" i="1"/>
  <c r="O1566" i="1"/>
  <c r="P1566" i="1"/>
  <c r="Q1566" i="1"/>
  <c r="R1566" i="1"/>
  <c r="S1566" i="1"/>
  <c r="T1566" i="1"/>
  <c r="U1566" i="1"/>
  <c r="V1566" i="1"/>
  <c r="AB1566" i="1"/>
  <c r="AI1566" i="1"/>
  <c r="AJ1566" i="1"/>
  <c r="AK1566" i="1"/>
  <c r="AP1566" i="1"/>
  <c r="AR1566" i="1"/>
  <c r="AY1566" i="1"/>
  <c r="BE1566" i="1"/>
  <c r="BF1566" i="1"/>
  <c r="C1567" i="1"/>
  <c r="E1567" i="1"/>
  <c r="F1567" i="1"/>
  <c r="G1567" i="1"/>
  <c r="H1567" i="1"/>
  <c r="L1567" i="1"/>
  <c r="M1567" i="1"/>
  <c r="N1567" i="1"/>
  <c r="O1567" i="1"/>
  <c r="P1567" i="1"/>
  <c r="Q1567" i="1"/>
  <c r="R1567" i="1"/>
  <c r="S1567" i="1"/>
  <c r="T1567" i="1"/>
  <c r="U1567" i="1"/>
  <c r="V1567" i="1"/>
  <c r="AB1567" i="1"/>
  <c r="AI1567" i="1"/>
  <c r="AJ1567" i="1"/>
  <c r="AK1567" i="1"/>
  <c r="AP1567" i="1"/>
  <c r="AR1567" i="1"/>
  <c r="AY1567" i="1"/>
  <c r="BE1567" i="1"/>
  <c r="BF1567" i="1"/>
  <c r="C1568" i="1"/>
  <c r="E1568" i="1"/>
  <c r="F1568" i="1"/>
  <c r="G1568" i="1"/>
  <c r="H1568" i="1"/>
  <c r="L1568" i="1"/>
  <c r="M1568" i="1"/>
  <c r="N1568" i="1"/>
  <c r="O1568" i="1"/>
  <c r="P1568" i="1"/>
  <c r="Q1568" i="1"/>
  <c r="R1568" i="1"/>
  <c r="S1568" i="1"/>
  <c r="T1568" i="1"/>
  <c r="U1568" i="1"/>
  <c r="V1568" i="1"/>
  <c r="AB1568" i="1"/>
  <c r="AI1568" i="1"/>
  <c r="AJ1568" i="1"/>
  <c r="AK1568" i="1"/>
  <c r="AP1568" i="1"/>
  <c r="AR1568" i="1"/>
  <c r="AY1568" i="1"/>
  <c r="BE1568" i="1"/>
  <c r="BF1568" i="1"/>
  <c r="C1569" i="1"/>
  <c r="E1569" i="1"/>
  <c r="F1569" i="1"/>
  <c r="G1569" i="1"/>
  <c r="H1569" i="1"/>
  <c r="L1569" i="1"/>
  <c r="M1569" i="1"/>
  <c r="N1569" i="1"/>
  <c r="O1569" i="1"/>
  <c r="P1569" i="1"/>
  <c r="Q1569" i="1"/>
  <c r="R1569" i="1"/>
  <c r="S1569" i="1"/>
  <c r="T1569" i="1"/>
  <c r="U1569" i="1"/>
  <c r="V1569" i="1"/>
  <c r="AB1569" i="1"/>
  <c r="AI1569" i="1"/>
  <c r="AJ1569" i="1"/>
  <c r="AK1569" i="1"/>
  <c r="AP1569" i="1"/>
  <c r="AR1569" i="1"/>
  <c r="AY1569" i="1"/>
  <c r="BE1569" i="1"/>
  <c r="BF1569" i="1"/>
  <c r="C1570" i="1"/>
  <c r="E1570" i="1"/>
  <c r="F1570" i="1"/>
  <c r="G1570" i="1"/>
  <c r="H1570" i="1"/>
  <c r="L1570" i="1"/>
  <c r="M1570" i="1"/>
  <c r="N1570" i="1"/>
  <c r="O1570" i="1"/>
  <c r="P1570" i="1"/>
  <c r="Q1570" i="1"/>
  <c r="R1570" i="1"/>
  <c r="S1570" i="1"/>
  <c r="T1570" i="1"/>
  <c r="U1570" i="1"/>
  <c r="V1570" i="1"/>
  <c r="AB1570" i="1"/>
  <c r="AI1570" i="1"/>
  <c r="AJ1570" i="1"/>
  <c r="AK1570" i="1"/>
  <c r="AP1570" i="1"/>
  <c r="AR1570" i="1"/>
  <c r="AY1570" i="1"/>
  <c r="BE1570" i="1"/>
  <c r="BF1570" i="1"/>
  <c r="C1571" i="1"/>
  <c r="E1571" i="1"/>
  <c r="F1571" i="1"/>
  <c r="G1571" i="1"/>
  <c r="H1571" i="1"/>
  <c r="L1571" i="1"/>
  <c r="M1571" i="1"/>
  <c r="N1571" i="1"/>
  <c r="O1571" i="1"/>
  <c r="P1571" i="1"/>
  <c r="Q1571" i="1"/>
  <c r="R1571" i="1"/>
  <c r="S1571" i="1"/>
  <c r="T1571" i="1"/>
  <c r="U1571" i="1"/>
  <c r="V1571" i="1"/>
  <c r="AB1571" i="1"/>
  <c r="AI1571" i="1"/>
  <c r="AJ1571" i="1"/>
  <c r="AK1571" i="1"/>
  <c r="AP1571" i="1"/>
  <c r="AR1571" i="1"/>
  <c r="AY1571" i="1"/>
  <c r="BE1571" i="1"/>
  <c r="BF1571" i="1"/>
  <c r="C1572" i="1"/>
  <c r="E1572" i="1"/>
  <c r="F1572" i="1"/>
  <c r="G1572" i="1"/>
  <c r="H1572" i="1"/>
  <c r="L1572" i="1"/>
  <c r="M1572" i="1"/>
  <c r="N1572" i="1"/>
  <c r="O1572" i="1"/>
  <c r="P1572" i="1"/>
  <c r="Q1572" i="1"/>
  <c r="R1572" i="1"/>
  <c r="S1572" i="1"/>
  <c r="T1572" i="1"/>
  <c r="U1572" i="1"/>
  <c r="V1572" i="1"/>
  <c r="AB1572" i="1"/>
  <c r="AI1572" i="1"/>
  <c r="AJ1572" i="1"/>
  <c r="AK1572" i="1"/>
  <c r="AP1572" i="1"/>
  <c r="AR1572" i="1"/>
  <c r="AY1572" i="1"/>
  <c r="BE1572" i="1"/>
  <c r="BF1572" i="1"/>
  <c r="C1573" i="1"/>
  <c r="E1573" i="1"/>
  <c r="F1573" i="1"/>
  <c r="G1573" i="1"/>
  <c r="H1573" i="1"/>
  <c r="L1573" i="1"/>
  <c r="M1573" i="1"/>
  <c r="N1573" i="1"/>
  <c r="O1573" i="1"/>
  <c r="P1573" i="1"/>
  <c r="Q1573" i="1"/>
  <c r="R1573" i="1"/>
  <c r="S1573" i="1"/>
  <c r="T1573" i="1"/>
  <c r="U1573" i="1"/>
  <c r="V1573" i="1"/>
  <c r="AB1573" i="1"/>
  <c r="AI1573" i="1"/>
  <c r="AJ1573" i="1"/>
  <c r="AK1573" i="1"/>
  <c r="AP1573" i="1"/>
  <c r="AR1573" i="1"/>
  <c r="AY1573" i="1"/>
  <c r="BE1573" i="1"/>
  <c r="BF1573" i="1"/>
  <c r="C1574" i="1"/>
  <c r="E1574" i="1"/>
  <c r="F1574" i="1"/>
  <c r="G1574" i="1"/>
  <c r="H1574" i="1"/>
  <c r="L1574" i="1"/>
  <c r="M1574" i="1"/>
  <c r="N1574" i="1"/>
  <c r="O1574" i="1"/>
  <c r="P1574" i="1"/>
  <c r="Q1574" i="1"/>
  <c r="R1574" i="1"/>
  <c r="S1574" i="1"/>
  <c r="T1574" i="1"/>
  <c r="U1574" i="1"/>
  <c r="V1574" i="1"/>
  <c r="AB1574" i="1"/>
  <c r="AI1574" i="1"/>
  <c r="AJ1574" i="1"/>
  <c r="AK1574" i="1"/>
  <c r="AP1574" i="1"/>
  <c r="AR1574" i="1"/>
  <c r="AY1574" i="1"/>
  <c r="BE1574" i="1"/>
  <c r="BF1574" i="1"/>
  <c r="C1575" i="1"/>
  <c r="E1575" i="1"/>
  <c r="F1575" i="1"/>
  <c r="G1575" i="1"/>
  <c r="H1575" i="1"/>
  <c r="L1575" i="1"/>
  <c r="M1575" i="1"/>
  <c r="N1575" i="1"/>
  <c r="O1575" i="1"/>
  <c r="P1575" i="1"/>
  <c r="Q1575" i="1"/>
  <c r="R1575" i="1"/>
  <c r="S1575" i="1"/>
  <c r="T1575" i="1"/>
  <c r="U1575" i="1"/>
  <c r="V1575" i="1"/>
  <c r="AB1575" i="1"/>
  <c r="AI1575" i="1"/>
  <c r="AJ1575" i="1"/>
  <c r="AK1575" i="1"/>
  <c r="AP1575" i="1"/>
  <c r="AR1575" i="1"/>
  <c r="AY1575" i="1"/>
  <c r="BE1575" i="1"/>
  <c r="BF1575" i="1"/>
  <c r="C1576" i="1"/>
  <c r="E1576" i="1"/>
  <c r="F1576" i="1"/>
  <c r="G1576" i="1"/>
  <c r="H1576" i="1"/>
  <c r="L1576" i="1"/>
  <c r="M1576" i="1"/>
  <c r="N1576" i="1"/>
  <c r="O1576" i="1"/>
  <c r="P1576" i="1"/>
  <c r="Q1576" i="1"/>
  <c r="R1576" i="1"/>
  <c r="S1576" i="1"/>
  <c r="T1576" i="1"/>
  <c r="U1576" i="1"/>
  <c r="V1576" i="1"/>
  <c r="AB1576" i="1"/>
  <c r="AI1576" i="1"/>
  <c r="AJ1576" i="1"/>
  <c r="AK1576" i="1"/>
  <c r="AP1576" i="1"/>
  <c r="AR1576" i="1"/>
  <c r="AY1576" i="1"/>
  <c r="BE1576" i="1"/>
  <c r="BF1576" i="1"/>
  <c r="C1577" i="1"/>
  <c r="E1577" i="1"/>
  <c r="F1577" i="1"/>
  <c r="G1577" i="1"/>
  <c r="H1577" i="1"/>
  <c r="L1577" i="1"/>
  <c r="M1577" i="1"/>
  <c r="N1577" i="1"/>
  <c r="O1577" i="1"/>
  <c r="P1577" i="1"/>
  <c r="Q1577" i="1"/>
  <c r="R1577" i="1"/>
  <c r="S1577" i="1"/>
  <c r="T1577" i="1"/>
  <c r="U1577" i="1"/>
  <c r="V1577" i="1"/>
  <c r="AB1577" i="1"/>
  <c r="AI1577" i="1"/>
  <c r="AJ1577" i="1"/>
  <c r="AK1577" i="1"/>
  <c r="AP1577" i="1"/>
  <c r="AR1577" i="1"/>
  <c r="AY1577" i="1"/>
  <c r="BE1577" i="1"/>
  <c r="BF1577" i="1"/>
  <c r="C1578" i="1"/>
  <c r="E1578" i="1"/>
  <c r="F1578" i="1"/>
  <c r="G1578" i="1"/>
  <c r="H1578" i="1"/>
  <c r="L1578" i="1"/>
  <c r="M1578" i="1"/>
  <c r="N1578" i="1"/>
  <c r="O1578" i="1"/>
  <c r="P1578" i="1"/>
  <c r="Q1578" i="1"/>
  <c r="R1578" i="1"/>
  <c r="S1578" i="1"/>
  <c r="T1578" i="1"/>
  <c r="U1578" i="1"/>
  <c r="V1578" i="1"/>
  <c r="AB1578" i="1"/>
  <c r="AI1578" i="1"/>
  <c r="AJ1578" i="1"/>
  <c r="AK1578" i="1"/>
  <c r="AP1578" i="1"/>
  <c r="AR1578" i="1"/>
  <c r="AY1578" i="1"/>
  <c r="BE1578" i="1"/>
  <c r="BF1578" i="1"/>
  <c r="C1579" i="1"/>
  <c r="E1579" i="1"/>
  <c r="F1579" i="1"/>
  <c r="G1579" i="1"/>
  <c r="H1579" i="1"/>
  <c r="L1579" i="1"/>
  <c r="M1579" i="1"/>
  <c r="N1579" i="1"/>
  <c r="O1579" i="1"/>
  <c r="P1579" i="1"/>
  <c r="Q1579" i="1"/>
  <c r="R1579" i="1"/>
  <c r="S1579" i="1"/>
  <c r="T1579" i="1"/>
  <c r="U1579" i="1"/>
  <c r="V1579" i="1"/>
  <c r="AB1579" i="1"/>
  <c r="AI1579" i="1"/>
  <c r="AJ1579" i="1"/>
  <c r="AK1579" i="1"/>
  <c r="AP1579" i="1"/>
  <c r="AR1579" i="1"/>
  <c r="AY1579" i="1"/>
  <c r="BE1579" i="1"/>
  <c r="BF1579" i="1"/>
  <c r="C1580" i="1"/>
  <c r="E1580" i="1"/>
  <c r="F1580" i="1"/>
  <c r="G1580" i="1"/>
  <c r="H1580" i="1"/>
  <c r="L1580" i="1"/>
  <c r="M1580" i="1"/>
  <c r="N1580" i="1"/>
  <c r="O1580" i="1"/>
  <c r="P1580" i="1"/>
  <c r="Q1580" i="1"/>
  <c r="R1580" i="1"/>
  <c r="S1580" i="1"/>
  <c r="T1580" i="1"/>
  <c r="U1580" i="1"/>
  <c r="V1580" i="1"/>
  <c r="AB1580" i="1"/>
  <c r="AI1580" i="1"/>
  <c r="AJ1580" i="1"/>
  <c r="AK1580" i="1"/>
  <c r="AP1580" i="1"/>
  <c r="AR1580" i="1"/>
  <c r="AY1580" i="1"/>
  <c r="BE1580" i="1"/>
  <c r="BF1580" i="1"/>
  <c r="C1581" i="1"/>
  <c r="E1581" i="1"/>
  <c r="F1581" i="1"/>
  <c r="G1581" i="1"/>
  <c r="H1581" i="1"/>
  <c r="L1581" i="1"/>
  <c r="M1581" i="1"/>
  <c r="N1581" i="1"/>
  <c r="O1581" i="1"/>
  <c r="P1581" i="1"/>
  <c r="Q1581" i="1"/>
  <c r="R1581" i="1"/>
  <c r="S1581" i="1"/>
  <c r="T1581" i="1"/>
  <c r="U1581" i="1"/>
  <c r="V1581" i="1"/>
  <c r="AB1581" i="1"/>
  <c r="AI1581" i="1"/>
  <c r="AJ1581" i="1"/>
  <c r="AK1581" i="1"/>
  <c r="AP1581" i="1"/>
  <c r="AR1581" i="1"/>
  <c r="AY1581" i="1"/>
  <c r="BE1581" i="1"/>
  <c r="BF1581" i="1"/>
  <c r="C1582" i="1"/>
  <c r="E1582" i="1"/>
  <c r="F1582" i="1"/>
  <c r="G1582" i="1"/>
  <c r="H1582" i="1"/>
  <c r="L1582" i="1"/>
  <c r="M1582" i="1"/>
  <c r="N1582" i="1"/>
  <c r="O1582" i="1"/>
  <c r="P1582" i="1"/>
  <c r="Q1582" i="1"/>
  <c r="R1582" i="1"/>
  <c r="S1582" i="1"/>
  <c r="T1582" i="1"/>
  <c r="U1582" i="1"/>
  <c r="V1582" i="1"/>
  <c r="AB1582" i="1"/>
  <c r="AI1582" i="1"/>
  <c r="AJ1582" i="1"/>
  <c r="AK1582" i="1"/>
  <c r="AP1582" i="1"/>
  <c r="AR1582" i="1"/>
  <c r="AY1582" i="1"/>
  <c r="BE1582" i="1"/>
  <c r="BF1582" i="1"/>
  <c r="C1583" i="1"/>
  <c r="E1583" i="1"/>
  <c r="F1583" i="1"/>
  <c r="G1583" i="1"/>
  <c r="H1583" i="1"/>
  <c r="L1583" i="1"/>
  <c r="M1583" i="1"/>
  <c r="N1583" i="1"/>
  <c r="O1583" i="1"/>
  <c r="P1583" i="1"/>
  <c r="Q1583" i="1"/>
  <c r="R1583" i="1"/>
  <c r="S1583" i="1"/>
  <c r="T1583" i="1"/>
  <c r="U1583" i="1"/>
  <c r="V1583" i="1"/>
  <c r="AB1583" i="1"/>
  <c r="AI1583" i="1"/>
  <c r="AJ1583" i="1"/>
  <c r="AK1583" i="1"/>
  <c r="AP1583" i="1"/>
  <c r="AR1583" i="1"/>
  <c r="AY1583" i="1"/>
  <c r="BE1583" i="1"/>
  <c r="BF1583" i="1"/>
  <c r="C1584" i="1"/>
  <c r="E1584" i="1"/>
  <c r="F1584" i="1"/>
  <c r="G1584" i="1"/>
  <c r="H1584" i="1"/>
  <c r="L1584" i="1"/>
  <c r="M1584" i="1"/>
  <c r="N1584" i="1"/>
  <c r="O1584" i="1"/>
  <c r="P1584" i="1"/>
  <c r="Q1584" i="1"/>
  <c r="R1584" i="1"/>
  <c r="S1584" i="1"/>
  <c r="T1584" i="1"/>
  <c r="U1584" i="1"/>
  <c r="V1584" i="1"/>
  <c r="AB1584" i="1"/>
  <c r="AI1584" i="1"/>
  <c r="AJ1584" i="1"/>
  <c r="AK1584" i="1"/>
  <c r="AP1584" i="1"/>
  <c r="AR1584" i="1"/>
  <c r="AY1584" i="1"/>
  <c r="BE1584" i="1"/>
  <c r="BF1584" i="1"/>
  <c r="C1585" i="1"/>
  <c r="E1585" i="1"/>
  <c r="F1585" i="1"/>
  <c r="G1585" i="1"/>
  <c r="H1585" i="1"/>
  <c r="L1585" i="1"/>
  <c r="M1585" i="1"/>
  <c r="N1585" i="1"/>
  <c r="O1585" i="1"/>
  <c r="P1585" i="1"/>
  <c r="Q1585" i="1"/>
  <c r="R1585" i="1"/>
  <c r="S1585" i="1"/>
  <c r="T1585" i="1"/>
  <c r="U1585" i="1"/>
  <c r="V1585" i="1"/>
  <c r="AB1585" i="1"/>
  <c r="AI1585" i="1"/>
  <c r="AJ1585" i="1"/>
  <c r="AK1585" i="1"/>
  <c r="AP1585" i="1"/>
  <c r="AR1585" i="1"/>
  <c r="AY1585" i="1"/>
  <c r="BE1585" i="1"/>
  <c r="BF1585" i="1"/>
  <c r="C1586" i="1"/>
  <c r="E1586" i="1"/>
  <c r="F1586" i="1"/>
  <c r="G1586" i="1"/>
  <c r="H1586" i="1"/>
  <c r="L1586" i="1"/>
  <c r="M1586" i="1"/>
  <c r="N1586" i="1"/>
  <c r="O1586" i="1"/>
  <c r="P1586" i="1"/>
  <c r="Q1586" i="1"/>
  <c r="R1586" i="1"/>
  <c r="S1586" i="1"/>
  <c r="T1586" i="1"/>
  <c r="U1586" i="1"/>
  <c r="V1586" i="1"/>
  <c r="AB1586" i="1"/>
  <c r="AI1586" i="1"/>
  <c r="AJ1586" i="1"/>
  <c r="AK1586" i="1"/>
  <c r="AP1586" i="1"/>
  <c r="AR1586" i="1"/>
  <c r="AY1586" i="1"/>
  <c r="BE1586" i="1"/>
  <c r="BF1586" i="1"/>
  <c r="C1587" i="1"/>
  <c r="E1587" i="1"/>
  <c r="F1587" i="1"/>
  <c r="G1587" i="1"/>
  <c r="H1587" i="1"/>
  <c r="L1587" i="1"/>
  <c r="M1587" i="1"/>
  <c r="N1587" i="1"/>
  <c r="O1587" i="1"/>
  <c r="P1587" i="1"/>
  <c r="Q1587" i="1"/>
  <c r="R1587" i="1"/>
  <c r="S1587" i="1"/>
  <c r="T1587" i="1"/>
  <c r="U1587" i="1"/>
  <c r="V1587" i="1"/>
  <c r="AB1587" i="1"/>
  <c r="AI1587" i="1"/>
  <c r="AJ1587" i="1"/>
  <c r="AK1587" i="1"/>
  <c r="AP1587" i="1"/>
  <c r="AR1587" i="1"/>
  <c r="AY1587" i="1"/>
  <c r="BE1587" i="1"/>
  <c r="BF1587" i="1"/>
  <c r="C1588" i="1"/>
  <c r="E1588" i="1"/>
  <c r="F1588" i="1"/>
  <c r="G1588" i="1"/>
  <c r="H1588" i="1"/>
  <c r="L1588" i="1"/>
  <c r="M1588" i="1"/>
  <c r="N1588" i="1"/>
  <c r="O1588" i="1"/>
  <c r="P1588" i="1"/>
  <c r="Q1588" i="1"/>
  <c r="R1588" i="1"/>
  <c r="S1588" i="1"/>
  <c r="T1588" i="1"/>
  <c r="U1588" i="1"/>
  <c r="V1588" i="1"/>
  <c r="AB1588" i="1"/>
  <c r="AI1588" i="1"/>
  <c r="AJ1588" i="1"/>
  <c r="AK1588" i="1"/>
  <c r="AP1588" i="1"/>
  <c r="AR1588" i="1"/>
  <c r="AY1588" i="1"/>
  <c r="BE1588" i="1"/>
  <c r="BF1588" i="1"/>
  <c r="C1589" i="1"/>
  <c r="E1589" i="1"/>
  <c r="F1589" i="1"/>
  <c r="G1589" i="1"/>
  <c r="H1589" i="1"/>
  <c r="L1589" i="1"/>
  <c r="M1589" i="1"/>
  <c r="N1589" i="1"/>
  <c r="O1589" i="1"/>
  <c r="P1589" i="1"/>
  <c r="Q1589" i="1"/>
  <c r="R1589" i="1"/>
  <c r="S1589" i="1"/>
  <c r="T1589" i="1"/>
  <c r="U1589" i="1"/>
  <c r="V1589" i="1"/>
  <c r="AB1589" i="1"/>
  <c r="AI1589" i="1"/>
  <c r="AJ1589" i="1"/>
  <c r="AK1589" i="1"/>
  <c r="AP1589" i="1"/>
  <c r="AR1589" i="1"/>
  <c r="AY1589" i="1"/>
  <c r="BE1589" i="1"/>
  <c r="BF1589" i="1"/>
  <c r="C1590" i="1"/>
  <c r="E1590" i="1"/>
  <c r="F1590" i="1"/>
  <c r="G1590" i="1"/>
  <c r="H1590" i="1"/>
  <c r="L1590" i="1"/>
  <c r="M1590" i="1"/>
  <c r="N1590" i="1"/>
  <c r="O1590" i="1"/>
  <c r="P1590" i="1"/>
  <c r="Q1590" i="1"/>
  <c r="R1590" i="1"/>
  <c r="S1590" i="1"/>
  <c r="T1590" i="1"/>
  <c r="U1590" i="1"/>
  <c r="V1590" i="1"/>
  <c r="AB1590" i="1"/>
  <c r="AI1590" i="1"/>
  <c r="AJ1590" i="1"/>
  <c r="AK1590" i="1"/>
  <c r="AP1590" i="1"/>
  <c r="AR1590" i="1"/>
  <c r="AY1590" i="1"/>
  <c r="BE1590" i="1"/>
  <c r="BF1590" i="1"/>
  <c r="C1591" i="1"/>
  <c r="E1591" i="1"/>
  <c r="F1591" i="1"/>
  <c r="G1591" i="1"/>
  <c r="H1591" i="1"/>
  <c r="L1591" i="1"/>
  <c r="M1591" i="1"/>
  <c r="N1591" i="1"/>
  <c r="O1591" i="1"/>
  <c r="P1591" i="1"/>
  <c r="Q1591" i="1"/>
  <c r="R1591" i="1"/>
  <c r="S1591" i="1"/>
  <c r="T1591" i="1"/>
  <c r="U1591" i="1"/>
  <c r="V1591" i="1"/>
  <c r="AB1591" i="1"/>
  <c r="AI1591" i="1"/>
  <c r="AJ1591" i="1"/>
  <c r="AK1591" i="1"/>
  <c r="AP1591" i="1"/>
  <c r="AR1591" i="1"/>
  <c r="AY1591" i="1"/>
  <c r="BE1591" i="1"/>
  <c r="BF1591" i="1"/>
  <c r="C1592" i="1"/>
  <c r="E1592" i="1"/>
  <c r="F1592" i="1"/>
  <c r="G1592" i="1"/>
  <c r="H1592" i="1"/>
  <c r="L1592" i="1"/>
  <c r="M1592" i="1"/>
  <c r="N1592" i="1"/>
  <c r="O1592" i="1"/>
  <c r="P1592" i="1"/>
  <c r="Q1592" i="1"/>
  <c r="R1592" i="1"/>
  <c r="S1592" i="1"/>
  <c r="T1592" i="1"/>
  <c r="U1592" i="1"/>
  <c r="V1592" i="1"/>
  <c r="AB1592" i="1"/>
  <c r="AI1592" i="1"/>
  <c r="AJ1592" i="1"/>
  <c r="AK1592" i="1"/>
  <c r="AP1592" i="1"/>
  <c r="AR1592" i="1"/>
  <c r="AY1592" i="1"/>
  <c r="BE1592" i="1"/>
  <c r="BF1592" i="1"/>
  <c r="C1593" i="1"/>
  <c r="E1593" i="1"/>
  <c r="F1593" i="1"/>
  <c r="G1593" i="1"/>
  <c r="H1593" i="1"/>
  <c r="L1593" i="1"/>
  <c r="M1593" i="1"/>
  <c r="N1593" i="1"/>
  <c r="O1593" i="1"/>
  <c r="P1593" i="1"/>
  <c r="Q1593" i="1"/>
  <c r="R1593" i="1"/>
  <c r="S1593" i="1"/>
  <c r="T1593" i="1"/>
  <c r="U1593" i="1"/>
  <c r="V1593" i="1"/>
  <c r="AB1593" i="1"/>
  <c r="AI1593" i="1"/>
  <c r="AJ1593" i="1"/>
  <c r="AK1593" i="1"/>
  <c r="AP1593" i="1"/>
  <c r="AR1593" i="1"/>
  <c r="AY1593" i="1"/>
  <c r="BE1593" i="1"/>
  <c r="BF1593" i="1"/>
  <c r="C1594" i="1"/>
  <c r="E1594" i="1"/>
  <c r="F1594" i="1"/>
  <c r="G1594" i="1"/>
  <c r="H1594" i="1"/>
  <c r="L1594" i="1"/>
  <c r="M1594" i="1"/>
  <c r="N1594" i="1"/>
  <c r="O1594" i="1"/>
  <c r="P1594" i="1"/>
  <c r="Q1594" i="1"/>
  <c r="R1594" i="1"/>
  <c r="S1594" i="1"/>
  <c r="T1594" i="1"/>
  <c r="U1594" i="1"/>
  <c r="V1594" i="1"/>
  <c r="AB1594" i="1"/>
  <c r="AI1594" i="1"/>
  <c r="AJ1594" i="1"/>
  <c r="AK1594" i="1"/>
  <c r="AP1594" i="1"/>
  <c r="AR1594" i="1"/>
  <c r="AY1594" i="1"/>
  <c r="BE1594" i="1"/>
  <c r="BF1594" i="1"/>
  <c r="C1595" i="1"/>
  <c r="E1595" i="1"/>
  <c r="F1595" i="1"/>
  <c r="G1595" i="1"/>
  <c r="H1595" i="1"/>
  <c r="L1595" i="1"/>
  <c r="M1595" i="1"/>
  <c r="N1595" i="1"/>
  <c r="O1595" i="1"/>
  <c r="P1595" i="1"/>
  <c r="Q1595" i="1"/>
  <c r="R1595" i="1"/>
  <c r="S1595" i="1"/>
  <c r="T1595" i="1"/>
  <c r="U1595" i="1"/>
  <c r="V1595" i="1"/>
  <c r="AB1595" i="1"/>
  <c r="AI1595" i="1"/>
  <c r="AJ1595" i="1"/>
  <c r="AK1595" i="1"/>
  <c r="AP1595" i="1"/>
  <c r="AR1595" i="1"/>
  <c r="AY1595" i="1"/>
  <c r="BE1595" i="1"/>
  <c r="BF1595" i="1"/>
  <c r="C1596" i="1"/>
  <c r="E1596" i="1"/>
  <c r="F1596" i="1"/>
  <c r="G1596" i="1"/>
  <c r="H1596" i="1"/>
  <c r="L1596" i="1"/>
  <c r="M1596" i="1"/>
  <c r="N1596" i="1"/>
  <c r="O1596" i="1"/>
  <c r="P1596" i="1"/>
  <c r="Q1596" i="1"/>
  <c r="R1596" i="1"/>
  <c r="S1596" i="1"/>
  <c r="T1596" i="1"/>
  <c r="U1596" i="1"/>
  <c r="V1596" i="1"/>
  <c r="AB1596" i="1"/>
  <c r="AI1596" i="1"/>
  <c r="AJ1596" i="1"/>
  <c r="AK1596" i="1"/>
  <c r="AP1596" i="1"/>
  <c r="AR1596" i="1"/>
  <c r="AY1596" i="1"/>
  <c r="BE1596" i="1"/>
  <c r="BF1596" i="1"/>
  <c r="C1597" i="1"/>
  <c r="E1597" i="1"/>
  <c r="F1597" i="1"/>
  <c r="G1597" i="1"/>
  <c r="H1597" i="1"/>
  <c r="L1597" i="1"/>
  <c r="M1597" i="1"/>
  <c r="N1597" i="1"/>
  <c r="O1597" i="1"/>
  <c r="P1597" i="1"/>
  <c r="Q1597" i="1"/>
  <c r="R1597" i="1"/>
  <c r="S1597" i="1"/>
  <c r="T1597" i="1"/>
  <c r="U1597" i="1"/>
  <c r="V1597" i="1"/>
  <c r="AB1597" i="1"/>
  <c r="AI1597" i="1"/>
  <c r="AJ1597" i="1"/>
  <c r="AK1597" i="1"/>
  <c r="AP1597" i="1"/>
  <c r="AR1597" i="1"/>
  <c r="AY1597" i="1"/>
  <c r="BE1597" i="1"/>
  <c r="BF1597" i="1"/>
  <c r="C1598" i="1"/>
  <c r="E1598" i="1"/>
  <c r="F1598" i="1"/>
  <c r="G1598" i="1"/>
  <c r="H1598" i="1"/>
  <c r="L1598" i="1"/>
  <c r="M1598" i="1"/>
  <c r="N1598" i="1"/>
  <c r="O1598" i="1"/>
  <c r="P1598" i="1"/>
  <c r="Q1598" i="1"/>
  <c r="R1598" i="1"/>
  <c r="S1598" i="1"/>
  <c r="T1598" i="1"/>
  <c r="U1598" i="1"/>
  <c r="V1598" i="1"/>
  <c r="AB1598" i="1"/>
  <c r="AI1598" i="1"/>
  <c r="AJ1598" i="1"/>
  <c r="AK1598" i="1"/>
  <c r="AP1598" i="1"/>
  <c r="AR1598" i="1"/>
  <c r="AY1598" i="1"/>
  <c r="BE1598" i="1"/>
  <c r="BF1598" i="1"/>
  <c r="C1599" i="1"/>
  <c r="E1599" i="1"/>
  <c r="F1599" i="1"/>
  <c r="G1599" i="1"/>
  <c r="H1599" i="1"/>
  <c r="L1599" i="1"/>
  <c r="M1599" i="1"/>
  <c r="N1599" i="1"/>
  <c r="O1599" i="1"/>
  <c r="P1599" i="1"/>
  <c r="Q1599" i="1"/>
  <c r="R1599" i="1"/>
  <c r="S1599" i="1"/>
  <c r="T1599" i="1"/>
  <c r="U1599" i="1"/>
  <c r="V1599" i="1"/>
  <c r="AB1599" i="1"/>
  <c r="AI1599" i="1"/>
  <c r="AJ1599" i="1"/>
  <c r="AK1599" i="1"/>
  <c r="AP1599" i="1"/>
  <c r="AR1599" i="1"/>
  <c r="AY1599" i="1"/>
  <c r="BE1599" i="1"/>
  <c r="BF1599" i="1"/>
  <c r="C1600" i="1"/>
  <c r="E1600" i="1"/>
  <c r="F1600" i="1"/>
  <c r="G1600" i="1"/>
  <c r="H1600" i="1"/>
  <c r="L1600" i="1"/>
  <c r="M1600" i="1"/>
  <c r="N1600" i="1"/>
  <c r="O1600" i="1"/>
  <c r="P1600" i="1"/>
  <c r="Q1600" i="1"/>
  <c r="R1600" i="1"/>
  <c r="S1600" i="1"/>
  <c r="T1600" i="1"/>
  <c r="U1600" i="1"/>
  <c r="V1600" i="1"/>
  <c r="AB1600" i="1"/>
  <c r="AI1600" i="1"/>
  <c r="AJ1600" i="1"/>
  <c r="AK1600" i="1"/>
  <c r="AP1600" i="1"/>
  <c r="AR1600" i="1"/>
  <c r="AY1600" i="1"/>
  <c r="BE1600" i="1"/>
  <c r="BF1600" i="1"/>
  <c r="C1601" i="1"/>
  <c r="E1601" i="1"/>
  <c r="F1601" i="1"/>
  <c r="G1601" i="1"/>
  <c r="H1601" i="1"/>
  <c r="L1601" i="1"/>
  <c r="M1601" i="1"/>
  <c r="N1601" i="1"/>
  <c r="O1601" i="1"/>
  <c r="P1601" i="1"/>
  <c r="Q1601" i="1"/>
  <c r="R1601" i="1"/>
  <c r="S1601" i="1"/>
  <c r="T1601" i="1"/>
  <c r="U1601" i="1"/>
  <c r="V1601" i="1"/>
  <c r="AB1601" i="1"/>
  <c r="AI1601" i="1"/>
  <c r="AJ1601" i="1"/>
  <c r="AK1601" i="1"/>
  <c r="AP1601" i="1"/>
  <c r="AR1601" i="1"/>
  <c r="AY1601" i="1"/>
  <c r="BE1601" i="1"/>
  <c r="BF1601" i="1"/>
  <c r="C1602" i="1"/>
  <c r="E1602" i="1"/>
  <c r="F1602" i="1"/>
  <c r="G1602" i="1"/>
  <c r="H1602" i="1"/>
  <c r="L1602" i="1"/>
  <c r="M1602" i="1"/>
  <c r="N1602" i="1"/>
  <c r="O1602" i="1"/>
  <c r="P1602" i="1"/>
  <c r="Q1602" i="1"/>
  <c r="R1602" i="1"/>
  <c r="S1602" i="1"/>
  <c r="T1602" i="1"/>
  <c r="U1602" i="1"/>
  <c r="V1602" i="1"/>
  <c r="AB1602" i="1"/>
  <c r="AI1602" i="1"/>
  <c r="AJ1602" i="1"/>
  <c r="AK1602" i="1"/>
  <c r="AP1602" i="1"/>
  <c r="AR1602" i="1"/>
  <c r="AY1602" i="1"/>
  <c r="BE1602" i="1"/>
  <c r="BF1602" i="1"/>
  <c r="C1603" i="1"/>
  <c r="E1603" i="1"/>
  <c r="F1603" i="1"/>
  <c r="G1603" i="1"/>
  <c r="H1603" i="1"/>
  <c r="L1603" i="1"/>
  <c r="M1603" i="1"/>
  <c r="N1603" i="1"/>
  <c r="O1603" i="1"/>
  <c r="P1603" i="1"/>
  <c r="Q1603" i="1"/>
  <c r="R1603" i="1"/>
  <c r="S1603" i="1"/>
  <c r="T1603" i="1"/>
  <c r="U1603" i="1"/>
  <c r="V1603" i="1"/>
  <c r="AB1603" i="1"/>
  <c r="AI1603" i="1"/>
  <c r="AJ1603" i="1"/>
  <c r="AK1603" i="1"/>
  <c r="AP1603" i="1"/>
  <c r="AR1603" i="1"/>
  <c r="AY1603" i="1"/>
  <c r="BE1603" i="1"/>
  <c r="BF1603" i="1"/>
  <c r="C1604" i="1"/>
  <c r="E1604" i="1"/>
  <c r="F1604" i="1"/>
  <c r="G1604" i="1"/>
  <c r="H1604" i="1"/>
  <c r="L1604" i="1"/>
  <c r="M1604" i="1"/>
  <c r="N1604" i="1"/>
  <c r="O1604" i="1"/>
  <c r="P1604" i="1"/>
  <c r="Q1604" i="1"/>
  <c r="R1604" i="1"/>
  <c r="S1604" i="1"/>
  <c r="T1604" i="1"/>
  <c r="U1604" i="1"/>
  <c r="V1604" i="1"/>
  <c r="AB1604" i="1"/>
  <c r="AI1604" i="1"/>
  <c r="AJ1604" i="1"/>
  <c r="AK1604" i="1"/>
  <c r="AP1604" i="1"/>
  <c r="AR1604" i="1"/>
  <c r="AY1604" i="1"/>
  <c r="BE1604" i="1"/>
  <c r="BF1604" i="1"/>
  <c r="C1605" i="1"/>
  <c r="E1605" i="1"/>
  <c r="F1605" i="1"/>
  <c r="G1605" i="1"/>
  <c r="H1605" i="1"/>
  <c r="L1605" i="1"/>
  <c r="M1605" i="1"/>
  <c r="N1605" i="1"/>
  <c r="O1605" i="1"/>
  <c r="P1605" i="1"/>
  <c r="Q1605" i="1"/>
  <c r="R1605" i="1"/>
  <c r="S1605" i="1"/>
  <c r="T1605" i="1"/>
  <c r="U1605" i="1"/>
  <c r="V1605" i="1"/>
  <c r="AB1605" i="1"/>
  <c r="AI1605" i="1"/>
  <c r="AJ1605" i="1"/>
  <c r="AK1605" i="1"/>
  <c r="AP1605" i="1"/>
  <c r="AR1605" i="1"/>
  <c r="AY1605" i="1"/>
  <c r="BE1605" i="1"/>
  <c r="BF1605" i="1"/>
  <c r="C1606" i="1"/>
  <c r="E1606" i="1"/>
  <c r="F1606" i="1"/>
  <c r="G1606" i="1"/>
  <c r="H1606" i="1"/>
  <c r="L1606" i="1"/>
  <c r="M1606" i="1"/>
  <c r="N1606" i="1"/>
  <c r="O1606" i="1"/>
  <c r="P1606" i="1"/>
  <c r="Q1606" i="1"/>
  <c r="R1606" i="1"/>
  <c r="S1606" i="1"/>
  <c r="T1606" i="1"/>
  <c r="U1606" i="1"/>
  <c r="V1606" i="1"/>
  <c r="AB1606" i="1"/>
  <c r="AI1606" i="1"/>
  <c r="AJ1606" i="1"/>
  <c r="AK1606" i="1"/>
  <c r="AP1606" i="1"/>
  <c r="AR1606" i="1"/>
  <c r="AY1606" i="1"/>
  <c r="BE1606" i="1"/>
  <c r="BF1606" i="1"/>
  <c r="C1607" i="1"/>
  <c r="E1607" i="1"/>
  <c r="F1607" i="1"/>
  <c r="G1607" i="1"/>
  <c r="H1607" i="1"/>
  <c r="L1607" i="1"/>
  <c r="M1607" i="1"/>
  <c r="N1607" i="1"/>
  <c r="O1607" i="1"/>
  <c r="P1607" i="1"/>
  <c r="Q1607" i="1"/>
  <c r="R1607" i="1"/>
  <c r="S1607" i="1"/>
  <c r="T1607" i="1"/>
  <c r="U1607" i="1"/>
  <c r="V1607" i="1"/>
  <c r="AB1607" i="1"/>
  <c r="AI1607" i="1"/>
  <c r="AJ1607" i="1"/>
  <c r="AK1607" i="1"/>
  <c r="AP1607" i="1"/>
  <c r="AR1607" i="1"/>
  <c r="AY1607" i="1"/>
  <c r="BE1607" i="1"/>
  <c r="BF1607" i="1"/>
  <c r="C1608" i="1"/>
  <c r="E1608" i="1"/>
  <c r="F1608" i="1"/>
  <c r="G1608" i="1"/>
  <c r="H1608" i="1"/>
  <c r="L1608" i="1"/>
  <c r="M1608" i="1"/>
  <c r="N1608" i="1"/>
  <c r="O1608" i="1"/>
  <c r="P1608" i="1"/>
  <c r="Q1608" i="1"/>
  <c r="R1608" i="1"/>
  <c r="S1608" i="1"/>
  <c r="T1608" i="1"/>
  <c r="U1608" i="1"/>
  <c r="V1608" i="1"/>
  <c r="AB1608" i="1"/>
  <c r="AI1608" i="1"/>
  <c r="AJ1608" i="1"/>
  <c r="AK1608" i="1"/>
  <c r="AP1608" i="1"/>
  <c r="AR1608" i="1"/>
  <c r="AY1608" i="1"/>
  <c r="BE1608" i="1"/>
  <c r="BF1608" i="1"/>
  <c r="C1609" i="1"/>
  <c r="E1609" i="1"/>
  <c r="F1609" i="1"/>
  <c r="G1609" i="1"/>
  <c r="H1609" i="1"/>
  <c r="L1609" i="1"/>
  <c r="M1609" i="1"/>
  <c r="N1609" i="1"/>
  <c r="O1609" i="1"/>
  <c r="P1609" i="1"/>
  <c r="Q1609" i="1"/>
  <c r="R1609" i="1"/>
  <c r="S1609" i="1"/>
  <c r="T1609" i="1"/>
  <c r="U1609" i="1"/>
  <c r="V1609" i="1"/>
  <c r="AB1609" i="1"/>
  <c r="AI1609" i="1"/>
  <c r="AJ1609" i="1"/>
  <c r="AK1609" i="1"/>
  <c r="AP1609" i="1"/>
  <c r="AR1609" i="1"/>
  <c r="AY1609" i="1"/>
  <c r="BE1609" i="1"/>
  <c r="BF1609" i="1"/>
  <c r="C1610" i="1"/>
  <c r="E1610" i="1"/>
  <c r="F1610" i="1"/>
  <c r="G1610" i="1"/>
  <c r="H1610" i="1"/>
  <c r="L1610" i="1"/>
  <c r="M1610" i="1"/>
  <c r="N1610" i="1"/>
  <c r="O1610" i="1"/>
  <c r="P1610" i="1"/>
  <c r="Q1610" i="1"/>
  <c r="R1610" i="1"/>
  <c r="S1610" i="1"/>
  <c r="T1610" i="1"/>
  <c r="U1610" i="1"/>
  <c r="V1610" i="1"/>
  <c r="AB1610" i="1"/>
  <c r="AI1610" i="1"/>
  <c r="AJ1610" i="1"/>
  <c r="AK1610" i="1"/>
  <c r="AP1610" i="1"/>
  <c r="AR1610" i="1"/>
  <c r="AY1610" i="1"/>
  <c r="BE1610" i="1"/>
  <c r="BF1610" i="1"/>
  <c r="C1611" i="1"/>
  <c r="E1611" i="1"/>
  <c r="F1611" i="1"/>
  <c r="G1611" i="1"/>
  <c r="H1611" i="1"/>
  <c r="L1611" i="1"/>
  <c r="M1611" i="1"/>
  <c r="N1611" i="1"/>
  <c r="O1611" i="1"/>
  <c r="P1611" i="1"/>
  <c r="Q1611" i="1"/>
  <c r="R1611" i="1"/>
  <c r="S1611" i="1"/>
  <c r="T1611" i="1"/>
  <c r="U1611" i="1"/>
  <c r="V1611" i="1"/>
  <c r="AB1611" i="1"/>
  <c r="AI1611" i="1"/>
  <c r="AJ1611" i="1"/>
  <c r="AK1611" i="1"/>
  <c r="AP1611" i="1"/>
  <c r="AR1611" i="1"/>
  <c r="AY1611" i="1"/>
  <c r="BE1611" i="1"/>
  <c r="BF1611" i="1"/>
  <c r="C1612" i="1"/>
  <c r="E1612" i="1"/>
  <c r="F1612" i="1"/>
  <c r="G1612" i="1"/>
  <c r="H1612" i="1"/>
  <c r="L1612" i="1"/>
  <c r="M1612" i="1"/>
  <c r="N1612" i="1"/>
  <c r="O1612" i="1"/>
  <c r="P1612" i="1"/>
  <c r="Q1612" i="1"/>
  <c r="R1612" i="1"/>
  <c r="S1612" i="1"/>
  <c r="T1612" i="1"/>
  <c r="U1612" i="1"/>
  <c r="V1612" i="1"/>
  <c r="AB1612" i="1"/>
  <c r="AI1612" i="1"/>
  <c r="AJ1612" i="1"/>
  <c r="AK1612" i="1"/>
  <c r="AP1612" i="1"/>
  <c r="AR1612" i="1"/>
  <c r="AY1612" i="1"/>
  <c r="BE1612" i="1"/>
  <c r="BF1612" i="1"/>
  <c r="C1613" i="1"/>
  <c r="E1613" i="1"/>
  <c r="F1613" i="1"/>
  <c r="G1613" i="1"/>
  <c r="H1613" i="1"/>
  <c r="L1613" i="1"/>
  <c r="M1613" i="1"/>
  <c r="N1613" i="1"/>
  <c r="O1613" i="1"/>
  <c r="P1613" i="1"/>
  <c r="Q1613" i="1"/>
  <c r="R1613" i="1"/>
  <c r="S1613" i="1"/>
  <c r="T1613" i="1"/>
  <c r="U1613" i="1"/>
  <c r="V1613" i="1"/>
  <c r="AB1613" i="1"/>
  <c r="AI1613" i="1"/>
  <c r="AJ1613" i="1"/>
  <c r="AK1613" i="1"/>
  <c r="AP1613" i="1"/>
  <c r="AR1613" i="1"/>
  <c r="AY1613" i="1"/>
  <c r="BE1613" i="1"/>
  <c r="BF1613" i="1"/>
  <c r="C1614" i="1"/>
  <c r="E1614" i="1"/>
  <c r="F1614" i="1"/>
  <c r="G1614" i="1"/>
  <c r="H1614" i="1"/>
  <c r="L1614" i="1"/>
  <c r="M1614" i="1"/>
  <c r="N1614" i="1"/>
  <c r="O1614" i="1"/>
  <c r="P1614" i="1"/>
  <c r="Q1614" i="1"/>
  <c r="R1614" i="1"/>
  <c r="S1614" i="1"/>
  <c r="T1614" i="1"/>
  <c r="U1614" i="1"/>
  <c r="V1614" i="1"/>
  <c r="AB1614" i="1"/>
  <c r="AI1614" i="1"/>
  <c r="AJ1614" i="1"/>
  <c r="AK1614" i="1"/>
  <c r="AP1614" i="1"/>
  <c r="AR1614" i="1"/>
  <c r="AY1614" i="1"/>
  <c r="BE1614" i="1"/>
  <c r="BF1614" i="1"/>
  <c r="C1615" i="1"/>
  <c r="E1615" i="1"/>
  <c r="F1615" i="1"/>
  <c r="G1615" i="1"/>
  <c r="H1615" i="1"/>
  <c r="L1615" i="1"/>
  <c r="M1615" i="1"/>
  <c r="N1615" i="1"/>
  <c r="O1615" i="1"/>
  <c r="P1615" i="1"/>
  <c r="Q1615" i="1"/>
  <c r="R1615" i="1"/>
  <c r="S1615" i="1"/>
  <c r="T1615" i="1"/>
  <c r="U1615" i="1"/>
  <c r="V1615" i="1"/>
  <c r="AB1615" i="1"/>
  <c r="AI1615" i="1"/>
  <c r="AJ1615" i="1"/>
  <c r="AK1615" i="1"/>
  <c r="AP1615" i="1"/>
  <c r="AR1615" i="1"/>
  <c r="AY1615" i="1"/>
  <c r="BE1615" i="1"/>
  <c r="BF1615" i="1"/>
  <c r="C1616" i="1"/>
  <c r="E1616" i="1"/>
  <c r="F1616" i="1"/>
  <c r="G1616" i="1"/>
  <c r="H1616" i="1"/>
  <c r="L1616" i="1"/>
  <c r="M1616" i="1"/>
  <c r="N1616" i="1"/>
  <c r="O1616" i="1"/>
  <c r="P1616" i="1"/>
  <c r="Q1616" i="1"/>
  <c r="R1616" i="1"/>
  <c r="S1616" i="1"/>
  <c r="T1616" i="1"/>
  <c r="U1616" i="1"/>
  <c r="V1616" i="1"/>
  <c r="AB1616" i="1"/>
  <c r="AI1616" i="1"/>
  <c r="AJ1616" i="1"/>
  <c r="AK1616" i="1"/>
  <c r="AP1616" i="1"/>
  <c r="AR1616" i="1"/>
  <c r="AY1616" i="1"/>
  <c r="BE1616" i="1"/>
  <c r="BF1616" i="1"/>
  <c r="C1617" i="1"/>
  <c r="E1617" i="1"/>
  <c r="F1617" i="1"/>
  <c r="G1617" i="1"/>
  <c r="H1617" i="1"/>
  <c r="L1617" i="1"/>
  <c r="M1617" i="1"/>
  <c r="N1617" i="1"/>
  <c r="O1617" i="1"/>
  <c r="P1617" i="1"/>
  <c r="Q1617" i="1"/>
  <c r="R1617" i="1"/>
  <c r="S1617" i="1"/>
  <c r="T1617" i="1"/>
  <c r="U1617" i="1"/>
  <c r="V1617" i="1"/>
  <c r="AB1617" i="1"/>
  <c r="AI1617" i="1"/>
  <c r="AJ1617" i="1"/>
  <c r="AK1617" i="1"/>
  <c r="AP1617" i="1"/>
  <c r="AR1617" i="1"/>
  <c r="AY1617" i="1"/>
  <c r="BE1617" i="1"/>
  <c r="BF1617" i="1"/>
  <c r="C1618" i="1"/>
  <c r="E1618" i="1"/>
  <c r="F1618" i="1"/>
  <c r="G1618" i="1"/>
  <c r="H1618" i="1"/>
  <c r="L1618" i="1"/>
  <c r="M1618" i="1"/>
  <c r="N1618" i="1"/>
  <c r="O1618" i="1"/>
  <c r="P1618" i="1"/>
  <c r="Q1618" i="1"/>
  <c r="R1618" i="1"/>
  <c r="S1618" i="1"/>
  <c r="T1618" i="1"/>
  <c r="U1618" i="1"/>
  <c r="V1618" i="1"/>
  <c r="AB1618" i="1"/>
  <c r="AI1618" i="1"/>
  <c r="AJ1618" i="1"/>
  <c r="AK1618" i="1"/>
  <c r="AP1618" i="1"/>
  <c r="AR1618" i="1"/>
  <c r="AY1618" i="1"/>
  <c r="BE1618" i="1"/>
  <c r="BF1618" i="1"/>
  <c r="C1619" i="1"/>
  <c r="E1619" i="1"/>
  <c r="F1619" i="1"/>
  <c r="G1619" i="1"/>
  <c r="H1619" i="1"/>
  <c r="L1619" i="1"/>
  <c r="M1619" i="1"/>
  <c r="N1619" i="1"/>
  <c r="O1619" i="1"/>
  <c r="P1619" i="1"/>
  <c r="Q1619" i="1"/>
  <c r="R1619" i="1"/>
  <c r="S1619" i="1"/>
  <c r="T1619" i="1"/>
  <c r="U1619" i="1"/>
  <c r="V1619" i="1"/>
  <c r="AB1619" i="1"/>
  <c r="AI1619" i="1"/>
  <c r="AJ1619" i="1"/>
  <c r="AK1619" i="1"/>
  <c r="AP1619" i="1"/>
  <c r="AR1619" i="1"/>
  <c r="AY1619" i="1"/>
  <c r="BE1619" i="1"/>
  <c r="BF1619" i="1"/>
  <c r="C1620" i="1"/>
  <c r="E1620" i="1"/>
  <c r="F1620" i="1"/>
  <c r="G1620" i="1"/>
  <c r="H1620" i="1"/>
  <c r="L1620" i="1"/>
  <c r="M1620" i="1"/>
  <c r="N1620" i="1"/>
  <c r="O1620" i="1"/>
  <c r="P1620" i="1"/>
  <c r="Q1620" i="1"/>
  <c r="R1620" i="1"/>
  <c r="S1620" i="1"/>
  <c r="T1620" i="1"/>
  <c r="U1620" i="1"/>
  <c r="V1620" i="1"/>
  <c r="AB1620" i="1"/>
  <c r="AI1620" i="1"/>
  <c r="AJ1620" i="1"/>
  <c r="AK1620" i="1"/>
  <c r="AP1620" i="1"/>
  <c r="AR1620" i="1"/>
  <c r="AY1620" i="1"/>
  <c r="BE1620" i="1"/>
  <c r="BF1620" i="1"/>
  <c r="C1621" i="1"/>
  <c r="E1621" i="1"/>
  <c r="F1621" i="1"/>
  <c r="G1621" i="1"/>
  <c r="H1621" i="1"/>
  <c r="L1621" i="1"/>
  <c r="M1621" i="1"/>
  <c r="N1621" i="1"/>
  <c r="O1621" i="1"/>
  <c r="P1621" i="1"/>
  <c r="Q1621" i="1"/>
  <c r="R1621" i="1"/>
  <c r="S1621" i="1"/>
  <c r="T1621" i="1"/>
  <c r="U1621" i="1"/>
  <c r="V1621" i="1"/>
  <c r="AB1621" i="1"/>
  <c r="AI1621" i="1"/>
  <c r="AJ1621" i="1"/>
  <c r="AK1621" i="1"/>
  <c r="AP1621" i="1"/>
  <c r="AR1621" i="1"/>
  <c r="AY1621" i="1"/>
  <c r="BE1621" i="1"/>
  <c r="BF1621" i="1"/>
  <c r="C1622" i="1"/>
  <c r="E1622" i="1"/>
  <c r="F1622" i="1"/>
  <c r="G1622" i="1"/>
  <c r="H1622" i="1"/>
  <c r="L1622" i="1"/>
  <c r="M1622" i="1"/>
  <c r="N1622" i="1"/>
  <c r="O1622" i="1"/>
  <c r="P1622" i="1"/>
  <c r="Q1622" i="1"/>
  <c r="R1622" i="1"/>
  <c r="S1622" i="1"/>
  <c r="T1622" i="1"/>
  <c r="U1622" i="1"/>
  <c r="V1622" i="1"/>
  <c r="AB1622" i="1"/>
  <c r="AI1622" i="1"/>
  <c r="AJ1622" i="1"/>
  <c r="AK1622" i="1"/>
  <c r="AP1622" i="1"/>
  <c r="AR1622" i="1"/>
  <c r="AY1622" i="1"/>
  <c r="BE1622" i="1"/>
  <c r="BF1622" i="1"/>
  <c r="C1623" i="1"/>
  <c r="E1623" i="1"/>
  <c r="F1623" i="1"/>
  <c r="G1623" i="1"/>
  <c r="H1623" i="1"/>
  <c r="L1623" i="1"/>
  <c r="M1623" i="1"/>
  <c r="N1623" i="1"/>
  <c r="O1623" i="1"/>
  <c r="P1623" i="1"/>
  <c r="Q1623" i="1"/>
  <c r="R1623" i="1"/>
  <c r="S1623" i="1"/>
  <c r="T1623" i="1"/>
  <c r="U1623" i="1"/>
  <c r="V1623" i="1"/>
  <c r="AB1623" i="1"/>
  <c r="AI1623" i="1"/>
  <c r="AJ1623" i="1"/>
  <c r="AK1623" i="1"/>
  <c r="AP1623" i="1"/>
  <c r="AR1623" i="1"/>
  <c r="AY1623" i="1"/>
  <c r="BE1623" i="1"/>
  <c r="BF1623" i="1"/>
  <c r="C1624" i="1"/>
  <c r="E1624" i="1"/>
  <c r="F1624" i="1"/>
  <c r="G1624" i="1"/>
  <c r="H1624" i="1"/>
  <c r="L1624" i="1"/>
  <c r="M1624" i="1"/>
  <c r="N1624" i="1"/>
  <c r="O1624" i="1"/>
  <c r="P1624" i="1"/>
  <c r="Q1624" i="1"/>
  <c r="R1624" i="1"/>
  <c r="S1624" i="1"/>
  <c r="T1624" i="1"/>
  <c r="U1624" i="1"/>
  <c r="V1624" i="1"/>
  <c r="AB1624" i="1"/>
  <c r="AI1624" i="1"/>
  <c r="AJ1624" i="1"/>
  <c r="AK1624" i="1"/>
  <c r="AP1624" i="1"/>
  <c r="AR1624" i="1"/>
  <c r="AY1624" i="1"/>
  <c r="BE1624" i="1"/>
  <c r="BF1624" i="1"/>
  <c r="C1625" i="1"/>
  <c r="E1625" i="1"/>
  <c r="F1625" i="1"/>
  <c r="G1625" i="1"/>
  <c r="H1625" i="1"/>
  <c r="L1625" i="1"/>
  <c r="M1625" i="1"/>
  <c r="N1625" i="1"/>
  <c r="O1625" i="1"/>
  <c r="P1625" i="1"/>
  <c r="Q1625" i="1"/>
  <c r="R1625" i="1"/>
  <c r="S1625" i="1"/>
  <c r="T1625" i="1"/>
  <c r="U1625" i="1"/>
  <c r="V1625" i="1"/>
  <c r="AB1625" i="1"/>
  <c r="AI1625" i="1"/>
  <c r="AJ1625" i="1"/>
  <c r="AK1625" i="1"/>
  <c r="AP1625" i="1"/>
  <c r="AR1625" i="1"/>
  <c r="AY1625" i="1"/>
  <c r="BE1625" i="1"/>
  <c r="BF1625" i="1"/>
  <c r="C1626" i="1"/>
  <c r="E1626" i="1"/>
  <c r="F1626" i="1"/>
  <c r="G1626" i="1"/>
  <c r="H1626" i="1"/>
  <c r="L1626" i="1"/>
  <c r="M1626" i="1"/>
  <c r="N1626" i="1"/>
  <c r="O1626" i="1"/>
  <c r="P1626" i="1"/>
  <c r="Q1626" i="1"/>
  <c r="R1626" i="1"/>
  <c r="S1626" i="1"/>
  <c r="T1626" i="1"/>
  <c r="U1626" i="1"/>
  <c r="V1626" i="1"/>
  <c r="AB1626" i="1"/>
  <c r="AI1626" i="1"/>
  <c r="AJ1626" i="1"/>
  <c r="AK1626" i="1"/>
  <c r="AP1626" i="1"/>
  <c r="AR1626" i="1"/>
  <c r="AY1626" i="1"/>
  <c r="BE1626" i="1"/>
  <c r="BF1626" i="1"/>
  <c r="C1627" i="1"/>
  <c r="E1627" i="1"/>
  <c r="F1627" i="1"/>
  <c r="G1627" i="1"/>
  <c r="H1627" i="1"/>
  <c r="L1627" i="1"/>
  <c r="M1627" i="1"/>
  <c r="N1627" i="1"/>
  <c r="O1627" i="1"/>
  <c r="P1627" i="1"/>
  <c r="Q1627" i="1"/>
  <c r="R1627" i="1"/>
  <c r="S1627" i="1"/>
  <c r="T1627" i="1"/>
  <c r="U1627" i="1"/>
  <c r="V1627" i="1"/>
  <c r="AB1627" i="1"/>
  <c r="AI1627" i="1"/>
  <c r="AJ1627" i="1"/>
  <c r="AK1627" i="1"/>
  <c r="AP1627" i="1"/>
  <c r="AR1627" i="1"/>
  <c r="AY1627" i="1"/>
  <c r="BE1627" i="1"/>
  <c r="BF1627" i="1"/>
  <c r="C1628" i="1"/>
  <c r="E1628" i="1"/>
  <c r="F1628" i="1"/>
  <c r="G1628" i="1"/>
  <c r="H1628" i="1"/>
  <c r="L1628" i="1"/>
  <c r="M1628" i="1"/>
  <c r="N1628" i="1"/>
  <c r="O1628" i="1"/>
  <c r="P1628" i="1"/>
  <c r="Q1628" i="1"/>
  <c r="R1628" i="1"/>
  <c r="S1628" i="1"/>
  <c r="T1628" i="1"/>
  <c r="U1628" i="1"/>
  <c r="V1628" i="1"/>
  <c r="AB1628" i="1"/>
  <c r="AI1628" i="1"/>
  <c r="AJ1628" i="1"/>
  <c r="AK1628" i="1"/>
  <c r="AP1628" i="1"/>
  <c r="AR1628" i="1"/>
  <c r="AY1628" i="1"/>
  <c r="BE1628" i="1"/>
  <c r="BF1628" i="1"/>
  <c r="C1629" i="1"/>
  <c r="E1629" i="1"/>
  <c r="F1629" i="1"/>
  <c r="G1629" i="1"/>
  <c r="H1629" i="1"/>
  <c r="L1629" i="1"/>
  <c r="M1629" i="1"/>
  <c r="N1629" i="1"/>
  <c r="O1629" i="1"/>
  <c r="P1629" i="1"/>
  <c r="Q1629" i="1"/>
  <c r="R1629" i="1"/>
  <c r="S1629" i="1"/>
  <c r="T1629" i="1"/>
  <c r="U1629" i="1"/>
  <c r="V1629" i="1"/>
  <c r="AB1629" i="1"/>
  <c r="AI1629" i="1"/>
  <c r="AJ1629" i="1"/>
  <c r="AK1629" i="1"/>
  <c r="AP1629" i="1"/>
  <c r="AR1629" i="1"/>
  <c r="AY1629" i="1"/>
  <c r="BE1629" i="1"/>
  <c r="BF1629" i="1"/>
  <c r="C1630" i="1"/>
  <c r="E1630" i="1"/>
  <c r="F1630" i="1"/>
  <c r="G1630" i="1"/>
  <c r="H1630" i="1"/>
  <c r="L1630" i="1"/>
  <c r="M1630" i="1"/>
  <c r="N1630" i="1"/>
  <c r="O1630" i="1"/>
  <c r="P1630" i="1"/>
  <c r="Q1630" i="1"/>
  <c r="R1630" i="1"/>
  <c r="S1630" i="1"/>
  <c r="T1630" i="1"/>
  <c r="U1630" i="1"/>
  <c r="V1630" i="1"/>
  <c r="AB1630" i="1"/>
  <c r="AI1630" i="1"/>
  <c r="AJ1630" i="1"/>
  <c r="AK1630" i="1"/>
  <c r="AP1630" i="1"/>
  <c r="AR1630" i="1"/>
  <c r="AY1630" i="1"/>
  <c r="BE1630" i="1"/>
  <c r="BF1630" i="1"/>
  <c r="C1631" i="1"/>
  <c r="E1631" i="1"/>
  <c r="F1631" i="1"/>
  <c r="G1631" i="1"/>
  <c r="H1631" i="1"/>
  <c r="L1631" i="1"/>
  <c r="M1631" i="1"/>
  <c r="N1631" i="1"/>
  <c r="O1631" i="1"/>
  <c r="P1631" i="1"/>
  <c r="Q1631" i="1"/>
  <c r="R1631" i="1"/>
  <c r="S1631" i="1"/>
  <c r="T1631" i="1"/>
  <c r="U1631" i="1"/>
  <c r="V1631" i="1"/>
  <c r="AB1631" i="1"/>
  <c r="AI1631" i="1"/>
  <c r="AJ1631" i="1"/>
  <c r="AK1631" i="1"/>
  <c r="AP1631" i="1"/>
  <c r="AR1631" i="1"/>
  <c r="AY1631" i="1"/>
  <c r="BE1631" i="1"/>
  <c r="BF1631" i="1"/>
  <c r="C1632" i="1"/>
  <c r="E1632" i="1"/>
  <c r="F1632" i="1"/>
  <c r="G1632" i="1"/>
  <c r="H1632" i="1"/>
  <c r="L1632" i="1"/>
  <c r="M1632" i="1"/>
  <c r="N1632" i="1"/>
  <c r="O1632" i="1"/>
  <c r="P1632" i="1"/>
  <c r="Q1632" i="1"/>
  <c r="R1632" i="1"/>
  <c r="S1632" i="1"/>
  <c r="T1632" i="1"/>
  <c r="U1632" i="1"/>
  <c r="V1632" i="1"/>
  <c r="AB1632" i="1"/>
  <c r="AI1632" i="1"/>
  <c r="AJ1632" i="1"/>
  <c r="AK1632" i="1"/>
  <c r="AP1632" i="1"/>
  <c r="AR1632" i="1"/>
  <c r="AY1632" i="1"/>
  <c r="BE1632" i="1"/>
  <c r="BF1632" i="1"/>
  <c r="C1633" i="1"/>
  <c r="E1633" i="1"/>
  <c r="F1633" i="1"/>
  <c r="G1633" i="1"/>
  <c r="H1633" i="1"/>
  <c r="L1633" i="1"/>
  <c r="M1633" i="1"/>
  <c r="N1633" i="1"/>
  <c r="O1633" i="1"/>
  <c r="P1633" i="1"/>
  <c r="Q1633" i="1"/>
  <c r="R1633" i="1"/>
  <c r="S1633" i="1"/>
  <c r="T1633" i="1"/>
  <c r="U1633" i="1"/>
  <c r="V1633" i="1"/>
  <c r="AB1633" i="1"/>
  <c r="AI1633" i="1"/>
  <c r="AJ1633" i="1"/>
  <c r="AK1633" i="1"/>
  <c r="AP1633" i="1"/>
  <c r="AR1633" i="1"/>
  <c r="AY1633" i="1"/>
  <c r="BE1633" i="1"/>
  <c r="BF1633" i="1"/>
  <c r="C1634" i="1"/>
  <c r="E1634" i="1"/>
  <c r="F1634" i="1"/>
  <c r="G1634" i="1"/>
  <c r="H1634" i="1"/>
  <c r="L1634" i="1"/>
  <c r="M1634" i="1"/>
  <c r="N1634" i="1"/>
  <c r="O1634" i="1"/>
  <c r="P1634" i="1"/>
  <c r="Q1634" i="1"/>
  <c r="R1634" i="1"/>
  <c r="S1634" i="1"/>
  <c r="T1634" i="1"/>
  <c r="U1634" i="1"/>
  <c r="V1634" i="1"/>
  <c r="AB1634" i="1"/>
  <c r="AI1634" i="1"/>
  <c r="AJ1634" i="1"/>
  <c r="AK1634" i="1"/>
  <c r="AP1634" i="1"/>
  <c r="AR1634" i="1"/>
  <c r="AY1634" i="1"/>
  <c r="BE1634" i="1"/>
  <c r="BF1634" i="1"/>
  <c r="C1635" i="1"/>
  <c r="E1635" i="1"/>
  <c r="F1635" i="1"/>
  <c r="G1635" i="1"/>
  <c r="H1635" i="1"/>
  <c r="L1635" i="1"/>
  <c r="M1635" i="1"/>
  <c r="N1635" i="1"/>
  <c r="O1635" i="1"/>
  <c r="P1635" i="1"/>
  <c r="Q1635" i="1"/>
  <c r="R1635" i="1"/>
  <c r="S1635" i="1"/>
  <c r="T1635" i="1"/>
  <c r="U1635" i="1"/>
  <c r="V1635" i="1"/>
  <c r="AB1635" i="1"/>
  <c r="AI1635" i="1"/>
  <c r="AJ1635" i="1"/>
  <c r="AK1635" i="1"/>
  <c r="AP1635" i="1"/>
  <c r="AR1635" i="1"/>
  <c r="AY1635" i="1"/>
  <c r="BE1635" i="1"/>
  <c r="BF1635" i="1"/>
  <c r="C1636" i="1"/>
  <c r="E1636" i="1"/>
  <c r="F1636" i="1"/>
  <c r="G1636" i="1"/>
  <c r="H1636" i="1"/>
  <c r="L1636" i="1"/>
  <c r="M1636" i="1"/>
  <c r="N1636" i="1"/>
  <c r="O1636" i="1"/>
  <c r="P1636" i="1"/>
  <c r="Q1636" i="1"/>
  <c r="R1636" i="1"/>
  <c r="S1636" i="1"/>
  <c r="T1636" i="1"/>
  <c r="U1636" i="1"/>
  <c r="V1636" i="1"/>
  <c r="AB1636" i="1"/>
  <c r="AI1636" i="1"/>
  <c r="AJ1636" i="1"/>
  <c r="AK1636" i="1"/>
  <c r="AP1636" i="1"/>
  <c r="AR1636" i="1"/>
  <c r="AY1636" i="1"/>
  <c r="BE1636" i="1"/>
  <c r="BF1636" i="1"/>
  <c r="C1637" i="1"/>
  <c r="E1637" i="1"/>
  <c r="F1637" i="1"/>
  <c r="G1637" i="1"/>
  <c r="H1637" i="1"/>
  <c r="L1637" i="1"/>
  <c r="M1637" i="1"/>
  <c r="N1637" i="1"/>
  <c r="O1637" i="1"/>
  <c r="P1637" i="1"/>
  <c r="Q1637" i="1"/>
  <c r="R1637" i="1"/>
  <c r="S1637" i="1"/>
  <c r="T1637" i="1"/>
  <c r="U1637" i="1"/>
  <c r="V1637" i="1"/>
  <c r="AB1637" i="1"/>
  <c r="AI1637" i="1"/>
  <c r="AJ1637" i="1"/>
  <c r="AK1637" i="1"/>
  <c r="AP1637" i="1"/>
  <c r="AR1637" i="1"/>
  <c r="AY1637" i="1"/>
  <c r="BE1637" i="1"/>
  <c r="BF1637" i="1"/>
  <c r="C1638" i="1"/>
  <c r="E1638" i="1"/>
  <c r="F1638" i="1"/>
  <c r="G1638" i="1"/>
  <c r="H1638" i="1"/>
  <c r="L1638" i="1"/>
  <c r="M1638" i="1"/>
  <c r="N1638" i="1"/>
  <c r="O1638" i="1"/>
  <c r="P1638" i="1"/>
  <c r="Q1638" i="1"/>
  <c r="R1638" i="1"/>
  <c r="S1638" i="1"/>
  <c r="T1638" i="1"/>
  <c r="U1638" i="1"/>
  <c r="V1638" i="1"/>
  <c r="AB1638" i="1"/>
  <c r="AI1638" i="1"/>
  <c r="AJ1638" i="1"/>
  <c r="AK1638" i="1"/>
  <c r="AP1638" i="1"/>
  <c r="AR1638" i="1"/>
  <c r="AY1638" i="1"/>
  <c r="BE1638" i="1"/>
  <c r="BF1638" i="1"/>
  <c r="C1639" i="1"/>
  <c r="E1639" i="1"/>
  <c r="F1639" i="1"/>
  <c r="G1639" i="1"/>
  <c r="H1639" i="1"/>
  <c r="L1639" i="1"/>
  <c r="M1639" i="1"/>
  <c r="N1639" i="1"/>
  <c r="O1639" i="1"/>
  <c r="P1639" i="1"/>
  <c r="Q1639" i="1"/>
  <c r="R1639" i="1"/>
  <c r="S1639" i="1"/>
  <c r="T1639" i="1"/>
  <c r="U1639" i="1"/>
  <c r="V1639" i="1"/>
  <c r="AB1639" i="1"/>
  <c r="AI1639" i="1"/>
  <c r="AJ1639" i="1"/>
  <c r="AK1639" i="1"/>
  <c r="AP1639" i="1"/>
  <c r="AR1639" i="1"/>
  <c r="AY1639" i="1"/>
  <c r="BE1639" i="1"/>
  <c r="BF1639" i="1"/>
  <c r="C1640" i="1"/>
  <c r="E1640" i="1"/>
  <c r="F1640" i="1"/>
  <c r="G1640" i="1"/>
  <c r="H1640" i="1"/>
  <c r="L1640" i="1"/>
  <c r="M1640" i="1"/>
  <c r="N1640" i="1"/>
  <c r="O1640" i="1"/>
  <c r="P1640" i="1"/>
  <c r="Q1640" i="1"/>
  <c r="R1640" i="1"/>
  <c r="S1640" i="1"/>
  <c r="T1640" i="1"/>
  <c r="U1640" i="1"/>
  <c r="V1640" i="1"/>
  <c r="AB1640" i="1"/>
  <c r="AI1640" i="1"/>
  <c r="AJ1640" i="1"/>
  <c r="AK1640" i="1"/>
  <c r="AP1640" i="1"/>
  <c r="AR1640" i="1"/>
  <c r="AY1640" i="1"/>
  <c r="BE1640" i="1"/>
  <c r="BF1640" i="1"/>
  <c r="C1641" i="1"/>
  <c r="E1641" i="1"/>
  <c r="F1641" i="1"/>
  <c r="G1641" i="1"/>
  <c r="H1641" i="1"/>
  <c r="L1641" i="1"/>
  <c r="M1641" i="1"/>
  <c r="N1641" i="1"/>
  <c r="O1641" i="1"/>
  <c r="P1641" i="1"/>
  <c r="Q1641" i="1"/>
  <c r="R1641" i="1"/>
  <c r="S1641" i="1"/>
  <c r="T1641" i="1"/>
  <c r="U1641" i="1"/>
  <c r="V1641" i="1"/>
  <c r="AB1641" i="1"/>
  <c r="AI1641" i="1"/>
  <c r="AJ1641" i="1"/>
  <c r="AK1641" i="1"/>
  <c r="AP1641" i="1"/>
  <c r="AR1641" i="1"/>
  <c r="AY1641" i="1"/>
  <c r="BE1641" i="1"/>
  <c r="BF1641" i="1"/>
  <c r="C1642" i="1"/>
  <c r="E1642" i="1"/>
  <c r="F1642" i="1"/>
  <c r="G1642" i="1"/>
  <c r="H1642" i="1"/>
  <c r="L1642" i="1"/>
  <c r="M1642" i="1"/>
  <c r="N1642" i="1"/>
  <c r="O1642" i="1"/>
  <c r="P1642" i="1"/>
  <c r="Q1642" i="1"/>
  <c r="R1642" i="1"/>
  <c r="S1642" i="1"/>
  <c r="T1642" i="1"/>
  <c r="U1642" i="1"/>
  <c r="V1642" i="1"/>
  <c r="AB1642" i="1"/>
  <c r="AI1642" i="1"/>
  <c r="AJ1642" i="1"/>
  <c r="AK1642" i="1"/>
  <c r="AP1642" i="1"/>
  <c r="AR1642" i="1"/>
  <c r="AY1642" i="1"/>
  <c r="BE1642" i="1"/>
  <c r="BF1642" i="1"/>
  <c r="C1643" i="1"/>
  <c r="E1643" i="1"/>
  <c r="F1643" i="1"/>
  <c r="G1643" i="1"/>
  <c r="H1643" i="1"/>
  <c r="L1643" i="1"/>
  <c r="M1643" i="1"/>
  <c r="N1643" i="1"/>
  <c r="O1643" i="1"/>
  <c r="P1643" i="1"/>
  <c r="Q1643" i="1"/>
  <c r="R1643" i="1"/>
  <c r="S1643" i="1"/>
  <c r="T1643" i="1"/>
  <c r="U1643" i="1"/>
  <c r="V1643" i="1"/>
  <c r="AB1643" i="1"/>
  <c r="AI1643" i="1"/>
  <c r="AJ1643" i="1"/>
  <c r="AK1643" i="1"/>
  <c r="AP1643" i="1"/>
  <c r="AR1643" i="1"/>
  <c r="AY1643" i="1"/>
  <c r="BE1643" i="1"/>
  <c r="BF1643" i="1"/>
  <c r="C1644" i="1"/>
  <c r="E1644" i="1"/>
  <c r="F1644" i="1"/>
  <c r="G1644" i="1"/>
  <c r="H1644" i="1"/>
  <c r="L1644" i="1"/>
  <c r="M1644" i="1"/>
  <c r="N1644" i="1"/>
  <c r="O1644" i="1"/>
  <c r="P1644" i="1"/>
  <c r="Q1644" i="1"/>
  <c r="R1644" i="1"/>
  <c r="S1644" i="1"/>
  <c r="T1644" i="1"/>
  <c r="U1644" i="1"/>
  <c r="V1644" i="1"/>
  <c r="AB1644" i="1"/>
  <c r="AI1644" i="1"/>
  <c r="AJ1644" i="1"/>
  <c r="AK1644" i="1"/>
  <c r="AP1644" i="1"/>
  <c r="AR1644" i="1"/>
  <c r="AY1644" i="1"/>
  <c r="BE1644" i="1"/>
  <c r="BF1644" i="1"/>
  <c r="C1645" i="1"/>
  <c r="E1645" i="1"/>
  <c r="F1645" i="1"/>
  <c r="G1645" i="1"/>
  <c r="H1645" i="1"/>
  <c r="L1645" i="1"/>
  <c r="M1645" i="1"/>
  <c r="N1645" i="1"/>
  <c r="O1645" i="1"/>
  <c r="P1645" i="1"/>
  <c r="Q1645" i="1"/>
  <c r="R1645" i="1"/>
  <c r="S1645" i="1"/>
  <c r="T1645" i="1"/>
  <c r="U1645" i="1"/>
  <c r="V1645" i="1"/>
  <c r="AB1645" i="1"/>
  <c r="AI1645" i="1"/>
  <c r="AJ1645" i="1"/>
  <c r="AK1645" i="1"/>
  <c r="AP1645" i="1"/>
  <c r="AR1645" i="1"/>
  <c r="AY1645" i="1"/>
  <c r="BE1645" i="1"/>
  <c r="BF1645" i="1"/>
  <c r="C1646" i="1"/>
  <c r="E1646" i="1"/>
  <c r="F1646" i="1"/>
  <c r="G1646" i="1"/>
  <c r="H1646" i="1"/>
  <c r="L1646" i="1"/>
  <c r="M1646" i="1"/>
  <c r="N1646" i="1"/>
  <c r="O1646" i="1"/>
  <c r="P1646" i="1"/>
  <c r="Q1646" i="1"/>
  <c r="R1646" i="1"/>
  <c r="S1646" i="1"/>
  <c r="T1646" i="1"/>
  <c r="U1646" i="1"/>
  <c r="V1646" i="1"/>
  <c r="AB1646" i="1"/>
  <c r="AI1646" i="1"/>
  <c r="AJ1646" i="1"/>
  <c r="AK1646" i="1"/>
  <c r="AP1646" i="1"/>
  <c r="AR1646" i="1"/>
  <c r="AY1646" i="1"/>
  <c r="BE1646" i="1"/>
  <c r="BF1646" i="1"/>
  <c r="C1647" i="1"/>
  <c r="E1647" i="1"/>
  <c r="F1647" i="1"/>
  <c r="G1647" i="1"/>
  <c r="H1647" i="1"/>
  <c r="L1647" i="1"/>
  <c r="M1647" i="1"/>
  <c r="N1647" i="1"/>
  <c r="O1647" i="1"/>
  <c r="P1647" i="1"/>
  <c r="Q1647" i="1"/>
  <c r="R1647" i="1"/>
  <c r="S1647" i="1"/>
  <c r="T1647" i="1"/>
  <c r="U1647" i="1"/>
  <c r="V1647" i="1"/>
  <c r="AB1647" i="1"/>
  <c r="AI1647" i="1"/>
  <c r="AJ1647" i="1"/>
  <c r="AK1647" i="1"/>
  <c r="AP1647" i="1"/>
  <c r="AR1647" i="1"/>
  <c r="AY1647" i="1"/>
  <c r="BE1647" i="1"/>
  <c r="BF1647" i="1"/>
  <c r="C1648" i="1"/>
  <c r="E1648" i="1"/>
  <c r="F1648" i="1"/>
  <c r="G1648" i="1"/>
  <c r="H1648" i="1"/>
  <c r="L1648" i="1"/>
  <c r="M1648" i="1"/>
  <c r="N1648" i="1"/>
  <c r="O1648" i="1"/>
  <c r="P1648" i="1"/>
  <c r="Q1648" i="1"/>
  <c r="R1648" i="1"/>
  <c r="S1648" i="1"/>
  <c r="T1648" i="1"/>
  <c r="U1648" i="1"/>
  <c r="V1648" i="1"/>
  <c r="AB1648" i="1"/>
  <c r="AI1648" i="1"/>
  <c r="AJ1648" i="1"/>
  <c r="AK1648" i="1"/>
  <c r="AP1648" i="1"/>
  <c r="AR1648" i="1"/>
  <c r="AY1648" i="1"/>
  <c r="BE1648" i="1"/>
  <c r="BF1648" i="1"/>
  <c r="C1649" i="1"/>
  <c r="E1649" i="1"/>
  <c r="F1649" i="1"/>
  <c r="G1649" i="1"/>
  <c r="H1649" i="1"/>
  <c r="L1649" i="1"/>
  <c r="M1649" i="1"/>
  <c r="N1649" i="1"/>
  <c r="O1649" i="1"/>
  <c r="P1649" i="1"/>
  <c r="Q1649" i="1"/>
  <c r="R1649" i="1"/>
  <c r="S1649" i="1"/>
  <c r="T1649" i="1"/>
  <c r="U1649" i="1"/>
  <c r="V1649" i="1"/>
  <c r="AB1649" i="1"/>
  <c r="AI1649" i="1"/>
  <c r="AJ1649" i="1"/>
  <c r="AK1649" i="1"/>
  <c r="AP1649" i="1"/>
  <c r="AR1649" i="1"/>
  <c r="AY1649" i="1"/>
  <c r="BE1649" i="1"/>
  <c r="BF1649" i="1"/>
  <c r="C1650" i="1"/>
  <c r="E1650" i="1"/>
  <c r="F1650" i="1"/>
  <c r="G1650" i="1"/>
  <c r="H1650" i="1"/>
  <c r="L1650" i="1"/>
  <c r="M1650" i="1"/>
  <c r="N1650" i="1"/>
  <c r="O1650" i="1"/>
  <c r="P1650" i="1"/>
  <c r="Q1650" i="1"/>
  <c r="R1650" i="1"/>
  <c r="S1650" i="1"/>
  <c r="T1650" i="1"/>
  <c r="U1650" i="1"/>
  <c r="V1650" i="1"/>
  <c r="AB1650" i="1"/>
  <c r="AI1650" i="1"/>
  <c r="AJ1650" i="1"/>
  <c r="AK1650" i="1"/>
  <c r="AP1650" i="1"/>
  <c r="AR1650" i="1"/>
  <c r="AY1650" i="1"/>
  <c r="BE1650" i="1"/>
  <c r="BF1650" i="1"/>
  <c r="C1651" i="1"/>
  <c r="E1651" i="1"/>
  <c r="F1651" i="1"/>
  <c r="G1651" i="1"/>
  <c r="H1651" i="1"/>
  <c r="L1651" i="1"/>
  <c r="M1651" i="1"/>
  <c r="N1651" i="1"/>
  <c r="O1651" i="1"/>
  <c r="P1651" i="1"/>
  <c r="Q1651" i="1"/>
  <c r="R1651" i="1"/>
  <c r="S1651" i="1"/>
  <c r="T1651" i="1"/>
  <c r="U1651" i="1"/>
  <c r="V1651" i="1"/>
  <c r="AB1651" i="1"/>
  <c r="AI1651" i="1"/>
  <c r="AJ1651" i="1"/>
  <c r="AK1651" i="1"/>
  <c r="AP1651" i="1"/>
  <c r="AR1651" i="1"/>
  <c r="AY1651" i="1"/>
  <c r="BE1651" i="1"/>
  <c r="BF1651" i="1"/>
  <c r="C1652" i="1"/>
  <c r="E1652" i="1"/>
  <c r="F1652" i="1"/>
  <c r="G1652" i="1"/>
  <c r="H1652" i="1"/>
  <c r="L1652" i="1"/>
  <c r="M1652" i="1"/>
  <c r="N1652" i="1"/>
  <c r="O1652" i="1"/>
  <c r="P1652" i="1"/>
  <c r="Q1652" i="1"/>
  <c r="R1652" i="1"/>
  <c r="S1652" i="1"/>
  <c r="T1652" i="1"/>
  <c r="U1652" i="1"/>
  <c r="V1652" i="1"/>
  <c r="AB1652" i="1"/>
  <c r="AI1652" i="1"/>
  <c r="AJ1652" i="1"/>
  <c r="AK1652" i="1"/>
  <c r="AP1652" i="1"/>
  <c r="AR1652" i="1"/>
  <c r="AY1652" i="1"/>
  <c r="BE1652" i="1"/>
  <c r="BF1652" i="1"/>
  <c r="C1653" i="1"/>
  <c r="E1653" i="1"/>
  <c r="F1653" i="1"/>
  <c r="G1653" i="1"/>
  <c r="H1653" i="1"/>
  <c r="L1653" i="1"/>
  <c r="M1653" i="1"/>
  <c r="N1653" i="1"/>
  <c r="O1653" i="1"/>
  <c r="P1653" i="1"/>
  <c r="Q1653" i="1"/>
  <c r="R1653" i="1"/>
  <c r="S1653" i="1"/>
  <c r="T1653" i="1"/>
  <c r="U1653" i="1"/>
  <c r="V1653" i="1"/>
  <c r="AB1653" i="1"/>
  <c r="AI1653" i="1"/>
  <c r="AJ1653" i="1"/>
  <c r="AK1653" i="1"/>
  <c r="AP1653" i="1"/>
  <c r="AR1653" i="1"/>
  <c r="AY1653" i="1"/>
  <c r="BE1653" i="1"/>
  <c r="BF1653" i="1"/>
  <c r="C1654" i="1"/>
  <c r="E1654" i="1"/>
  <c r="F1654" i="1"/>
  <c r="G1654" i="1"/>
  <c r="H1654" i="1"/>
  <c r="L1654" i="1"/>
  <c r="M1654" i="1"/>
  <c r="N1654" i="1"/>
  <c r="O1654" i="1"/>
  <c r="P1654" i="1"/>
  <c r="Q1654" i="1"/>
  <c r="R1654" i="1"/>
  <c r="S1654" i="1"/>
  <c r="T1654" i="1"/>
  <c r="U1654" i="1"/>
  <c r="V1654" i="1"/>
  <c r="AB1654" i="1"/>
  <c r="AI1654" i="1"/>
  <c r="AJ1654" i="1"/>
  <c r="AK1654" i="1"/>
  <c r="AP1654" i="1"/>
  <c r="AR1654" i="1"/>
  <c r="AY1654" i="1"/>
  <c r="BE1654" i="1"/>
  <c r="BF1654" i="1"/>
  <c r="C1655" i="1"/>
  <c r="E1655" i="1"/>
  <c r="F1655" i="1"/>
  <c r="G1655" i="1"/>
  <c r="H1655" i="1"/>
  <c r="L1655" i="1"/>
  <c r="M1655" i="1"/>
  <c r="N1655" i="1"/>
  <c r="O1655" i="1"/>
  <c r="P1655" i="1"/>
  <c r="Q1655" i="1"/>
  <c r="R1655" i="1"/>
  <c r="S1655" i="1"/>
  <c r="T1655" i="1"/>
  <c r="U1655" i="1"/>
  <c r="V1655" i="1"/>
  <c r="AB1655" i="1"/>
  <c r="AI1655" i="1"/>
  <c r="AJ1655" i="1"/>
  <c r="AK1655" i="1"/>
  <c r="AP1655" i="1"/>
  <c r="AR1655" i="1"/>
  <c r="AY1655" i="1"/>
  <c r="BE1655" i="1"/>
  <c r="BF1655" i="1"/>
  <c r="C1656" i="1"/>
  <c r="E1656" i="1"/>
  <c r="F1656" i="1"/>
  <c r="G1656" i="1"/>
  <c r="H1656" i="1"/>
  <c r="L1656" i="1"/>
  <c r="M1656" i="1"/>
  <c r="N1656" i="1"/>
  <c r="O1656" i="1"/>
  <c r="P1656" i="1"/>
  <c r="Q1656" i="1"/>
  <c r="R1656" i="1"/>
  <c r="S1656" i="1"/>
  <c r="T1656" i="1"/>
  <c r="U1656" i="1"/>
  <c r="V1656" i="1"/>
  <c r="AB1656" i="1"/>
  <c r="AI1656" i="1"/>
  <c r="AJ1656" i="1"/>
  <c r="AK1656" i="1"/>
  <c r="AP1656" i="1"/>
  <c r="AR1656" i="1"/>
  <c r="AY1656" i="1"/>
  <c r="BE1656" i="1"/>
  <c r="BF1656" i="1"/>
  <c r="C1657" i="1"/>
  <c r="E1657" i="1"/>
  <c r="F1657" i="1"/>
  <c r="G1657" i="1"/>
  <c r="H1657" i="1"/>
  <c r="L1657" i="1"/>
  <c r="M1657" i="1"/>
  <c r="N1657" i="1"/>
  <c r="O1657" i="1"/>
  <c r="P1657" i="1"/>
  <c r="Q1657" i="1"/>
  <c r="R1657" i="1"/>
  <c r="S1657" i="1"/>
  <c r="T1657" i="1"/>
  <c r="U1657" i="1"/>
  <c r="V1657" i="1"/>
  <c r="AB1657" i="1"/>
  <c r="AI1657" i="1"/>
  <c r="AJ1657" i="1"/>
  <c r="AK1657" i="1"/>
  <c r="AP1657" i="1"/>
  <c r="AR1657" i="1"/>
  <c r="AY1657" i="1"/>
  <c r="BE1657" i="1"/>
  <c r="BF1657" i="1"/>
  <c r="C1658" i="1"/>
  <c r="E1658" i="1"/>
  <c r="F1658" i="1"/>
  <c r="G1658" i="1"/>
  <c r="H1658" i="1"/>
  <c r="L1658" i="1"/>
  <c r="M1658" i="1"/>
  <c r="N1658" i="1"/>
  <c r="O1658" i="1"/>
  <c r="P1658" i="1"/>
  <c r="Q1658" i="1"/>
  <c r="R1658" i="1"/>
  <c r="S1658" i="1"/>
  <c r="T1658" i="1"/>
  <c r="U1658" i="1"/>
  <c r="V1658" i="1"/>
  <c r="AB1658" i="1"/>
  <c r="AI1658" i="1"/>
  <c r="AJ1658" i="1"/>
  <c r="AK1658" i="1"/>
  <c r="AP1658" i="1"/>
  <c r="AR1658" i="1"/>
  <c r="AY1658" i="1"/>
  <c r="BE1658" i="1"/>
  <c r="BF1658" i="1"/>
  <c r="C1659" i="1"/>
  <c r="E1659" i="1"/>
  <c r="F1659" i="1"/>
  <c r="G1659" i="1"/>
  <c r="H1659" i="1"/>
  <c r="L1659" i="1"/>
  <c r="M1659" i="1"/>
  <c r="N1659" i="1"/>
  <c r="O1659" i="1"/>
  <c r="P1659" i="1"/>
  <c r="Q1659" i="1"/>
  <c r="R1659" i="1"/>
  <c r="S1659" i="1"/>
  <c r="T1659" i="1"/>
  <c r="U1659" i="1"/>
  <c r="V1659" i="1"/>
  <c r="AB1659" i="1"/>
  <c r="AI1659" i="1"/>
  <c r="AJ1659" i="1"/>
  <c r="AK1659" i="1"/>
  <c r="AP1659" i="1"/>
  <c r="AR1659" i="1"/>
  <c r="AY1659" i="1"/>
  <c r="BE1659" i="1"/>
  <c r="BF1659" i="1"/>
  <c r="C1660" i="1"/>
  <c r="E1660" i="1"/>
  <c r="F1660" i="1"/>
  <c r="G1660" i="1"/>
  <c r="H1660" i="1"/>
  <c r="L1660" i="1"/>
  <c r="M1660" i="1"/>
  <c r="N1660" i="1"/>
  <c r="O1660" i="1"/>
  <c r="P1660" i="1"/>
  <c r="Q1660" i="1"/>
  <c r="R1660" i="1"/>
  <c r="S1660" i="1"/>
  <c r="T1660" i="1"/>
  <c r="U1660" i="1"/>
  <c r="V1660" i="1"/>
  <c r="AB1660" i="1"/>
  <c r="AI1660" i="1"/>
  <c r="AJ1660" i="1"/>
  <c r="AK1660" i="1"/>
  <c r="AP1660" i="1"/>
  <c r="AR1660" i="1"/>
  <c r="AY1660" i="1"/>
  <c r="BE1660" i="1"/>
  <c r="BF1660" i="1"/>
  <c r="C1661" i="1"/>
  <c r="E1661" i="1"/>
  <c r="F1661" i="1"/>
  <c r="G1661" i="1"/>
  <c r="H1661" i="1"/>
  <c r="L1661" i="1"/>
  <c r="M1661" i="1"/>
  <c r="N1661" i="1"/>
  <c r="O1661" i="1"/>
  <c r="P1661" i="1"/>
  <c r="Q1661" i="1"/>
  <c r="R1661" i="1"/>
  <c r="S1661" i="1"/>
  <c r="T1661" i="1"/>
  <c r="U1661" i="1"/>
  <c r="V1661" i="1"/>
  <c r="AB1661" i="1"/>
  <c r="AI1661" i="1"/>
  <c r="AJ1661" i="1"/>
  <c r="AK1661" i="1"/>
  <c r="AP1661" i="1"/>
  <c r="AR1661" i="1"/>
  <c r="AY1661" i="1"/>
  <c r="BE1661" i="1"/>
  <c r="BF1661" i="1"/>
  <c r="C1662" i="1"/>
  <c r="E1662" i="1"/>
  <c r="F1662" i="1"/>
  <c r="G1662" i="1"/>
  <c r="H1662" i="1"/>
  <c r="L1662" i="1"/>
  <c r="M1662" i="1"/>
  <c r="N1662" i="1"/>
  <c r="O1662" i="1"/>
  <c r="P1662" i="1"/>
  <c r="Q1662" i="1"/>
  <c r="R1662" i="1"/>
  <c r="S1662" i="1"/>
  <c r="T1662" i="1"/>
  <c r="U1662" i="1"/>
  <c r="V1662" i="1"/>
  <c r="AB1662" i="1"/>
  <c r="AI1662" i="1"/>
  <c r="AJ1662" i="1"/>
  <c r="AK1662" i="1"/>
  <c r="AP1662" i="1"/>
  <c r="AR1662" i="1"/>
  <c r="AY1662" i="1"/>
  <c r="BE1662" i="1"/>
  <c r="BF1662" i="1"/>
  <c r="C1663" i="1"/>
  <c r="E1663" i="1"/>
  <c r="F1663" i="1"/>
  <c r="G1663" i="1"/>
  <c r="H1663" i="1"/>
  <c r="L1663" i="1"/>
  <c r="M1663" i="1"/>
  <c r="N1663" i="1"/>
  <c r="O1663" i="1"/>
  <c r="P1663" i="1"/>
  <c r="Q1663" i="1"/>
  <c r="R1663" i="1"/>
  <c r="S1663" i="1"/>
  <c r="T1663" i="1"/>
  <c r="U1663" i="1"/>
  <c r="V1663" i="1"/>
  <c r="AB1663" i="1"/>
  <c r="AI1663" i="1"/>
  <c r="AJ1663" i="1"/>
  <c r="AK1663" i="1"/>
  <c r="AP1663" i="1"/>
  <c r="AR1663" i="1"/>
  <c r="AY1663" i="1"/>
  <c r="BE1663" i="1"/>
  <c r="BF1663" i="1"/>
  <c r="C1664" i="1"/>
  <c r="E1664" i="1"/>
  <c r="F1664" i="1"/>
  <c r="G1664" i="1"/>
  <c r="H1664" i="1"/>
  <c r="L1664" i="1"/>
  <c r="M1664" i="1"/>
  <c r="N1664" i="1"/>
  <c r="O1664" i="1"/>
  <c r="P1664" i="1"/>
  <c r="Q1664" i="1"/>
  <c r="R1664" i="1"/>
  <c r="S1664" i="1"/>
  <c r="T1664" i="1"/>
  <c r="U1664" i="1"/>
  <c r="V1664" i="1"/>
  <c r="AB1664" i="1"/>
  <c r="AI1664" i="1"/>
  <c r="AJ1664" i="1"/>
  <c r="AK1664" i="1"/>
  <c r="AP1664" i="1"/>
  <c r="AR1664" i="1"/>
  <c r="AY1664" i="1"/>
  <c r="BE1664" i="1"/>
  <c r="BF1664" i="1"/>
  <c r="C1665" i="1"/>
  <c r="E1665" i="1"/>
  <c r="F1665" i="1"/>
  <c r="G1665" i="1"/>
  <c r="H1665" i="1"/>
  <c r="L1665" i="1"/>
  <c r="M1665" i="1"/>
  <c r="N1665" i="1"/>
  <c r="O1665" i="1"/>
  <c r="P1665" i="1"/>
  <c r="Q1665" i="1"/>
  <c r="R1665" i="1"/>
  <c r="S1665" i="1"/>
  <c r="T1665" i="1"/>
  <c r="U1665" i="1"/>
  <c r="V1665" i="1"/>
  <c r="AB1665" i="1"/>
  <c r="AI1665" i="1"/>
  <c r="AJ1665" i="1"/>
  <c r="AK1665" i="1"/>
  <c r="AP1665" i="1"/>
  <c r="AR1665" i="1"/>
  <c r="AY1665" i="1"/>
  <c r="BE1665" i="1"/>
  <c r="BF1665" i="1"/>
  <c r="C1666" i="1"/>
  <c r="E1666" i="1"/>
  <c r="F1666" i="1"/>
  <c r="G1666" i="1"/>
  <c r="H1666" i="1"/>
  <c r="L1666" i="1"/>
  <c r="M1666" i="1"/>
  <c r="N1666" i="1"/>
  <c r="O1666" i="1"/>
  <c r="P1666" i="1"/>
  <c r="Q1666" i="1"/>
  <c r="R1666" i="1"/>
  <c r="S1666" i="1"/>
  <c r="T1666" i="1"/>
  <c r="U1666" i="1"/>
  <c r="V1666" i="1"/>
  <c r="AB1666" i="1"/>
  <c r="AI1666" i="1"/>
  <c r="AJ1666" i="1"/>
  <c r="AK1666" i="1"/>
  <c r="AP1666" i="1"/>
  <c r="AR1666" i="1"/>
  <c r="AY1666" i="1"/>
  <c r="BE1666" i="1"/>
  <c r="BF1666" i="1"/>
  <c r="C1667" i="1"/>
  <c r="E1667" i="1"/>
  <c r="F1667" i="1"/>
  <c r="G1667" i="1"/>
  <c r="H1667" i="1"/>
  <c r="L1667" i="1"/>
  <c r="M1667" i="1"/>
  <c r="N1667" i="1"/>
  <c r="O1667" i="1"/>
  <c r="P1667" i="1"/>
  <c r="Q1667" i="1"/>
  <c r="R1667" i="1"/>
  <c r="S1667" i="1"/>
  <c r="T1667" i="1"/>
  <c r="U1667" i="1"/>
  <c r="V1667" i="1"/>
  <c r="AB1667" i="1"/>
  <c r="AI1667" i="1"/>
  <c r="AJ1667" i="1"/>
  <c r="AK1667" i="1"/>
  <c r="AP1667" i="1"/>
  <c r="AR1667" i="1"/>
  <c r="AY1667" i="1"/>
  <c r="BE1667" i="1"/>
  <c r="BF1667" i="1"/>
  <c r="C1668" i="1"/>
  <c r="E1668" i="1"/>
  <c r="F1668" i="1"/>
  <c r="G1668" i="1"/>
  <c r="H1668" i="1"/>
  <c r="L1668" i="1"/>
  <c r="M1668" i="1"/>
  <c r="N1668" i="1"/>
  <c r="O1668" i="1"/>
  <c r="P1668" i="1"/>
  <c r="Q1668" i="1"/>
  <c r="R1668" i="1"/>
  <c r="S1668" i="1"/>
  <c r="T1668" i="1"/>
  <c r="U1668" i="1"/>
  <c r="V1668" i="1"/>
  <c r="AB1668" i="1"/>
  <c r="AI1668" i="1"/>
  <c r="AJ1668" i="1"/>
  <c r="AK1668" i="1"/>
  <c r="AP1668" i="1"/>
  <c r="AR1668" i="1"/>
  <c r="AY1668" i="1"/>
  <c r="BE1668" i="1"/>
  <c r="BF1668" i="1"/>
  <c r="C1669" i="1"/>
  <c r="E1669" i="1"/>
  <c r="F1669" i="1"/>
  <c r="G1669" i="1"/>
  <c r="H1669" i="1"/>
  <c r="L1669" i="1"/>
  <c r="M1669" i="1"/>
  <c r="N1669" i="1"/>
  <c r="O1669" i="1"/>
  <c r="P1669" i="1"/>
  <c r="Q1669" i="1"/>
  <c r="R1669" i="1"/>
  <c r="S1669" i="1"/>
  <c r="T1669" i="1"/>
  <c r="U1669" i="1"/>
  <c r="V1669" i="1"/>
  <c r="AB1669" i="1"/>
  <c r="AI1669" i="1"/>
  <c r="AJ1669" i="1"/>
  <c r="AK1669" i="1"/>
  <c r="AP1669" i="1"/>
  <c r="AR1669" i="1"/>
  <c r="AY1669" i="1"/>
  <c r="BE1669" i="1"/>
  <c r="BF1669" i="1"/>
  <c r="C1670" i="1"/>
  <c r="E1670" i="1"/>
  <c r="F1670" i="1"/>
  <c r="G1670" i="1"/>
  <c r="H1670" i="1"/>
  <c r="L1670" i="1"/>
  <c r="M1670" i="1"/>
  <c r="N1670" i="1"/>
  <c r="O1670" i="1"/>
  <c r="P1670" i="1"/>
  <c r="Q1670" i="1"/>
  <c r="R1670" i="1"/>
  <c r="S1670" i="1"/>
  <c r="T1670" i="1"/>
  <c r="U1670" i="1"/>
  <c r="V1670" i="1"/>
  <c r="AB1670" i="1"/>
  <c r="AI1670" i="1"/>
  <c r="AJ1670" i="1"/>
  <c r="AK1670" i="1"/>
  <c r="AP1670" i="1"/>
  <c r="AR1670" i="1"/>
  <c r="AY1670" i="1"/>
  <c r="BE1670" i="1"/>
  <c r="BF1670" i="1"/>
  <c r="C1671" i="1"/>
  <c r="E1671" i="1"/>
  <c r="F1671" i="1"/>
  <c r="G1671" i="1"/>
  <c r="H1671" i="1"/>
  <c r="L1671" i="1"/>
  <c r="M1671" i="1"/>
  <c r="N1671" i="1"/>
  <c r="O1671" i="1"/>
  <c r="P1671" i="1"/>
  <c r="Q1671" i="1"/>
  <c r="R1671" i="1"/>
  <c r="S1671" i="1"/>
  <c r="T1671" i="1"/>
  <c r="U1671" i="1"/>
  <c r="V1671" i="1"/>
  <c r="AB1671" i="1"/>
  <c r="AI1671" i="1"/>
  <c r="AJ1671" i="1"/>
  <c r="AK1671" i="1"/>
  <c r="AP1671" i="1"/>
  <c r="AR1671" i="1"/>
  <c r="AY1671" i="1"/>
  <c r="BE1671" i="1"/>
  <c r="BF1671" i="1"/>
  <c r="C1672" i="1"/>
  <c r="E1672" i="1"/>
  <c r="F1672" i="1"/>
  <c r="G1672" i="1"/>
  <c r="H1672" i="1"/>
  <c r="L1672" i="1"/>
  <c r="M1672" i="1"/>
  <c r="N1672" i="1"/>
  <c r="O1672" i="1"/>
  <c r="P1672" i="1"/>
  <c r="Q1672" i="1"/>
  <c r="R1672" i="1"/>
  <c r="S1672" i="1"/>
  <c r="T1672" i="1"/>
  <c r="U1672" i="1"/>
  <c r="V1672" i="1"/>
  <c r="AB1672" i="1"/>
  <c r="AI1672" i="1"/>
  <c r="AJ1672" i="1"/>
  <c r="AK1672" i="1"/>
  <c r="AP1672" i="1"/>
  <c r="AR1672" i="1"/>
  <c r="AY1672" i="1"/>
  <c r="BE1672" i="1"/>
  <c r="BF1672" i="1"/>
  <c r="C1673" i="1"/>
  <c r="E1673" i="1"/>
  <c r="F1673" i="1"/>
  <c r="G1673" i="1"/>
  <c r="H1673" i="1"/>
  <c r="L1673" i="1"/>
  <c r="M1673" i="1"/>
  <c r="N1673" i="1"/>
  <c r="O1673" i="1"/>
  <c r="P1673" i="1"/>
  <c r="Q1673" i="1"/>
  <c r="R1673" i="1"/>
  <c r="S1673" i="1"/>
  <c r="T1673" i="1"/>
  <c r="U1673" i="1"/>
  <c r="V1673" i="1"/>
  <c r="AB1673" i="1"/>
  <c r="AI1673" i="1"/>
  <c r="AJ1673" i="1"/>
  <c r="AK1673" i="1"/>
  <c r="AP1673" i="1"/>
  <c r="AR1673" i="1"/>
  <c r="AY1673" i="1"/>
  <c r="BE1673" i="1"/>
  <c r="BF1673" i="1"/>
  <c r="C1674" i="1"/>
  <c r="E1674" i="1"/>
  <c r="F1674" i="1"/>
  <c r="G1674" i="1"/>
  <c r="H1674" i="1"/>
  <c r="L1674" i="1"/>
  <c r="M1674" i="1"/>
  <c r="N1674" i="1"/>
  <c r="O1674" i="1"/>
  <c r="P1674" i="1"/>
  <c r="Q1674" i="1"/>
  <c r="R1674" i="1"/>
  <c r="S1674" i="1"/>
  <c r="T1674" i="1"/>
  <c r="U1674" i="1"/>
  <c r="V1674" i="1"/>
  <c r="AB1674" i="1"/>
  <c r="AI1674" i="1"/>
  <c r="AJ1674" i="1"/>
  <c r="AK1674" i="1"/>
  <c r="AP1674" i="1"/>
  <c r="AR1674" i="1"/>
  <c r="AY1674" i="1"/>
  <c r="BE1674" i="1"/>
  <c r="BF1674" i="1"/>
  <c r="C1675" i="1"/>
  <c r="E1675" i="1"/>
  <c r="F1675" i="1"/>
  <c r="G1675" i="1"/>
  <c r="H1675" i="1"/>
  <c r="L1675" i="1"/>
  <c r="M1675" i="1"/>
  <c r="N1675" i="1"/>
  <c r="O1675" i="1"/>
  <c r="P1675" i="1"/>
  <c r="Q1675" i="1"/>
  <c r="R1675" i="1"/>
  <c r="S1675" i="1"/>
  <c r="T1675" i="1"/>
  <c r="U1675" i="1"/>
  <c r="V1675" i="1"/>
  <c r="AB1675" i="1"/>
  <c r="AI1675" i="1"/>
  <c r="AJ1675" i="1"/>
  <c r="AK1675" i="1"/>
  <c r="AP1675" i="1"/>
  <c r="AR1675" i="1"/>
  <c r="AY1675" i="1"/>
  <c r="BE1675" i="1"/>
  <c r="BF1675" i="1"/>
  <c r="C1676" i="1"/>
  <c r="E1676" i="1"/>
  <c r="F1676" i="1"/>
  <c r="G1676" i="1"/>
  <c r="H1676" i="1"/>
  <c r="L1676" i="1"/>
  <c r="M1676" i="1"/>
  <c r="N1676" i="1"/>
  <c r="O1676" i="1"/>
  <c r="P1676" i="1"/>
  <c r="Q1676" i="1"/>
  <c r="R1676" i="1"/>
  <c r="S1676" i="1"/>
  <c r="T1676" i="1"/>
  <c r="U1676" i="1"/>
  <c r="V1676" i="1"/>
  <c r="AB1676" i="1"/>
  <c r="AI1676" i="1"/>
  <c r="AJ1676" i="1"/>
  <c r="AK1676" i="1"/>
  <c r="AP1676" i="1"/>
  <c r="AR1676" i="1"/>
  <c r="AY1676" i="1"/>
  <c r="BE1676" i="1"/>
  <c r="BF1676" i="1"/>
  <c r="C1677" i="1"/>
  <c r="E1677" i="1"/>
  <c r="F1677" i="1"/>
  <c r="G1677" i="1"/>
  <c r="H1677" i="1"/>
  <c r="L1677" i="1"/>
  <c r="M1677" i="1"/>
  <c r="N1677" i="1"/>
  <c r="O1677" i="1"/>
  <c r="P1677" i="1"/>
  <c r="Q1677" i="1"/>
  <c r="R1677" i="1"/>
  <c r="S1677" i="1"/>
  <c r="T1677" i="1"/>
  <c r="U1677" i="1"/>
  <c r="V1677" i="1"/>
  <c r="AB1677" i="1"/>
  <c r="AI1677" i="1"/>
  <c r="AJ1677" i="1"/>
  <c r="AK1677" i="1"/>
  <c r="AP1677" i="1"/>
  <c r="AR1677" i="1"/>
  <c r="AY1677" i="1"/>
  <c r="BE1677" i="1"/>
  <c r="BF1677" i="1"/>
  <c r="C1678" i="1"/>
  <c r="E1678" i="1"/>
  <c r="F1678" i="1"/>
  <c r="G1678" i="1"/>
  <c r="H1678" i="1"/>
  <c r="L1678" i="1"/>
  <c r="M1678" i="1"/>
  <c r="N1678" i="1"/>
  <c r="O1678" i="1"/>
  <c r="P1678" i="1"/>
  <c r="Q1678" i="1"/>
  <c r="R1678" i="1"/>
  <c r="S1678" i="1"/>
  <c r="T1678" i="1"/>
  <c r="U1678" i="1"/>
  <c r="V1678" i="1"/>
  <c r="AB1678" i="1"/>
  <c r="AI1678" i="1"/>
  <c r="AJ1678" i="1"/>
  <c r="AK1678" i="1"/>
  <c r="AP1678" i="1"/>
  <c r="AR1678" i="1"/>
  <c r="AY1678" i="1"/>
  <c r="BE1678" i="1"/>
  <c r="BF1678" i="1"/>
  <c r="C1679" i="1"/>
  <c r="E1679" i="1"/>
  <c r="F1679" i="1"/>
  <c r="G1679" i="1"/>
  <c r="H1679" i="1"/>
  <c r="L1679" i="1"/>
  <c r="M1679" i="1"/>
  <c r="N1679" i="1"/>
  <c r="O1679" i="1"/>
  <c r="P1679" i="1"/>
  <c r="Q1679" i="1"/>
  <c r="R1679" i="1"/>
  <c r="S1679" i="1"/>
  <c r="T1679" i="1"/>
  <c r="U1679" i="1"/>
  <c r="V1679" i="1"/>
  <c r="AB1679" i="1"/>
  <c r="AI1679" i="1"/>
  <c r="AJ1679" i="1"/>
  <c r="AK1679" i="1"/>
  <c r="AP1679" i="1"/>
  <c r="AR1679" i="1"/>
  <c r="AY1679" i="1"/>
  <c r="BE1679" i="1"/>
  <c r="BF1679" i="1"/>
  <c r="C1680" i="1"/>
  <c r="E1680" i="1"/>
  <c r="F1680" i="1"/>
  <c r="G1680" i="1"/>
  <c r="H1680" i="1"/>
  <c r="L1680" i="1"/>
  <c r="M1680" i="1"/>
  <c r="N1680" i="1"/>
  <c r="O1680" i="1"/>
  <c r="P1680" i="1"/>
  <c r="Q1680" i="1"/>
  <c r="R1680" i="1"/>
  <c r="S1680" i="1"/>
  <c r="T1680" i="1"/>
  <c r="U1680" i="1"/>
  <c r="V1680" i="1"/>
  <c r="AB1680" i="1"/>
  <c r="AI1680" i="1"/>
  <c r="AJ1680" i="1"/>
  <c r="AK1680" i="1"/>
  <c r="AP1680" i="1"/>
  <c r="AR1680" i="1"/>
  <c r="AY1680" i="1"/>
  <c r="BE1680" i="1"/>
  <c r="BF1680" i="1"/>
  <c r="C1681" i="1"/>
  <c r="E1681" i="1"/>
  <c r="F1681" i="1"/>
  <c r="G1681" i="1"/>
  <c r="H1681" i="1"/>
  <c r="L1681" i="1"/>
  <c r="M1681" i="1"/>
  <c r="N1681" i="1"/>
  <c r="O1681" i="1"/>
  <c r="P1681" i="1"/>
  <c r="Q1681" i="1"/>
  <c r="R1681" i="1"/>
  <c r="S1681" i="1"/>
  <c r="T1681" i="1"/>
  <c r="U1681" i="1"/>
  <c r="V1681" i="1"/>
  <c r="AB1681" i="1"/>
  <c r="AI1681" i="1"/>
  <c r="AJ1681" i="1"/>
  <c r="AK1681" i="1"/>
  <c r="AP1681" i="1"/>
  <c r="AR1681" i="1"/>
  <c r="AY1681" i="1"/>
  <c r="BE1681" i="1"/>
  <c r="BF1681" i="1"/>
  <c r="C1682" i="1"/>
  <c r="E1682" i="1"/>
  <c r="F1682" i="1"/>
  <c r="G1682" i="1"/>
  <c r="H1682" i="1"/>
  <c r="L1682" i="1"/>
  <c r="M1682" i="1"/>
  <c r="N1682" i="1"/>
  <c r="O1682" i="1"/>
  <c r="P1682" i="1"/>
  <c r="Q1682" i="1"/>
  <c r="R1682" i="1"/>
  <c r="S1682" i="1"/>
  <c r="T1682" i="1"/>
  <c r="U1682" i="1"/>
  <c r="V1682" i="1"/>
  <c r="AB1682" i="1"/>
  <c r="AI1682" i="1"/>
  <c r="AJ1682" i="1"/>
  <c r="AK1682" i="1"/>
  <c r="AP1682" i="1"/>
  <c r="AR1682" i="1"/>
  <c r="AY1682" i="1"/>
  <c r="BE1682" i="1"/>
  <c r="BF1682" i="1"/>
  <c r="C1683" i="1"/>
  <c r="E1683" i="1"/>
  <c r="F1683" i="1"/>
  <c r="G1683" i="1"/>
  <c r="H1683" i="1"/>
  <c r="L1683" i="1"/>
  <c r="M1683" i="1"/>
  <c r="N1683" i="1"/>
  <c r="O1683" i="1"/>
  <c r="P1683" i="1"/>
  <c r="Q1683" i="1"/>
  <c r="R1683" i="1"/>
  <c r="S1683" i="1"/>
  <c r="T1683" i="1"/>
  <c r="U1683" i="1"/>
  <c r="V1683" i="1"/>
  <c r="AB1683" i="1"/>
  <c r="AI1683" i="1"/>
  <c r="AJ1683" i="1"/>
  <c r="AK1683" i="1"/>
  <c r="AP1683" i="1"/>
  <c r="AR1683" i="1"/>
  <c r="AY1683" i="1"/>
  <c r="BE1683" i="1"/>
  <c r="BF1683" i="1"/>
  <c r="C1684" i="1"/>
  <c r="E1684" i="1"/>
  <c r="F1684" i="1"/>
  <c r="G1684" i="1"/>
  <c r="H1684" i="1"/>
  <c r="L1684" i="1"/>
  <c r="M1684" i="1"/>
  <c r="N1684" i="1"/>
  <c r="O1684" i="1"/>
  <c r="P1684" i="1"/>
  <c r="Q1684" i="1"/>
  <c r="R1684" i="1"/>
  <c r="S1684" i="1"/>
  <c r="T1684" i="1"/>
  <c r="U1684" i="1"/>
  <c r="V1684" i="1"/>
  <c r="AB1684" i="1"/>
  <c r="AI1684" i="1"/>
  <c r="AJ1684" i="1"/>
  <c r="AK1684" i="1"/>
  <c r="AP1684" i="1"/>
  <c r="AR1684" i="1"/>
  <c r="AY1684" i="1"/>
  <c r="BE1684" i="1"/>
  <c r="BF1684" i="1"/>
  <c r="C1685" i="1"/>
  <c r="E1685" i="1"/>
  <c r="F1685" i="1"/>
  <c r="G1685" i="1"/>
  <c r="H1685" i="1"/>
  <c r="L1685" i="1"/>
  <c r="M1685" i="1"/>
  <c r="N1685" i="1"/>
  <c r="O1685" i="1"/>
  <c r="P1685" i="1"/>
  <c r="Q1685" i="1"/>
  <c r="R1685" i="1"/>
  <c r="S1685" i="1"/>
  <c r="T1685" i="1"/>
  <c r="U1685" i="1"/>
  <c r="V1685" i="1"/>
  <c r="AB1685" i="1"/>
  <c r="AI1685" i="1"/>
  <c r="AJ1685" i="1"/>
  <c r="AK1685" i="1"/>
  <c r="AP1685" i="1"/>
  <c r="AR1685" i="1"/>
  <c r="AY1685" i="1"/>
  <c r="BE1685" i="1"/>
  <c r="BF1685" i="1"/>
  <c r="C1686" i="1"/>
  <c r="E1686" i="1"/>
  <c r="F1686" i="1"/>
  <c r="G1686" i="1"/>
  <c r="H1686" i="1"/>
  <c r="L1686" i="1"/>
  <c r="M1686" i="1"/>
  <c r="N1686" i="1"/>
  <c r="O1686" i="1"/>
  <c r="P1686" i="1"/>
  <c r="Q1686" i="1"/>
  <c r="R1686" i="1"/>
  <c r="S1686" i="1"/>
  <c r="T1686" i="1"/>
  <c r="U1686" i="1"/>
  <c r="V1686" i="1"/>
  <c r="AB1686" i="1"/>
  <c r="AI1686" i="1"/>
  <c r="AJ1686" i="1"/>
  <c r="AK1686" i="1"/>
  <c r="AP1686" i="1"/>
  <c r="AR1686" i="1"/>
  <c r="AY1686" i="1"/>
  <c r="BE1686" i="1"/>
  <c r="BF1686" i="1"/>
  <c r="C1687" i="1"/>
  <c r="E1687" i="1"/>
  <c r="F1687" i="1"/>
  <c r="G1687" i="1"/>
  <c r="H1687" i="1"/>
  <c r="L1687" i="1"/>
  <c r="M1687" i="1"/>
  <c r="N1687" i="1"/>
  <c r="O1687" i="1"/>
  <c r="P1687" i="1"/>
  <c r="Q1687" i="1"/>
  <c r="R1687" i="1"/>
  <c r="S1687" i="1"/>
  <c r="T1687" i="1"/>
  <c r="U1687" i="1"/>
  <c r="V1687" i="1"/>
  <c r="AB1687" i="1"/>
  <c r="AI1687" i="1"/>
  <c r="AJ1687" i="1"/>
  <c r="AK1687" i="1"/>
  <c r="AP1687" i="1"/>
  <c r="AR1687" i="1"/>
  <c r="AY1687" i="1"/>
  <c r="BE1687" i="1"/>
  <c r="BF1687" i="1"/>
  <c r="C1688" i="1"/>
  <c r="E1688" i="1"/>
  <c r="F1688" i="1"/>
  <c r="G1688" i="1"/>
  <c r="H1688" i="1"/>
  <c r="L1688" i="1"/>
  <c r="M1688" i="1"/>
  <c r="N1688" i="1"/>
  <c r="O1688" i="1"/>
  <c r="P1688" i="1"/>
  <c r="Q1688" i="1"/>
  <c r="R1688" i="1"/>
  <c r="S1688" i="1"/>
  <c r="T1688" i="1"/>
  <c r="U1688" i="1"/>
  <c r="V1688" i="1"/>
  <c r="AB1688" i="1"/>
  <c r="AI1688" i="1"/>
  <c r="AJ1688" i="1"/>
  <c r="AK1688" i="1"/>
  <c r="AP1688" i="1"/>
  <c r="AR1688" i="1"/>
  <c r="AY1688" i="1"/>
  <c r="BE1688" i="1"/>
  <c r="BF1688" i="1"/>
  <c r="C1689" i="1"/>
  <c r="E1689" i="1"/>
  <c r="F1689" i="1"/>
  <c r="G1689" i="1"/>
  <c r="H1689" i="1"/>
  <c r="L1689" i="1"/>
  <c r="M1689" i="1"/>
  <c r="N1689" i="1"/>
  <c r="O1689" i="1"/>
  <c r="P1689" i="1"/>
  <c r="Q1689" i="1"/>
  <c r="R1689" i="1"/>
  <c r="S1689" i="1"/>
  <c r="T1689" i="1"/>
  <c r="U1689" i="1"/>
  <c r="V1689" i="1"/>
  <c r="AB1689" i="1"/>
  <c r="AI1689" i="1"/>
  <c r="AJ1689" i="1"/>
  <c r="AK1689" i="1"/>
  <c r="AP1689" i="1"/>
  <c r="AR1689" i="1"/>
  <c r="AY1689" i="1"/>
  <c r="BE1689" i="1"/>
  <c r="BF1689" i="1"/>
  <c r="C1690" i="1"/>
  <c r="E1690" i="1"/>
  <c r="F1690" i="1"/>
  <c r="G1690" i="1"/>
  <c r="H1690" i="1"/>
  <c r="L1690" i="1"/>
  <c r="M1690" i="1"/>
  <c r="N1690" i="1"/>
  <c r="O1690" i="1"/>
  <c r="P1690" i="1"/>
  <c r="Q1690" i="1"/>
  <c r="R1690" i="1"/>
  <c r="S1690" i="1"/>
  <c r="T1690" i="1"/>
  <c r="U1690" i="1"/>
  <c r="V1690" i="1"/>
  <c r="AB1690" i="1"/>
  <c r="AI1690" i="1"/>
  <c r="AJ1690" i="1"/>
  <c r="AK1690" i="1"/>
  <c r="AP1690" i="1"/>
  <c r="AR1690" i="1"/>
  <c r="AY1690" i="1"/>
  <c r="BE1690" i="1"/>
  <c r="BF1690" i="1"/>
  <c r="C1691" i="1"/>
  <c r="E1691" i="1"/>
  <c r="F1691" i="1"/>
  <c r="G1691" i="1"/>
  <c r="H1691" i="1"/>
  <c r="L1691" i="1"/>
  <c r="M1691" i="1"/>
  <c r="N1691" i="1"/>
  <c r="O1691" i="1"/>
  <c r="P1691" i="1"/>
  <c r="Q1691" i="1"/>
  <c r="R1691" i="1"/>
  <c r="S1691" i="1"/>
  <c r="T1691" i="1"/>
  <c r="U1691" i="1"/>
  <c r="V1691" i="1"/>
  <c r="AB1691" i="1"/>
  <c r="AI1691" i="1"/>
  <c r="AJ1691" i="1"/>
  <c r="AK1691" i="1"/>
  <c r="AP1691" i="1"/>
  <c r="AR1691" i="1"/>
  <c r="AY1691" i="1"/>
  <c r="BE1691" i="1"/>
  <c r="BF1691" i="1"/>
  <c r="C1692" i="1"/>
  <c r="E1692" i="1"/>
  <c r="F1692" i="1"/>
  <c r="G1692" i="1"/>
  <c r="H1692" i="1"/>
  <c r="L1692" i="1"/>
  <c r="M1692" i="1"/>
  <c r="N1692" i="1"/>
  <c r="O1692" i="1"/>
  <c r="P1692" i="1"/>
  <c r="Q1692" i="1"/>
  <c r="R1692" i="1"/>
  <c r="S1692" i="1"/>
  <c r="T1692" i="1"/>
  <c r="U1692" i="1"/>
  <c r="V1692" i="1"/>
  <c r="AB1692" i="1"/>
  <c r="AI1692" i="1"/>
  <c r="AJ1692" i="1"/>
  <c r="AK1692" i="1"/>
  <c r="AP1692" i="1"/>
  <c r="AR1692" i="1"/>
  <c r="AY1692" i="1"/>
  <c r="BE1692" i="1"/>
  <c r="BF1692" i="1"/>
  <c r="C1693" i="1"/>
  <c r="E1693" i="1"/>
  <c r="F1693" i="1"/>
  <c r="G1693" i="1"/>
  <c r="H1693" i="1"/>
  <c r="L1693" i="1"/>
  <c r="M1693" i="1"/>
  <c r="N1693" i="1"/>
  <c r="O1693" i="1"/>
  <c r="P1693" i="1"/>
  <c r="Q1693" i="1"/>
  <c r="R1693" i="1"/>
  <c r="S1693" i="1"/>
  <c r="T1693" i="1"/>
  <c r="U1693" i="1"/>
  <c r="V1693" i="1"/>
  <c r="AB1693" i="1"/>
  <c r="AI1693" i="1"/>
  <c r="AJ1693" i="1"/>
  <c r="AK1693" i="1"/>
  <c r="AP1693" i="1"/>
  <c r="AR1693" i="1"/>
  <c r="AY1693" i="1"/>
  <c r="BE1693" i="1"/>
  <c r="BF1693" i="1"/>
  <c r="C1694" i="1"/>
  <c r="E1694" i="1"/>
  <c r="F1694" i="1"/>
  <c r="G1694" i="1"/>
  <c r="H1694" i="1"/>
  <c r="L1694" i="1"/>
  <c r="M1694" i="1"/>
  <c r="N1694" i="1"/>
  <c r="O1694" i="1"/>
  <c r="P1694" i="1"/>
  <c r="Q1694" i="1"/>
  <c r="R1694" i="1"/>
  <c r="S1694" i="1"/>
  <c r="T1694" i="1"/>
  <c r="U1694" i="1"/>
  <c r="V1694" i="1"/>
  <c r="AB1694" i="1"/>
  <c r="AI1694" i="1"/>
  <c r="AJ1694" i="1"/>
  <c r="AK1694" i="1"/>
  <c r="AP1694" i="1"/>
  <c r="AR1694" i="1"/>
  <c r="AY1694" i="1"/>
  <c r="BE1694" i="1"/>
  <c r="BF1694" i="1"/>
  <c r="C1695" i="1"/>
  <c r="E1695" i="1"/>
  <c r="F1695" i="1"/>
  <c r="G1695" i="1"/>
  <c r="H1695" i="1"/>
  <c r="L1695" i="1"/>
  <c r="M1695" i="1"/>
  <c r="N1695" i="1"/>
  <c r="O1695" i="1"/>
  <c r="P1695" i="1"/>
  <c r="Q1695" i="1"/>
  <c r="R1695" i="1"/>
  <c r="S1695" i="1"/>
  <c r="T1695" i="1"/>
  <c r="U1695" i="1"/>
  <c r="V1695" i="1"/>
  <c r="AB1695" i="1"/>
  <c r="AI1695" i="1"/>
  <c r="AJ1695" i="1"/>
  <c r="AK1695" i="1"/>
  <c r="AP1695" i="1"/>
  <c r="AR1695" i="1"/>
  <c r="AY1695" i="1"/>
  <c r="BE1695" i="1"/>
  <c r="BF1695" i="1"/>
  <c r="C1696" i="1"/>
  <c r="E1696" i="1"/>
  <c r="F1696" i="1"/>
  <c r="G1696" i="1"/>
  <c r="H1696" i="1"/>
  <c r="L1696" i="1"/>
  <c r="M1696" i="1"/>
  <c r="N1696" i="1"/>
  <c r="O1696" i="1"/>
  <c r="P1696" i="1"/>
  <c r="Q1696" i="1"/>
  <c r="R1696" i="1"/>
  <c r="S1696" i="1"/>
  <c r="T1696" i="1"/>
  <c r="U1696" i="1"/>
  <c r="V1696" i="1"/>
  <c r="AB1696" i="1"/>
  <c r="AI1696" i="1"/>
  <c r="AJ1696" i="1"/>
  <c r="AK1696" i="1"/>
  <c r="AP1696" i="1"/>
  <c r="AR1696" i="1"/>
  <c r="AY1696" i="1"/>
  <c r="BE1696" i="1"/>
  <c r="BF1696" i="1"/>
  <c r="C1697" i="1"/>
  <c r="E1697" i="1"/>
  <c r="F1697" i="1"/>
  <c r="G1697" i="1"/>
  <c r="H1697" i="1"/>
  <c r="L1697" i="1"/>
  <c r="M1697" i="1"/>
  <c r="N1697" i="1"/>
  <c r="O1697" i="1"/>
  <c r="P1697" i="1"/>
  <c r="Q1697" i="1"/>
  <c r="R1697" i="1"/>
  <c r="S1697" i="1"/>
  <c r="T1697" i="1"/>
  <c r="U1697" i="1"/>
  <c r="V1697" i="1"/>
  <c r="AB1697" i="1"/>
  <c r="AI1697" i="1"/>
  <c r="AJ1697" i="1"/>
  <c r="AK1697" i="1"/>
  <c r="AP1697" i="1"/>
  <c r="AR1697" i="1"/>
  <c r="AY1697" i="1"/>
  <c r="BE1697" i="1"/>
  <c r="BF1697" i="1"/>
  <c r="C1698" i="1"/>
  <c r="E1698" i="1"/>
  <c r="F1698" i="1"/>
  <c r="G1698" i="1"/>
  <c r="H1698" i="1"/>
  <c r="L1698" i="1"/>
  <c r="M1698" i="1"/>
  <c r="N1698" i="1"/>
  <c r="O1698" i="1"/>
  <c r="P1698" i="1"/>
  <c r="Q1698" i="1"/>
  <c r="R1698" i="1"/>
  <c r="S1698" i="1"/>
  <c r="T1698" i="1"/>
  <c r="U1698" i="1"/>
  <c r="V1698" i="1"/>
  <c r="AB1698" i="1"/>
  <c r="AI1698" i="1"/>
  <c r="AJ1698" i="1"/>
  <c r="AK1698" i="1"/>
  <c r="AP1698" i="1"/>
  <c r="AR1698" i="1"/>
  <c r="AY1698" i="1"/>
  <c r="BE1698" i="1"/>
  <c r="BF1698" i="1"/>
  <c r="C1699" i="1"/>
  <c r="E1699" i="1"/>
  <c r="F1699" i="1"/>
  <c r="G1699" i="1"/>
  <c r="H1699" i="1"/>
  <c r="L1699" i="1"/>
  <c r="M1699" i="1"/>
  <c r="N1699" i="1"/>
  <c r="O1699" i="1"/>
  <c r="P1699" i="1"/>
  <c r="Q1699" i="1"/>
  <c r="R1699" i="1"/>
  <c r="S1699" i="1"/>
  <c r="T1699" i="1"/>
  <c r="U1699" i="1"/>
  <c r="V1699" i="1"/>
  <c r="AB1699" i="1"/>
  <c r="AI1699" i="1"/>
  <c r="AJ1699" i="1"/>
  <c r="AK1699" i="1"/>
  <c r="AP1699" i="1"/>
  <c r="AR1699" i="1"/>
  <c r="AY1699" i="1"/>
  <c r="BE1699" i="1"/>
  <c r="BF1699" i="1"/>
  <c r="C1700" i="1"/>
  <c r="E1700" i="1"/>
  <c r="F1700" i="1"/>
  <c r="G1700" i="1"/>
  <c r="H1700" i="1"/>
  <c r="L1700" i="1"/>
  <c r="M1700" i="1"/>
  <c r="N1700" i="1"/>
  <c r="O1700" i="1"/>
  <c r="P1700" i="1"/>
  <c r="Q1700" i="1"/>
  <c r="R1700" i="1"/>
  <c r="S1700" i="1"/>
  <c r="T1700" i="1"/>
  <c r="U1700" i="1"/>
  <c r="V1700" i="1"/>
  <c r="AB1700" i="1"/>
  <c r="AI1700" i="1"/>
  <c r="AJ1700" i="1"/>
  <c r="AK1700" i="1"/>
  <c r="AP1700" i="1"/>
  <c r="AR1700" i="1"/>
  <c r="AY1700" i="1"/>
  <c r="BE1700" i="1"/>
  <c r="BF1700" i="1"/>
  <c r="C1701" i="1"/>
  <c r="E1701" i="1"/>
  <c r="F1701" i="1"/>
  <c r="G1701" i="1"/>
  <c r="H1701" i="1"/>
  <c r="L1701" i="1"/>
  <c r="M1701" i="1"/>
  <c r="N1701" i="1"/>
  <c r="O1701" i="1"/>
  <c r="P1701" i="1"/>
  <c r="Q1701" i="1"/>
  <c r="R1701" i="1"/>
  <c r="S1701" i="1"/>
  <c r="T1701" i="1"/>
  <c r="U1701" i="1"/>
  <c r="V1701" i="1"/>
  <c r="AB1701" i="1"/>
  <c r="AI1701" i="1"/>
  <c r="AJ1701" i="1"/>
  <c r="AK1701" i="1"/>
  <c r="AP1701" i="1"/>
  <c r="AR1701" i="1"/>
  <c r="AY1701" i="1"/>
  <c r="BE1701" i="1"/>
  <c r="BF1701" i="1"/>
  <c r="C1702" i="1"/>
  <c r="E1702" i="1"/>
  <c r="F1702" i="1"/>
  <c r="G1702" i="1"/>
  <c r="H1702" i="1"/>
  <c r="L1702" i="1"/>
  <c r="M1702" i="1"/>
  <c r="N1702" i="1"/>
  <c r="O1702" i="1"/>
  <c r="P1702" i="1"/>
  <c r="Q1702" i="1"/>
  <c r="R1702" i="1"/>
  <c r="S1702" i="1"/>
  <c r="T1702" i="1"/>
  <c r="U1702" i="1"/>
  <c r="V1702" i="1"/>
  <c r="AB1702" i="1"/>
  <c r="AI1702" i="1"/>
  <c r="AJ1702" i="1"/>
  <c r="AK1702" i="1"/>
  <c r="AP1702" i="1"/>
  <c r="AR1702" i="1"/>
  <c r="AY1702" i="1"/>
  <c r="BE1702" i="1"/>
  <c r="BF1702" i="1"/>
  <c r="C1703" i="1"/>
  <c r="E1703" i="1"/>
  <c r="F1703" i="1"/>
  <c r="G1703" i="1"/>
  <c r="H1703" i="1"/>
  <c r="L1703" i="1"/>
  <c r="M1703" i="1"/>
  <c r="N1703" i="1"/>
  <c r="O1703" i="1"/>
  <c r="P1703" i="1"/>
  <c r="Q1703" i="1"/>
  <c r="R1703" i="1"/>
  <c r="S1703" i="1"/>
  <c r="T1703" i="1"/>
  <c r="U1703" i="1"/>
  <c r="V1703" i="1"/>
  <c r="AB1703" i="1"/>
  <c r="AI1703" i="1"/>
  <c r="AJ1703" i="1"/>
  <c r="AK1703" i="1"/>
  <c r="AP1703" i="1"/>
  <c r="AR1703" i="1"/>
  <c r="AY1703" i="1"/>
  <c r="BE1703" i="1"/>
  <c r="BF1703" i="1"/>
  <c r="C1704" i="1"/>
  <c r="E1704" i="1"/>
  <c r="F1704" i="1"/>
  <c r="G1704" i="1"/>
  <c r="H1704" i="1"/>
  <c r="L1704" i="1"/>
  <c r="M1704" i="1"/>
  <c r="N1704" i="1"/>
  <c r="O1704" i="1"/>
  <c r="P1704" i="1"/>
  <c r="Q1704" i="1"/>
  <c r="R1704" i="1"/>
  <c r="S1704" i="1"/>
  <c r="T1704" i="1"/>
  <c r="U1704" i="1"/>
  <c r="V1704" i="1"/>
  <c r="AB1704" i="1"/>
  <c r="AI1704" i="1"/>
  <c r="AJ1704" i="1"/>
  <c r="AK1704" i="1"/>
  <c r="AP1704" i="1"/>
  <c r="AR1704" i="1"/>
  <c r="AY1704" i="1"/>
  <c r="BE1704" i="1"/>
  <c r="BF1704" i="1"/>
  <c r="C1705" i="1"/>
  <c r="E1705" i="1"/>
  <c r="F1705" i="1"/>
  <c r="G1705" i="1"/>
  <c r="H1705" i="1"/>
  <c r="L1705" i="1"/>
  <c r="M1705" i="1"/>
  <c r="N1705" i="1"/>
  <c r="O1705" i="1"/>
  <c r="P1705" i="1"/>
  <c r="Q1705" i="1"/>
  <c r="R1705" i="1"/>
  <c r="S1705" i="1"/>
  <c r="T1705" i="1"/>
  <c r="U1705" i="1"/>
  <c r="V1705" i="1"/>
  <c r="AB1705" i="1"/>
  <c r="AI1705" i="1"/>
  <c r="AJ1705" i="1"/>
  <c r="AK1705" i="1"/>
  <c r="AP1705" i="1"/>
  <c r="AR1705" i="1"/>
  <c r="AY1705" i="1"/>
  <c r="BE1705" i="1"/>
  <c r="BF1705" i="1"/>
  <c r="C1706" i="1"/>
  <c r="E1706" i="1"/>
  <c r="F1706" i="1"/>
  <c r="G1706" i="1"/>
  <c r="H1706" i="1"/>
  <c r="L1706" i="1"/>
  <c r="M1706" i="1"/>
  <c r="N1706" i="1"/>
  <c r="O1706" i="1"/>
  <c r="P1706" i="1"/>
  <c r="Q1706" i="1"/>
  <c r="R1706" i="1"/>
  <c r="S1706" i="1"/>
  <c r="T1706" i="1"/>
  <c r="U1706" i="1"/>
  <c r="V1706" i="1"/>
  <c r="AB1706" i="1"/>
  <c r="AI1706" i="1"/>
  <c r="AJ1706" i="1"/>
  <c r="AK1706" i="1"/>
  <c r="AP1706" i="1"/>
  <c r="AR1706" i="1"/>
  <c r="AY1706" i="1"/>
  <c r="BE1706" i="1"/>
  <c r="BF1706" i="1"/>
  <c r="C1707" i="1"/>
  <c r="E1707" i="1"/>
  <c r="F1707" i="1"/>
  <c r="G1707" i="1"/>
  <c r="H1707" i="1"/>
  <c r="L1707" i="1"/>
  <c r="M1707" i="1"/>
  <c r="N1707" i="1"/>
  <c r="O1707" i="1"/>
  <c r="P1707" i="1"/>
  <c r="Q1707" i="1"/>
  <c r="R1707" i="1"/>
  <c r="S1707" i="1"/>
  <c r="T1707" i="1"/>
  <c r="U1707" i="1"/>
  <c r="V1707" i="1"/>
  <c r="AB1707" i="1"/>
  <c r="AI1707" i="1"/>
  <c r="AJ1707" i="1"/>
  <c r="AK1707" i="1"/>
  <c r="AP1707" i="1"/>
  <c r="AR1707" i="1"/>
  <c r="AY1707" i="1"/>
  <c r="BE1707" i="1"/>
  <c r="BF1707" i="1"/>
  <c r="C1708" i="1"/>
  <c r="E1708" i="1"/>
  <c r="F1708" i="1"/>
  <c r="G1708" i="1"/>
  <c r="H1708" i="1"/>
  <c r="L1708" i="1"/>
  <c r="M1708" i="1"/>
  <c r="N1708" i="1"/>
  <c r="O1708" i="1"/>
  <c r="P1708" i="1"/>
  <c r="Q1708" i="1"/>
  <c r="R1708" i="1"/>
  <c r="S1708" i="1"/>
  <c r="T1708" i="1"/>
  <c r="U1708" i="1"/>
  <c r="V1708" i="1"/>
  <c r="AB1708" i="1"/>
  <c r="AI1708" i="1"/>
  <c r="AJ1708" i="1"/>
  <c r="AK1708" i="1"/>
  <c r="AP1708" i="1"/>
  <c r="AR1708" i="1"/>
  <c r="AY1708" i="1"/>
  <c r="BE1708" i="1"/>
  <c r="BF1708" i="1"/>
  <c r="C1709" i="1"/>
  <c r="E1709" i="1"/>
  <c r="F1709" i="1"/>
  <c r="G1709" i="1"/>
  <c r="H1709" i="1"/>
  <c r="L1709" i="1"/>
  <c r="M1709" i="1"/>
  <c r="N1709" i="1"/>
  <c r="O1709" i="1"/>
  <c r="P1709" i="1"/>
  <c r="Q1709" i="1"/>
  <c r="R1709" i="1"/>
  <c r="S1709" i="1"/>
  <c r="T1709" i="1"/>
  <c r="U1709" i="1"/>
  <c r="V1709" i="1"/>
  <c r="AB1709" i="1"/>
  <c r="AI1709" i="1"/>
  <c r="AJ1709" i="1"/>
  <c r="AK1709" i="1"/>
  <c r="AP1709" i="1"/>
  <c r="AR1709" i="1"/>
  <c r="AY1709" i="1"/>
  <c r="BE1709" i="1"/>
  <c r="BF1709" i="1"/>
  <c r="C1710" i="1"/>
  <c r="E1710" i="1"/>
  <c r="F1710" i="1"/>
  <c r="G1710" i="1"/>
  <c r="H1710" i="1"/>
  <c r="L1710" i="1"/>
  <c r="M1710" i="1"/>
  <c r="N1710" i="1"/>
  <c r="O1710" i="1"/>
  <c r="P1710" i="1"/>
  <c r="Q1710" i="1"/>
  <c r="R1710" i="1"/>
  <c r="S1710" i="1"/>
  <c r="T1710" i="1"/>
  <c r="U1710" i="1"/>
  <c r="V1710" i="1"/>
  <c r="AB1710" i="1"/>
  <c r="AI1710" i="1"/>
  <c r="AJ1710" i="1"/>
  <c r="AK1710" i="1"/>
  <c r="AP1710" i="1"/>
  <c r="AR1710" i="1"/>
  <c r="AY1710" i="1"/>
  <c r="BE1710" i="1"/>
  <c r="BF1710" i="1"/>
  <c r="C1711" i="1"/>
  <c r="E1711" i="1"/>
  <c r="F1711" i="1"/>
  <c r="G1711" i="1"/>
  <c r="H1711" i="1"/>
  <c r="L1711" i="1"/>
  <c r="M1711" i="1"/>
  <c r="N1711" i="1"/>
  <c r="O1711" i="1"/>
  <c r="P1711" i="1"/>
  <c r="Q1711" i="1"/>
  <c r="R1711" i="1"/>
  <c r="S1711" i="1"/>
  <c r="T1711" i="1"/>
  <c r="U1711" i="1"/>
  <c r="V1711" i="1"/>
  <c r="AB1711" i="1"/>
  <c r="AI1711" i="1"/>
  <c r="AJ1711" i="1"/>
  <c r="AK1711" i="1"/>
  <c r="AP1711" i="1"/>
  <c r="AR1711" i="1"/>
  <c r="AY1711" i="1"/>
  <c r="BE1711" i="1"/>
  <c r="BF1711" i="1"/>
  <c r="C1712" i="1"/>
  <c r="E1712" i="1"/>
  <c r="F1712" i="1"/>
  <c r="G1712" i="1"/>
  <c r="H1712" i="1"/>
  <c r="L1712" i="1"/>
  <c r="M1712" i="1"/>
  <c r="N1712" i="1"/>
  <c r="O1712" i="1"/>
  <c r="P1712" i="1"/>
  <c r="Q1712" i="1"/>
  <c r="R1712" i="1"/>
  <c r="S1712" i="1"/>
  <c r="T1712" i="1"/>
  <c r="U1712" i="1"/>
  <c r="V1712" i="1"/>
  <c r="AB1712" i="1"/>
  <c r="AI1712" i="1"/>
  <c r="AJ1712" i="1"/>
  <c r="AK1712" i="1"/>
  <c r="AP1712" i="1"/>
  <c r="AR1712" i="1"/>
  <c r="AY1712" i="1"/>
  <c r="BE1712" i="1"/>
  <c r="BF1712" i="1"/>
  <c r="C1713" i="1"/>
  <c r="E1713" i="1"/>
  <c r="F1713" i="1"/>
  <c r="G1713" i="1"/>
  <c r="H1713" i="1"/>
  <c r="L1713" i="1"/>
  <c r="M1713" i="1"/>
  <c r="N1713" i="1"/>
  <c r="O1713" i="1"/>
  <c r="P1713" i="1"/>
  <c r="Q1713" i="1"/>
  <c r="R1713" i="1"/>
  <c r="S1713" i="1"/>
  <c r="T1713" i="1"/>
  <c r="U1713" i="1"/>
  <c r="V1713" i="1"/>
  <c r="AB1713" i="1"/>
  <c r="AI1713" i="1"/>
  <c r="AJ1713" i="1"/>
  <c r="AK1713" i="1"/>
  <c r="AP1713" i="1"/>
  <c r="AR1713" i="1"/>
  <c r="AY1713" i="1"/>
  <c r="BE1713" i="1"/>
  <c r="BF1713" i="1"/>
  <c r="C1714" i="1"/>
  <c r="E1714" i="1"/>
  <c r="F1714" i="1"/>
  <c r="G1714" i="1"/>
  <c r="H1714" i="1"/>
  <c r="L1714" i="1"/>
  <c r="M1714" i="1"/>
  <c r="N1714" i="1"/>
  <c r="O1714" i="1"/>
  <c r="P1714" i="1"/>
  <c r="Q1714" i="1"/>
  <c r="R1714" i="1"/>
  <c r="S1714" i="1"/>
  <c r="T1714" i="1"/>
  <c r="U1714" i="1"/>
  <c r="V1714" i="1"/>
  <c r="AB1714" i="1"/>
  <c r="AI1714" i="1"/>
  <c r="AJ1714" i="1"/>
  <c r="AK1714" i="1"/>
  <c r="AP1714" i="1"/>
  <c r="AR1714" i="1"/>
  <c r="AY1714" i="1"/>
  <c r="BE1714" i="1"/>
  <c r="BF1714" i="1"/>
  <c r="C1715" i="1"/>
  <c r="E1715" i="1"/>
  <c r="F1715" i="1"/>
  <c r="G1715" i="1"/>
  <c r="H1715" i="1"/>
  <c r="L1715" i="1"/>
  <c r="M1715" i="1"/>
  <c r="N1715" i="1"/>
  <c r="O1715" i="1"/>
  <c r="P1715" i="1"/>
  <c r="Q1715" i="1"/>
  <c r="R1715" i="1"/>
  <c r="S1715" i="1"/>
  <c r="T1715" i="1"/>
  <c r="U1715" i="1"/>
  <c r="V1715" i="1"/>
  <c r="AB1715" i="1"/>
  <c r="AI1715" i="1"/>
  <c r="AJ1715" i="1"/>
  <c r="AK1715" i="1"/>
  <c r="AP1715" i="1"/>
  <c r="AR1715" i="1"/>
  <c r="AY1715" i="1"/>
  <c r="BE1715" i="1"/>
  <c r="BF1715" i="1"/>
  <c r="C1716" i="1"/>
  <c r="E1716" i="1"/>
  <c r="F1716" i="1"/>
  <c r="G1716" i="1"/>
  <c r="H1716" i="1"/>
  <c r="L1716" i="1"/>
  <c r="M1716" i="1"/>
  <c r="N1716" i="1"/>
  <c r="O1716" i="1"/>
  <c r="P1716" i="1"/>
  <c r="Q1716" i="1"/>
  <c r="R1716" i="1"/>
  <c r="S1716" i="1"/>
  <c r="T1716" i="1"/>
  <c r="U1716" i="1"/>
  <c r="V1716" i="1"/>
  <c r="AB1716" i="1"/>
  <c r="AI1716" i="1"/>
  <c r="AJ1716" i="1"/>
  <c r="AK1716" i="1"/>
  <c r="AP1716" i="1"/>
  <c r="AR1716" i="1"/>
  <c r="AY1716" i="1"/>
  <c r="BE1716" i="1"/>
  <c r="BF1716" i="1"/>
  <c r="C1717" i="1"/>
  <c r="E1717" i="1"/>
  <c r="F1717" i="1"/>
  <c r="G1717" i="1"/>
  <c r="H1717" i="1"/>
  <c r="L1717" i="1"/>
  <c r="M1717" i="1"/>
  <c r="N1717" i="1"/>
  <c r="O1717" i="1"/>
  <c r="P1717" i="1"/>
  <c r="Q1717" i="1"/>
  <c r="R1717" i="1"/>
  <c r="S1717" i="1"/>
  <c r="T1717" i="1"/>
  <c r="U1717" i="1"/>
  <c r="V1717" i="1"/>
  <c r="AB1717" i="1"/>
  <c r="AI1717" i="1"/>
  <c r="AJ1717" i="1"/>
  <c r="AK1717" i="1"/>
  <c r="AP1717" i="1"/>
  <c r="AR1717" i="1"/>
  <c r="AY1717" i="1"/>
  <c r="BE1717" i="1"/>
  <c r="BF1717" i="1"/>
  <c r="C1718" i="1"/>
  <c r="E1718" i="1"/>
  <c r="F1718" i="1"/>
  <c r="G1718" i="1"/>
  <c r="H1718" i="1"/>
  <c r="L1718" i="1"/>
  <c r="M1718" i="1"/>
  <c r="N1718" i="1"/>
  <c r="O1718" i="1"/>
  <c r="P1718" i="1"/>
  <c r="Q1718" i="1"/>
  <c r="R1718" i="1"/>
  <c r="S1718" i="1"/>
  <c r="T1718" i="1"/>
  <c r="U1718" i="1"/>
  <c r="V1718" i="1"/>
  <c r="AB1718" i="1"/>
  <c r="AI1718" i="1"/>
  <c r="AJ1718" i="1"/>
  <c r="AK1718" i="1"/>
  <c r="AP1718" i="1"/>
  <c r="AR1718" i="1"/>
  <c r="AY1718" i="1"/>
  <c r="BE1718" i="1"/>
  <c r="BF1718" i="1"/>
  <c r="C1719" i="1"/>
  <c r="E1719" i="1"/>
  <c r="F1719" i="1"/>
  <c r="G1719" i="1"/>
  <c r="H1719" i="1"/>
  <c r="L1719" i="1"/>
  <c r="M1719" i="1"/>
  <c r="N1719" i="1"/>
  <c r="O1719" i="1"/>
  <c r="P1719" i="1"/>
  <c r="Q1719" i="1"/>
  <c r="R1719" i="1"/>
  <c r="S1719" i="1"/>
  <c r="T1719" i="1"/>
  <c r="U1719" i="1"/>
  <c r="V1719" i="1"/>
  <c r="AB1719" i="1"/>
  <c r="AI1719" i="1"/>
  <c r="AJ1719" i="1"/>
  <c r="AK1719" i="1"/>
  <c r="AP1719" i="1"/>
  <c r="AR1719" i="1"/>
  <c r="AY1719" i="1"/>
  <c r="BE1719" i="1"/>
  <c r="BF1719" i="1"/>
  <c r="C1720" i="1"/>
  <c r="E1720" i="1"/>
  <c r="F1720" i="1"/>
  <c r="G1720" i="1"/>
  <c r="H1720" i="1"/>
  <c r="L1720" i="1"/>
  <c r="M1720" i="1"/>
  <c r="N1720" i="1"/>
  <c r="O1720" i="1"/>
  <c r="P1720" i="1"/>
  <c r="Q1720" i="1"/>
  <c r="R1720" i="1"/>
  <c r="S1720" i="1"/>
  <c r="T1720" i="1"/>
  <c r="U1720" i="1"/>
  <c r="V1720" i="1"/>
  <c r="AB1720" i="1"/>
  <c r="AI1720" i="1"/>
  <c r="AJ1720" i="1"/>
  <c r="AK1720" i="1"/>
  <c r="AP1720" i="1"/>
  <c r="AR1720" i="1"/>
  <c r="AY1720" i="1"/>
  <c r="BE1720" i="1"/>
  <c r="BF1720" i="1"/>
  <c r="C1721" i="1"/>
  <c r="E1721" i="1"/>
  <c r="F1721" i="1"/>
  <c r="G1721" i="1"/>
  <c r="H1721" i="1"/>
  <c r="L1721" i="1"/>
  <c r="M1721" i="1"/>
  <c r="N1721" i="1"/>
  <c r="O1721" i="1"/>
  <c r="P1721" i="1"/>
  <c r="Q1721" i="1"/>
  <c r="R1721" i="1"/>
  <c r="S1721" i="1"/>
  <c r="T1721" i="1"/>
  <c r="U1721" i="1"/>
  <c r="V1721" i="1"/>
  <c r="AB1721" i="1"/>
  <c r="AI1721" i="1"/>
  <c r="AJ1721" i="1"/>
  <c r="AK1721" i="1"/>
  <c r="AP1721" i="1"/>
  <c r="AR1721" i="1"/>
  <c r="AY1721" i="1"/>
  <c r="BE1721" i="1"/>
  <c r="BF1721" i="1"/>
  <c r="C1722" i="1"/>
  <c r="E1722" i="1"/>
  <c r="F1722" i="1"/>
  <c r="G1722" i="1"/>
  <c r="H1722" i="1"/>
  <c r="L1722" i="1"/>
  <c r="M1722" i="1"/>
  <c r="N1722" i="1"/>
  <c r="O1722" i="1"/>
  <c r="P1722" i="1"/>
  <c r="Q1722" i="1"/>
  <c r="R1722" i="1"/>
  <c r="S1722" i="1"/>
  <c r="T1722" i="1"/>
  <c r="U1722" i="1"/>
  <c r="V1722" i="1"/>
  <c r="AB1722" i="1"/>
  <c r="AI1722" i="1"/>
  <c r="AJ1722" i="1"/>
  <c r="AK1722" i="1"/>
  <c r="AP1722" i="1"/>
  <c r="AR1722" i="1"/>
  <c r="AY1722" i="1"/>
  <c r="BE1722" i="1"/>
  <c r="BF1722" i="1"/>
  <c r="C1723" i="1"/>
  <c r="E1723" i="1"/>
  <c r="F1723" i="1"/>
  <c r="G1723" i="1"/>
  <c r="H1723" i="1"/>
  <c r="L1723" i="1"/>
  <c r="M1723" i="1"/>
  <c r="N1723" i="1"/>
  <c r="O1723" i="1"/>
  <c r="P1723" i="1"/>
  <c r="Q1723" i="1"/>
  <c r="R1723" i="1"/>
  <c r="S1723" i="1"/>
  <c r="T1723" i="1"/>
  <c r="U1723" i="1"/>
  <c r="V1723" i="1"/>
  <c r="AB1723" i="1"/>
  <c r="AI1723" i="1"/>
  <c r="AJ1723" i="1"/>
  <c r="AK1723" i="1"/>
  <c r="AP1723" i="1"/>
  <c r="AR1723" i="1"/>
  <c r="AY1723" i="1"/>
  <c r="BE1723" i="1"/>
  <c r="BF1723" i="1"/>
  <c r="C1724" i="1"/>
  <c r="E1724" i="1"/>
  <c r="F1724" i="1"/>
  <c r="G1724" i="1"/>
  <c r="H1724" i="1"/>
  <c r="L1724" i="1"/>
  <c r="M1724" i="1"/>
  <c r="N1724" i="1"/>
  <c r="O1724" i="1"/>
  <c r="P1724" i="1"/>
  <c r="Q1724" i="1"/>
  <c r="R1724" i="1"/>
  <c r="S1724" i="1"/>
  <c r="T1724" i="1"/>
  <c r="U1724" i="1"/>
  <c r="V1724" i="1"/>
  <c r="AB1724" i="1"/>
  <c r="AI1724" i="1"/>
  <c r="AJ1724" i="1"/>
  <c r="AK1724" i="1"/>
  <c r="AP1724" i="1"/>
  <c r="AR1724" i="1"/>
  <c r="AY1724" i="1"/>
  <c r="BE1724" i="1"/>
  <c r="BF1724" i="1"/>
  <c r="C1725" i="1"/>
  <c r="E1725" i="1"/>
  <c r="F1725" i="1"/>
  <c r="G1725" i="1"/>
  <c r="H1725" i="1"/>
  <c r="L1725" i="1"/>
  <c r="M1725" i="1"/>
  <c r="N1725" i="1"/>
  <c r="O1725" i="1"/>
  <c r="P1725" i="1"/>
  <c r="Q1725" i="1"/>
  <c r="R1725" i="1"/>
  <c r="S1725" i="1"/>
  <c r="T1725" i="1"/>
  <c r="U1725" i="1"/>
  <c r="V1725" i="1"/>
  <c r="AB1725" i="1"/>
  <c r="AI1725" i="1"/>
  <c r="AJ1725" i="1"/>
  <c r="AK1725" i="1"/>
  <c r="AP1725" i="1"/>
  <c r="AR1725" i="1"/>
  <c r="AY1725" i="1"/>
  <c r="BE1725" i="1"/>
  <c r="BF1725" i="1"/>
  <c r="C1726" i="1"/>
  <c r="E1726" i="1"/>
  <c r="F1726" i="1"/>
  <c r="G1726" i="1"/>
  <c r="H1726" i="1"/>
  <c r="L1726" i="1"/>
  <c r="M1726" i="1"/>
  <c r="N1726" i="1"/>
  <c r="O1726" i="1"/>
  <c r="P1726" i="1"/>
  <c r="Q1726" i="1"/>
  <c r="R1726" i="1"/>
  <c r="S1726" i="1"/>
  <c r="T1726" i="1"/>
  <c r="U1726" i="1"/>
  <c r="V1726" i="1"/>
  <c r="AB1726" i="1"/>
  <c r="AI1726" i="1"/>
  <c r="AJ1726" i="1"/>
  <c r="AK1726" i="1"/>
  <c r="AP1726" i="1"/>
  <c r="AR1726" i="1"/>
  <c r="AY1726" i="1"/>
  <c r="BE1726" i="1"/>
  <c r="BF1726" i="1"/>
  <c r="C1727" i="1"/>
  <c r="E1727" i="1"/>
  <c r="F1727" i="1"/>
  <c r="G1727" i="1"/>
  <c r="H1727" i="1"/>
  <c r="L1727" i="1"/>
  <c r="M1727" i="1"/>
  <c r="N1727" i="1"/>
  <c r="O1727" i="1"/>
  <c r="P1727" i="1"/>
  <c r="Q1727" i="1"/>
  <c r="R1727" i="1"/>
  <c r="S1727" i="1"/>
  <c r="T1727" i="1"/>
  <c r="U1727" i="1"/>
  <c r="V1727" i="1"/>
  <c r="AB1727" i="1"/>
  <c r="AI1727" i="1"/>
  <c r="AJ1727" i="1"/>
  <c r="AK1727" i="1"/>
  <c r="AP1727" i="1"/>
  <c r="AR1727" i="1"/>
  <c r="AY1727" i="1"/>
  <c r="BE1727" i="1"/>
  <c r="BF1727" i="1"/>
  <c r="C1728" i="1"/>
  <c r="E1728" i="1"/>
  <c r="F1728" i="1"/>
  <c r="G1728" i="1"/>
  <c r="H1728" i="1"/>
  <c r="L1728" i="1"/>
  <c r="M1728" i="1"/>
  <c r="N1728" i="1"/>
  <c r="O1728" i="1"/>
  <c r="P1728" i="1"/>
  <c r="Q1728" i="1"/>
  <c r="R1728" i="1"/>
  <c r="S1728" i="1"/>
  <c r="T1728" i="1"/>
  <c r="U1728" i="1"/>
  <c r="V1728" i="1"/>
  <c r="AB1728" i="1"/>
  <c r="AI1728" i="1"/>
  <c r="AJ1728" i="1"/>
  <c r="AK1728" i="1"/>
  <c r="AP1728" i="1"/>
  <c r="AR1728" i="1"/>
  <c r="AY1728" i="1"/>
  <c r="BE1728" i="1"/>
  <c r="BF1728" i="1"/>
  <c r="C1729" i="1"/>
  <c r="E1729" i="1"/>
  <c r="F1729" i="1"/>
  <c r="G1729" i="1"/>
  <c r="H1729" i="1"/>
  <c r="L1729" i="1"/>
  <c r="M1729" i="1"/>
  <c r="N1729" i="1"/>
  <c r="O1729" i="1"/>
  <c r="P1729" i="1"/>
  <c r="Q1729" i="1"/>
  <c r="R1729" i="1"/>
  <c r="S1729" i="1"/>
  <c r="T1729" i="1"/>
  <c r="U1729" i="1"/>
  <c r="V1729" i="1"/>
  <c r="AB1729" i="1"/>
  <c r="AI1729" i="1"/>
  <c r="AJ1729" i="1"/>
  <c r="AK1729" i="1"/>
  <c r="AP1729" i="1"/>
  <c r="AR1729" i="1"/>
  <c r="AY1729" i="1"/>
  <c r="BE1729" i="1"/>
  <c r="BF1729" i="1"/>
  <c r="C1730" i="1"/>
  <c r="E1730" i="1"/>
  <c r="F1730" i="1"/>
  <c r="G1730" i="1"/>
  <c r="H1730" i="1"/>
  <c r="L1730" i="1"/>
  <c r="M1730" i="1"/>
  <c r="N1730" i="1"/>
  <c r="O1730" i="1"/>
  <c r="P1730" i="1"/>
  <c r="Q1730" i="1"/>
  <c r="R1730" i="1"/>
  <c r="S1730" i="1"/>
  <c r="T1730" i="1"/>
  <c r="U1730" i="1"/>
  <c r="V1730" i="1"/>
  <c r="AB1730" i="1"/>
  <c r="AI1730" i="1"/>
  <c r="AJ1730" i="1"/>
  <c r="AK1730" i="1"/>
  <c r="AP1730" i="1"/>
  <c r="AR1730" i="1"/>
  <c r="AY1730" i="1"/>
  <c r="BE1730" i="1"/>
  <c r="BF1730" i="1"/>
  <c r="C1731" i="1"/>
  <c r="E1731" i="1"/>
  <c r="F1731" i="1"/>
  <c r="G1731" i="1"/>
  <c r="H1731" i="1"/>
  <c r="L1731" i="1"/>
  <c r="M1731" i="1"/>
  <c r="N1731" i="1"/>
  <c r="O1731" i="1"/>
  <c r="P1731" i="1"/>
  <c r="Q1731" i="1"/>
  <c r="R1731" i="1"/>
  <c r="S1731" i="1"/>
  <c r="T1731" i="1"/>
  <c r="U1731" i="1"/>
  <c r="V1731" i="1"/>
  <c r="AB1731" i="1"/>
  <c r="AI1731" i="1"/>
  <c r="AJ1731" i="1"/>
  <c r="AK1731" i="1"/>
  <c r="AP1731" i="1"/>
  <c r="AR1731" i="1"/>
  <c r="AY1731" i="1"/>
  <c r="BE1731" i="1"/>
  <c r="BF1731" i="1"/>
  <c r="C1732" i="1"/>
  <c r="E1732" i="1"/>
  <c r="F1732" i="1"/>
  <c r="G1732" i="1"/>
  <c r="H1732" i="1"/>
  <c r="L1732" i="1"/>
  <c r="M1732" i="1"/>
  <c r="N1732" i="1"/>
  <c r="O1732" i="1"/>
  <c r="P1732" i="1"/>
  <c r="Q1732" i="1"/>
  <c r="R1732" i="1"/>
  <c r="S1732" i="1"/>
  <c r="T1732" i="1"/>
  <c r="U1732" i="1"/>
  <c r="V1732" i="1"/>
  <c r="AB1732" i="1"/>
  <c r="AI1732" i="1"/>
  <c r="AJ1732" i="1"/>
  <c r="AK1732" i="1"/>
  <c r="AP1732" i="1"/>
  <c r="AR1732" i="1"/>
  <c r="AY1732" i="1"/>
  <c r="BE1732" i="1"/>
  <c r="BF1732" i="1"/>
  <c r="C1733" i="1"/>
  <c r="E1733" i="1"/>
  <c r="F1733" i="1"/>
  <c r="G1733" i="1"/>
  <c r="H1733" i="1"/>
  <c r="L1733" i="1"/>
  <c r="M1733" i="1"/>
  <c r="N1733" i="1"/>
  <c r="O1733" i="1"/>
  <c r="P1733" i="1"/>
  <c r="Q1733" i="1"/>
  <c r="R1733" i="1"/>
  <c r="S1733" i="1"/>
  <c r="T1733" i="1"/>
  <c r="U1733" i="1"/>
  <c r="V1733" i="1"/>
  <c r="AB1733" i="1"/>
  <c r="AI1733" i="1"/>
  <c r="AJ1733" i="1"/>
  <c r="AK1733" i="1"/>
  <c r="AP1733" i="1"/>
  <c r="AR1733" i="1"/>
  <c r="AY1733" i="1"/>
  <c r="BE1733" i="1"/>
  <c r="BF1733" i="1"/>
  <c r="C1734" i="1"/>
  <c r="E1734" i="1"/>
  <c r="F1734" i="1"/>
  <c r="G1734" i="1"/>
  <c r="H1734" i="1"/>
  <c r="L1734" i="1"/>
  <c r="M1734" i="1"/>
  <c r="N1734" i="1"/>
  <c r="O1734" i="1"/>
  <c r="P1734" i="1"/>
  <c r="Q1734" i="1"/>
  <c r="R1734" i="1"/>
  <c r="S1734" i="1"/>
  <c r="T1734" i="1"/>
  <c r="U1734" i="1"/>
  <c r="V1734" i="1"/>
  <c r="AB1734" i="1"/>
  <c r="AI1734" i="1"/>
  <c r="AJ1734" i="1"/>
  <c r="AK1734" i="1"/>
  <c r="AP1734" i="1"/>
  <c r="AR1734" i="1"/>
  <c r="AY1734" i="1"/>
  <c r="BE1734" i="1"/>
  <c r="BF1734" i="1"/>
  <c r="C1735" i="1"/>
  <c r="E1735" i="1"/>
  <c r="F1735" i="1"/>
  <c r="G1735" i="1"/>
  <c r="H1735" i="1"/>
  <c r="L1735" i="1"/>
  <c r="M1735" i="1"/>
  <c r="N1735" i="1"/>
  <c r="O1735" i="1"/>
  <c r="P1735" i="1"/>
  <c r="Q1735" i="1"/>
  <c r="R1735" i="1"/>
  <c r="S1735" i="1"/>
  <c r="T1735" i="1"/>
  <c r="U1735" i="1"/>
  <c r="V1735" i="1"/>
  <c r="AB1735" i="1"/>
  <c r="AI1735" i="1"/>
  <c r="AJ1735" i="1"/>
  <c r="AK1735" i="1"/>
  <c r="AP1735" i="1"/>
  <c r="AR1735" i="1"/>
  <c r="AY1735" i="1"/>
  <c r="BE1735" i="1"/>
  <c r="BF1735" i="1"/>
  <c r="C1736" i="1"/>
  <c r="E1736" i="1"/>
  <c r="F1736" i="1"/>
  <c r="G1736" i="1"/>
  <c r="H1736" i="1"/>
  <c r="L1736" i="1"/>
  <c r="M1736" i="1"/>
  <c r="N1736" i="1"/>
  <c r="O1736" i="1"/>
  <c r="P1736" i="1"/>
  <c r="Q1736" i="1"/>
  <c r="R1736" i="1"/>
  <c r="S1736" i="1"/>
  <c r="T1736" i="1"/>
  <c r="U1736" i="1"/>
  <c r="V1736" i="1"/>
  <c r="AB1736" i="1"/>
  <c r="AI1736" i="1"/>
  <c r="AJ1736" i="1"/>
  <c r="AK1736" i="1"/>
  <c r="AP1736" i="1"/>
  <c r="AR1736" i="1"/>
  <c r="AY1736" i="1"/>
  <c r="BE1736" i="1"/>
  <c r="BF1736" i="1"/>
  <c r="C1737" i="1"/>
  <c r="E1737" i="1"/>
  <c r="F1737" i="1"/>
  <c r="G1737" i="1"/>
  <c r="H1737" i="1"/>
  <c r="L1737" i="1"/>
  <c r="M1737" i="1"/>
  <c r="N1737" i="1"/>
  <c r="O1737" i="1"/>
  <c r="P1737" i="1"/>
  <c r="Q1737" i="1"/>
  <c r="R1737" i="1"/>
  <c r="S1737" i="1"/>
  <c r="T1737" i="1"/>
  <c r="U1737" i="1"/>
  <c r="V1737" i="1"/>
  <c r="AB1737" i="1"/>
  <c r="AI1737" i="1"/>
  <c r="AJ1737" i="1"/>
  <c r="AK1737" i="1"/>
  <c r="AP1737" i="1"/>
  <c r="AR1737" i="1"/>
  <c r="AY1737" i="1"/>
  <c r="BE1737" i="1"/>
  <c r="BF1737" i="1"/>
  <c r="C1738" i="1"/>
  <c r="E1738" i="1"/>
  <c r="F1738" i="1"/>
  <c r="G1738" i="1"/>
  <c r="H1738" i="1"/>
  <c r="L1738" i="1"/>
  <c r="M1738" i="1"/>
  <c r="N1738" i="1"/>
  <c r="O1738" i="1"/>
  <c r="P1738" i="1"/>
  <c r="Q1738" i="1"/>
  <c r="R1738" i="1"/>
  <c r="S1738" i="1"/>
  <c r="T1738" i="1"/>
  <c r="U1738" i="1"/>
  <c r="V1738" i="1"/>
  <c r="AB1738" i="1"/>
  <c r="AI1738" i="1"/>
  <c r="AJ1738" i="1"/>
  <c r="AK1738" i="1"/>
  <c r="AP1738" i="1"/>
  <c r="AR1738" i="1"/>
  <c r="AY1738" i="1"/>
  <c r="BE1738" i="1"/>
  <c r="BF1738" i="1"/>
  <c r="C1739" i="1"/>
  <c r="E1739" i="1"/>
  <c r="F1739" i="1"/>
  <c r="G1739" i="1"/>
  <c r="H1739" i="1"/>
  <c r="L1739" i="1"/>
  <c r="M1739" i="1"/>
  <c r="N1739" i="1"/>
  <c r="O1739" i="1"/>
  <c r="P1739" i="1"/>
  <c r="Q1739" i="1"/>
  <c r="R1739" i="1"/>
  <c r="S1739" i="1"/>
  <c r="T1739" i="1"/>
  <c r="U1739" i="1"/>
  <c r="V1739" i="1"/>
  <c r="AB1739" i="1"/>
  <c r="AI1739" i="1"/>
  <c r="AJ1739" i="1"/>
  <c r="AK1739" i="1"/>
  <c r="AP1739" i="1"/>
  <c r="AR1739" i="1"/>
  <c r="AY1739" i="1"/>
  <c r="BE1739" i="1"/>
  <c r="BF1739" i="1"/>
  <c r="C1740" i="1"/>
  <c r="E1740" i="1"/>
  <c r="F1740" i="1"/>
  <c r="G1740" i="1"/>
  <c r="H1740" i="1"/>
  <c r="L1740" i="1"/>
  <c r="M1740" i="1"/>
  <c r="N1740" i="1"/>
  <c r="O1740" i="1"/>
  <c r="P1740" i="1"/>
  <c r="Q1740" i="1"/>
  <c r="R1740" i="1"/>
  <c r="S1740" i="1"/>
  <c r="T1740" i="1"/>
  <c r="U1740" i="1"/>
  <c r="V1740" i="1"/>
  <c r="AB1740" i="1"/>
  <c r="AI1740" i="1"/>
  <c r="AJ1740" i="1"/>
  <c r="AK1740" i="1"/>
  <c r="AP1740" i="1"/>
  <c r="AR1740" i="1"/>
  <c r="AY1740" i="1"/>
  <c r="BE1740" i="1"/>
  <c r="BF1740" i="1"/>
  <c r="C1741" i="1"/>
  <c r="E1741" i="1"/>
  <c r="F1741" i="1"/>
  <c r="G1741" i="1"/>
  <c r="H1741" i="1"/>
  <c r="L1741" i="1"/>
  <c r="M1741" i="1"/>
  <c r="N1741" i="1"/>
  <c r="O1741" i="1"/>
  <c r="P1741" i="1"/>
  <c r="Q1741" i="1"/>
  <c r="R1741" i="1"/>
  <c r="S1741" i="1"/>
  <c r="T1741" i="1"/>
  <c r="U1741" i="1"/>
  <c r="V1741" i="1"/>
  <c r="AB1741" i="1"/>
  <c r="AI1741" i="1"/>
  <c r="AJ1741" i="1"/>
  <c r="AK1741" i="1"/>
  <c r="AP1741" i="1"/>
  <c r="AR1741" i="1"/>
  <c r="AY1741" i="1"/>
  <c r="BE1741" i="1"/>
  <c r="BF1741" i="1"/>
  <c r="C1742" i="1"/>
  <c r="E1742" i="1"/>
  <c r="F1742" i="1"/>
  <c r="G1742" i="1"/>
  <c r="H1742" i="1"/>
  <c r="L1742" i="1"/>
  <c r="M1742" i="1"/>
  <c r="N1742" i="1"/>
  <c r="O1742" i="1"/>
  <c r="P1742" i="1"/>
  <c r="Q1742" i="1"/>
  <c r="R1742" i="1"/>
  <c r="S1742" i="1"/>
  <c r="T1742" i="1"/>
  <c r="U1742" i="1"/>
  <c r="V1742" i="1"/>
  <c r="AB1742" i="1"/>
  <c r="AI1742" i="1"/>
  <c r="AJ1742" i="1"/>
  <c r="AK1742" i="1"/>
  <c r="AP1742" i="1"/>
  <c r="AR1742" i="1"/>
  <c r="AY1742" i="1"/>
  <c r="BE1742" i="1"/>
  <c r="BF1742" i="1"/>
  <c r="C1743" i="1"/>
  <c r="E1743" i="1"/>
  <c r="F1743" i="1"/>
  <c r="G1743" i="1"/>
  <c r="H1743" i="1"/>
  <c r="L1743" i="1"/>
  <c r="M1743" i="1"/>
  <c r="N1743" i="1"/>
  <c r="O1743" i="1"/>
  <c r="P1743" i="1"/>
  <c r="Q1743" i="1"/>
  <c r="R1743" i="1"/>
  <c r="S1743" i="1"/>
  <c r="T1743" i="1"/>
  <c r="U1743" i="1"/>
  <c r="V1743" i="1"/>
  <c r="AB1743" i="1"/>
  <c r="AI1743" i="1"/>
  <c r="AJ1743" i="1"/>
  <c r="AK1743" i="1"/>
  <c r="AP1743" i="1"/>
  <c r="AR1743" i="1"/>
  <c r="AY1743" i="1"/>
  <c r="BE1743" i="1"/>
  <c r="BF1743" i="1"/>
  <c r="C1744" i="1"/>
  <c r="E1744" i="1"/>
  <c r="F1744" i="1"/>
  <c r="G1744" i="1"/>
  <c r="H1744" i="1"/>
  <c r="L1744" i="1"/>
  <c r="M1744" i="1"/>
  <c r="N1744" i="1"/>
  <c r="O1744" i="1"/>
  <c r="P1744" i="1"/>
  <c r="Q1744" i="1"/>
  <c r="R1744" i="1"/>
  <c r="S1744" i="1"/>
  <c r="T1744" i="1"/>
  <c r="U1744" i="1"/>
  <c r="V1744" i="1"/>
  <c r="AB1744" i="1"/>
  <c r="AI1744" i="1"/>
  <c r="AJ1744" i="1"/>
  <c r="AK1744" i="1"/>
  <c r="AP1744" i="1"/>
  <c r="AR1744" i="1"/>
  <c r="AY1744" i="1"/>
  <c r="BE1744" i="1"/>
  <c r="BF1744" i="1"/>
  <c r="C1745" i="1"/>
  <c r="E1745" i="1"/>
  <c r="F1745" i="1"/>
  <c r="G1745" i="1"/>
  <c r="H1745" i="1"/>
  <c r="L1745" i="1"/>
  <c r="M1745" i="1"/>
  <c r="N1745" i="1"/>
  <c r="O1745" i="1"/>
  <c r="P1745" i="1"/>
  <c r="Q1745" i="1"/>
  <c r="R1745" i="1"/>
  <c r="S1745" i="1"/>
  <c r="T1745" i="1"/>
  <c r="U1745" i="1"/>
  <c r="V1745" i="1"/>
  <c r="AB1745" i="1"/>
  <c r="AI1745" i="1"/>
  <c r="AJ1745" i="1"/>
  <c r="AK1745" i="1"/>
  <c r="AP1745" i="1"/>
  <c r="AR1745" i="1"/>
  <c r="AY1745" i="1"/>
  <c r="BE1745" i="1"/>
  <c r="BF1745" i="1"/>
  <c r="C1746" i="1"/>
  <c r="E1746" i="1"/>
  <c r="F1746" i="1"/>
  <c r="G1746" i="1"/>
  <c r="H1746" i="1"/>
  <c r="L1746" i="1"/>
  <c r="M1746" i="1"/>
  <c r="N1746" i="1"/>
  <c r="O1746" i="1"/>
  <c r="P1746" i="1"/>
  <c r="Q1746" i="1"/>
  <c r="R1746" i="1"/>
  <c r="S1746" i="1"/>
  <c r="T1746" i="1"/>
  <c r="U1746" i="1"/>
  <c r="V1746" i="1"/>
  <c r="AB1746" i="1"/>
  <c r="AI1746" i="1"/>
  <c r="AJ1746" i="1"/>
  <c r="AK1746" i="1"/>
  <c r="AP1746" i="1"/>
  <c r="AR1746" i="1"/>
  <c r="AY1746" i="1"/>
  <c r="BE1746" i="1"/>
  <c r="BF1746" i="1"/>
  <c r="C1747" i="1"/>
  <c r="E1747" i="1"/>
  <c r="F1747" i="1"/>
  <c r="G1747" i="1"/>
  <c r="H1747" i="1"/>
  <c r="L1747" i="1"/>
  <c r="M1747" i="1"/>
  <c r="N1747" i="1"/>
  <c r="O1747" i="1"/>
  <c r="P1747" i="1"/>
  <c r="Q1747" i="1"/>
  <c r="R1747" i="1"/>
  <c r="S1747" i="1"/>
  <c r="T1747" i="1"/>
  <c r="U1747" i="1"/>
  <c r="V1747" i="1"/>
  <c r="AB1747" i="1"/>
  <c r="AI1747" i="1"/>
  <c r="AJ1747" i="1"/>
  <c r="AK1747" i="1"/>
  <c r="AP1747" i="1"/>
  <c r="AR1747" i="1"/>
  <c r="AY1747" i="1"/>
  <c r="BE1747" i="1"/>
  <c r="BF1747" i="1"/>
  <c r="C1748" i="1"/>
  <c r="E1748" i="1"/>
  <c r="F1748" i="1"/>
  <c r="G1748" i="1"/>
  <c r="H1748" i="1"/>
  <c r="L1748" i="1"/>
  <c r="M1748" i="1"/>
  <c r="N1748" i="1"/>
  <c r="O1748" i="1"/>
  <c r="P1748" i="1"/>
  <c r="Q1748" i="1"/>
  <c r="R1748" i="1"/>
  <c r="S1748" i="1"/>
  <c r="T1748" i="1"/>
  <c r="U1748" i="1"/>
  <c r="V1748" i="1"/>
  <c r="AB1748" i="1"/>
  <c r="AI1748" i="1"/>
  <c r="AJ1748" i="1"/>
  <c r="AK1748" i="1"/>
  <c r="AP1748" i="1"/>
  <c r="AR1748" i="1"/>
  <c r="AY1748" i="1"/>
  <c r="BE1748" i="1"/>
  <c r="BF1748" i="1"/>
  <c r="C1749" i="1"/>
  <c r="E1749" i="1"/>
  <c r="F1749" i="1"/>
  <c r="G1749" i="1"/>
  <c r="H1749" i="1"/>
  <c r="L1749" i="1"/>
  <c r="M1749" i="1"/>
  <c r="N1749" i="1"/>
  <c r="O1749" i="1"/>
  <c r="P1749" i="1"/>
  <c r="Q1749" i="1"/>
  <c r="R1749" i="1"/>
  <c r="S1749" i="1"/>
  <c r="T1749" i="1"/>
  <c r="U1749" i="1"/>
  <c r="V1749" i="1"/>
  <c r="AB1749" i="1"/>
  <c r="AI1749" i="1"/>
  <c r="AJ1749" i="1"/>
  <c r="AK1749" i="1"/>
  <c r="AP1749" i="1"/>
  <c r="AR1749" i="1"/>
  <c r="AY1749" i="1"/>
  <c r="BE1749" i="1"/>
  <c r="BF1749" i="1"/>
  <c r="C1750" i="1"/>
  <c r="E1750" i="1"/>
  <c r="F1750" i="1"/>
  <c r="G1750" i="1"/>
  <c r="H1750" i="1"/>
  <c r="L1750" i="1"/>
  <c r="M1750" i="1"/>
  <c r="N1750" i="1"/>
  <c r="O1750" i="1"/>
  <c r="P1750" i="1"/>
  <c r="Q1750" i="1"/>
  <c r="R1750" i="1"/>
  <c r="S1750" i="1"/>
  <c r="T1750" i="1"/>
  <c r="U1750" i="1"/>
  <c r="V1750" i="1"/>
  <c r="AB1750" i="1"/>
  <c r="AI1750" i="1"/>
  <c r="AJ1750" i="1"/>
  <c r="AK1750" i="1"/>
  <c r="AP1750" i="1"/>
  <c r="AR1750" i="1"/>
  <c r="AY1750" i="1"/>
  <c r="BE1750" i="1"/>
  <c r="BF1750" i="1"/>
  <c r="C1751" i="1"/>
  <c r="E1751" i="1"/>
  <c r="F1751" i="1"/>
  <c r="G1751" i="1"/>
  <c r="H1751" i="1"/>
  <c r="L1751" i="1"/>
  <c r="M1751" i="1"/>
  <c r="N1751" i="1"/>
  <c r="O1751" i="1"/>
  <c r="P1751" i="1"/>
  <c r="Q1751" i="1"/>
  <c r="R1751" i="1"/>
  <c r="S1751" i="1"/>
  <c r="T1751" i="1"/>
  <c r="U1751" i="1"/>
  <c r="V1751" i="1"/>
  <c r="AB1751" i="1"/>
  <c r="AI1751" i="1"/>
  <c r="AJ1751" i="1"/>
  <c r="AK1751" i="1"/>
  <c r="AP1751" i="1"/>
  <c r="AR1751" i="1"/>
  <c r="AY1751" i="1"/>
  <c r="BE1751" i="1"/>
  <c r="BF1751" i="1"/>
  <c r="C1752" i="1"/>
  <c r="E1752" i="1"/>
  <c r="F1752" i="1"/>
  <c r="G1752" i="1"/>
  <c r="H1752" i="1"/>
  <c r="L1752" i="1"/>
  <c r="M1752" i="1"/>
  <c r="N1752" i="1"/>
  <c r="O1752" i="1"/>
  <c r="P1752" i="1"/>
  <c r="Q1752" i="1"/>
  <c r="R1752" i="1"/>
  <c r="S1752" i="1"/>
  <c r="T1752" i="1"/>
  <c r="U1752" i="1"/>
  <c r="V1752" i="1"/>
  <c r="AB1752" i="1"/>
  <c r="AI1752" i="1"/>
  <c r="AJ1752" i="1"/>
  <c r="AK1752" i="1"/>
  <c r="AP1752" i="1"/>
  <c r="AR1752" i="1"/>
  <c r="AY1752" i="1"/>
  <c r="BE1752" i="1"/>
  <c r="BF1752" i="1"/>
  <c r="C1753" i="1"/>
  <c r="E1753" i="1"/>
  <c r="F1753" i="1"/>
  <c r="G1753" i="1"/>
  <c r="H1753" i="1"/>
  <c r="L1753" i="1"/>
  <c r="M1753" i="1"/>
  <c r="N1753" i="1"/>
  <c r="O1753" i="1"/>
  <c r="P1753" i="1"/>
  <c r="Q1753" i="1"/>
  <c r="R1753" i="1"/>
  <c r="S1753" i="1"/>
  <c r="T1753" i="1"/>
  <c r="U1753" i="1"/>
  <c r="V1753" i="1"/>
  <c r="AB1753" i="1"/>
  <c r="AI1753" i="1"/>
  <c r="AJ1753" i="1"/>
  <c r="AK1753" i="1"/>
  <c r="AP1753" i="1"/>
  <c r="AR1753" i="1"/>
  <c r="AY1753" i="1"/>
  <c r="BE1753" i="1"/>
  <c r="BF1753" i="1"/>
  <c r="C1754" i="1"/>
  <c r="E1754" i="1"/>
  <c r="F1754" i="1"/>
  <c r="G1754" i="1"/>
  <c r="H1754" i="1"/>
  <c r="L1754" i="1"/>
  <c r="M1754" i="1"/>
  <c r="N1754" i="1"/>
  <c r="O1754" i="1"/>
  <c r="P1754" i="1"/>
  <c r="Q1754" i="1"/>
  <c r="R1754" i="1"/>
  <c r="S1754" i="1"/>
  <c r="T1754" i="1"/>
  <c r="U1754" i="1"/>
  <c r="V1754" i="1"/>
  <c r="AB1754" i="1"/>
  <c r="AI1754" i="1"/>
  <c r="AJ1754" i="1"/>
  <c r="AK1754" i="1"/>
  <c r="AP1754" i="1"/>
  <c r="AR1754" i="1"/>
  <c r="AY1754" i="1"/>
  <c r="BE1754" i="1"/>
  <c r="BF1754" i="1"/>
  <c r="C1755" i="1"/>
  <c r="E1755" i="1"/>
  <c r="F1755" i="1"/>
  <c r="G1755" i="1"/>
  <c r="H1755" i="1"/>
  <c r="L1755" i="1"/>
  <c r="M1755" i="1"/>
  <c r="N1755" i="1"/>
  <c r="O1755" i="1"/>
  <c r="P1755" i="1"/>
  <c r="Q1755" i="1"/>
  <c r="R1755" i="1"/>
  <c r="S1755" i="1"/>
  <c r="T1755" i="1"/>
  <c r="U1755" i="1"/>
  <c r="V1755" i="1"/>
  <c r="AB1755" i="1"/>
  <c r="AI1755" i="1"/>
  <c r="AJ1755" i="1"/>
  <c r="AK1755" i="1"/>
  <c r="AP1755" i="1"/>
  <c r="AR1755" i="1"/>
  <c r="AY1755" i="1"/>
  <c r="BE1755" i="1"/>
  <c r="BF1755" i="1"/>
  <c r="C1756" i="1"/>
  <c r="E1756" i="1"/>
  <c r="F1756" i="1"/>
  <c r="G1756" i="1"/>
  <c r="H1756" i="1"/>
  <c r="L1756" i="1"/>
  <c r="M1756" i="1"/>
  <c r="N1756" i="1"/>
  <c r="O1756" i="1"/>
  <c r="P1756" i="1"/>
  <c r="Q1756" i="1"/>
  <c r="R1756" i="1"/>
  <c r="S1756" i="1"/>
  <c r="T1756" i="1"/>
  <c r="U1756" i="1"/>
  <c r="V1756" i="1"/>
  <c r="AB1756" i="1"/>
  <c r="AI1756" i="1"/>
  <c r="AJ1756" i="1"/>
  <c r="AK1756" i="1"/>
  <c r="AP1756" i="1"/>
  <c r="AR1756" i="1"/>
  <c r="AY1756" i="1"/>
  <c r="BE1756" i="1"/>
  <c r="BF1756" i="1"/>
  <c r="C1757" i="1"/>
  <c r="E1757" i="1"/>
  <c r="F1757" i="1"/>
  <c r="G1757" i="1"/>
  <c r="H1757" i="1"/>
  <c r="L1757" i="1"/>
  <c r="M1757" i="1"/>
  <c r="N1757" i="1"/>
  <c r="O1757" i="1"/>
  <c r="P1757" i="1"/>
  <c r="Q1757" i="1"/>
  <c r="R1757" i="1"/>
  <c r="S1757" i="1"/>
  <c r="T1757" i="1"/>
  <c r="U1757" i="1"/>
  <c r="V1757" i="1"/>
  <c r="AB1757" i="1"/>
  <c r="AI1757" i="1"/>
  <c r="AJ1757" i="1"/>
  <c r="AK1757" i="1"/>
  <c r="AP1757" i="1"/>
  <c r="AR1757" i="1"/>
  <c r="AY1757" i="1"/>
  <c r="BE1757" i="1"/>
  <c r="BF1757" i="1"/>
  <c r="C1758" i="1"/>
  <c r="E1758" i="1"/>
  <c r="F1758" i="1"/>
  <c r="G1758" i="1"/>
  <c r="H1758" i="1"/>
  <c r="L1758" i="1"/>
  <c r="M1758" i="1"/>
  <c r="N1758" i="1"/>
  <c r="O1758" i="1"/>
  <c r="P1758" i="1"/>
  <c r="Q1758" i="1"/>
  <c r="R1758" i="1"/>
  <c r="S1758" i="1"/>
  <c r="T1758" i="1"/>
  <c r="U1758" i="1"/>
  <c r="V1758" i="1"/>
  <c r="AB1758" i="1"/>
  <c r="AI1758" i="1"/>
  <c r="AJ1758" i="1"/>
  <c r="AK1758" i="1"/>
  <c r="AP1758" i="1"/>
  <c r="AR1758" i="1"/>
  <c r="AY1758" i="1"/>
  <c r="BE1758" i="1"/>
  <c r="BF1758" i="1"/>
  <c r="C1759" i="1"/>
  <c r="E1759" i="1"/>
  <c r="F1759" i="1"/>
  <c r="G1759" i="1"/>
  <c r="H1759" i="1"/>
  <c r="L1759" i="1"/>
  <c r="M1759" i="1"/>
  <c r="N1759" i="1"/>
  <c r="O1759" i="1"/>
  <c r="P1759" i="1"/>
  <c r="Q1759" i="1"/>
  <c r="R1759" i="1"/>
  <c r="S1759" i="1"/>
  <c r="T1759" i="1"/>
  <c r="U1759" i="1"/>
  <c r="V1759" i="1"/>
  <c r="AB1759" i="1"/>
  <c r="AI1759" i="1"/>
  <c r="AJ1759" i="1"/>
  <c r="AK1759" i="1"/>
  <c r="AP1759" i="1"/>
  <c r="AR1759" i="1"/>
  <c r="AY1759" i="1"/>
  <c r="BE1759" i="1"/>
  <c r="BF1759" i="1"/>
  <c r="C1760" i="1"/>
  <c r="E1760" i="1"/>
  <c r="F1760" i="1"/>
  <c r="G1760" i="1"/>
  <c r="H1760" i="1"/>
  <c r="L1760" i="1"/>
  <c r="M1760" i="1"/>
  <c r="N1760" i="1"/>
  <c r="O1760" i="1"/>
  <c r="P1760" i="1"/>
  <c r="Q1760" i="1"/>
  <c r="R1760" i="1"/>
  <c r="S1760" i="1"/>
  <c r="T1760" i="1"/>
  <c r="U1760" i="1"/>
  <c r="V1760" i="1"/>
  <c r="AB1760" i="1"/>
  <c r="AI1760" i="1"/>
  <c r="AJ1760" i="1"/>
  <c r="AK1760" i="1"/>
  <c r="AP1760" i="1"/>
  <c r="AR1760" i="1"/>
  <c r="AY1760" i="1"/>
  <c r="BE1760" i="1"/>
  <c r="BF1760" i="1"/>
  <c r="C1761" i="1"/>
  <c r="E1761" i="1"/>
  <c r="F1761" i="1"/>
  <c r="G1761" i="1"/>
  <c r="H1761" i="1"/>
  <c r="L1761" i="1"/>
  <c r="M1761" i="1"/>
  <c r="N1761" i="1"/>
  <c r="O1761" i="1"/>
  <c r="P1761" i="1"/>
  <c r="Q1761" i="1"/>
  <c r="R1761" i="1"/>
  <c r="S1761" i="1"/>
  <c r="T1761" i="1"/>
  <c r="U1761" i="1"/>
  <c r="V1761" i="1"/>
  <c r="AB1761" i="1"/>
  <c r="AI1761" i="1"/>
  <c r="AJ1761" i="1"/>
  <c r="AK1761" i="1"/>
  <c r="AP1761" i="1"/>
  <c r="AR1761" i="1"/>
  <c r="AY1761" i="1"/>
  <c r="BE1761" i="1"/>
  <c r="BF1761" i="1"/>
  <c r="C1762" i="1"/>
  <c r="E1762" i="1"/>
  <c r="F1762" i="1"/>
  <c r="G1762" i="1"/>
  <c r="H1762" i="1"/>
  <c r="L1762" i="1"/>
  <c r="M1762" i="1"/>
  <c r="N1762" i="1"/>
  <c r="O1762" i="1"/>
  <c r="P1762" i="1"/>
  <c r="Q1762" i="1"/>
  <c r="R1762" i="1"/>
  <c r="S1762" i="1"/>
  <c r="T1762" i="1"/>
  <c r="U1762" i="1"/>
  <c r="V1762" i="1"/>
  <c r="AB1762" i="1"/>
  <c r="AI1762" i="1"/>
  <c r="AJ1762" i="1"/>
  <c r="AK1762" i="1"/>
  <c r="AP1762" i="1"/>
  <c r="AR1762" i="1"/>
  <c r="AY1762" i="1"/>
  <c r="BE1762" i="1"/>
  <c r="BF1762" i="1"/>
  <c r="C1763" i="1"/>
  <c r="E1763" i="1"/>
  <c r="F1763" i="1"/>
  <c r="G1763" i="1"/>
  <c r="H1763" i="1"/>
  <c r="L1763" i="1"/>
  <c r="M1763" i="1"/>
  <c r="N1763" i="1"/>
  <c r="O1763" i="1"/>
  <c r="P1763" i="1"/>
  <c r="Q1763" i="1"/>
  <c r="R1763" i="1"/>
  <c r="S1763" i="1"/>
  <c r="T1763" i="1"/>
  <c r="U1763" i="1"/>
  <c r="V1763" i="1"/>
  <c r="AB1763" i="1"/>
  <c r="AI1763" i="1"/>
  <c r="AJ1763" i="1"/>
  <c r="AK1763" i="1"/>
  <c r="AP1763" i="1"/>
  <c r="AR1763" i="1"/>
  <c r="AY1763" i="1"/>
  <c r="BE1763" i="1"/>
  <c r="BF1763" i="1"/>
  <c r="C1764" i="1"/>
  <c r="E1764" i="1"/>
  <c r="F1764" i="1"/>
  <c r="G1764" i="1"/>
  <c r="H1764" i="1"/>
  <c r="L1764" i="1"/>
  <c r="M1764" i="1"/>
  <c r="N1764" i="1"/>
  <c r="O1764" i="1"/>
  <c r="P1764" i="1"/>
  <c r="Q1764" i="1"/>
  <c r="R1764" i="1"/>
  <c r="S1764" i="1"/>
  <c r="T1764" i="1"/>
  <c r="U1764" i="1"/>
  <c r="V1764" i="1"/>
  <c r="AB1764" i="1"/>
  <c r="AI1764" i="1"/>
  <c r="AJ1764" i="1"/>
  <c r="AK1764" i="1"/>
  <c r="AP1764" i="1"/>
  <c r="AR1764" i="1"/>
  <c r="AY1764" i="1"/>
  <c r="BE1764" i="1"/>
  <c r="BF1764" i="1"/>
  <c r="C1765" i="1"/>
  <c r="E1765" i="1"/>
  <c r="F1765" i="1"/>
  <c r="G1765" i="1"/>
  <c r="H1765" i="1"/>
  <c r="L1765" i="1"/>
  <c r="M1765" i="1"/>
  <c r="N1765" i="1"/>
  <c r="O1765" i="1"/>
  <c r="P1765" i="1"/>
  <c r="Q1765" i="1"/>
  <c r="R1765" i="1"/>
  <c r="S1765" i="1"/>
  <c r="T1765" i="1"/>
  <c r="U1765" i="1"/>
  <c r="V1765" i="1"/>
  <c r="AB1765" i="1"/>
  <c r="AI1765" i="1"/>
  <c r="AJ1765" i="1"/>
  <c r="AK1765" i="1"/>
  <c r="AP1765" i="1"/>
  <c r="AR1765" i="1"/>
  <c r="AY1765" i="1"/>
  <c r="BE1765" i="1"/>
  <c r="BF1765" i="1"/>
  <c r="C1766" i="1"/>
  <c r="E1766" i="1"/>
  <c r="F1766" i="1"/>
  <c r="G1766" i="1"/>
  <c r="H1766" i="1"/>
  <c r="L1766" i="1"/>
  <c r="M1766" i="1"/>
  <c r="N1766" i="1"/>
  <c r="O1766" i="1"/>
  <c r="P1766" i="1"/>
  <c r="Q1766" i="1"/>
  <c r="R1766" i="1"/>
  <c r="S1766" i="1"/>
  <c r="T1766" i="1"/>
  <c r="U1766" i="1"/>
  <c r="V1766" i="1"/>
  <c r="AB1766" i="1"/>
  <c r="AI1766" i="1"/>
  <c r="AJ1766" i="1"/>
  <c r="AK1766" i="1"/>
  <c r="AP1766" i="1"/>
  <c r="AR1766" i="1"/>
  <c r="AY1766" i="1"/>
  <c r="BE1766" i="1"/>
  <c r="BF1766" i="1"/>
  <c r="C1767" i="1"/>
  <c r="E1767" i="1"/>
  <c r="F1767" i="1"/>
  <c r="G1767" i="1"/>
  <c r="H1767" i="1"/>
  <c r="L1767" i="1"/>
  <c r="M1767" i="1"/>
  <c r="N1767" i="1"/>
  <c r="O1767" i="1"/>
  <c r="P1767" i="1"/>
  <c r="Q1767" i="1"/>
  <c r="R1767" i="1"/>
  <c r="S1767" i="1"/>
  <c r="T1767" i="1"/>
  <c r="U1767" i="1"/>
  <c r="V1767" i="1"/>
  <c r="AB1767" i="1"/>
  <c r="AI1767" i="1"/>
  <c r="AJ1767" i="1"/>
  <c r="AK1767" i="1"/>
  <c r="AP1767" i="1"/>
  <c r="AR1767" i="1"/>
  <c r="AY1767" i="1"/>
  <c r="BE1767" i="1"/>
  <c r="BF1767" i="1"/>
  <c r="C1768" i="1"/>
  <c r="E1768" i="1"/>
  <c r="F1768" i="1"/>
  <c r="G1768" i="1"/>
  <c r="H1768" i="1"/>
  <c r="L1768" i="1"/>
  <c r="M1768" i="1"/>
  <c r="N1768" i="1"/>
  <c r="O1768" i="1"/>
  <c r="P1768" i="1"/>
  <c r="Q1768" i="1"/>
  <c r="R1768" i="1"/>
  <c r="S1768" i="1"/>
  <c r="T1768" i="1"/>
  <c r="U1768" i="1"/>
  <c r="V1768" i="1"/>
  <c r="AB1768" i="1"/>
  <c r="AI1768" i="1"/>
  <c r="AJ1768" i="1"/>
  <c r="AK1768" i="1"/>
  <c r="AP1768" i="1"/>
  <c r="AR1768" i="1"/>
  <c r="AY1768" i="1"/>
  <c r="BE1768" i="1"/>
  <c r="BF1768" i="1"/>
  <c r="C1769" i="1"/>
  <c r="E1769" i="1"/>
  <c r="F1769" i="1"/>
  <c r="G1769" i="1"/>
  <c r="H1769" i="1"/>
  <c r="L1769" i="1"/>
  <c r="M1769" i="1"/>
  <c r="N1769" i="1"/>
  <c r="O1769" i="1"/>
  <c r="P1769" i="1"/>
  <c r="Q1769" i="1"/>
  <c r="R1769" i="1"/>
  <c r="S1769" i="1"/>
  <c r="T1769" i="1"/>
  <c r="U1769" i="1"/>
  <c r="V1769" i="1"/>
  <c r="AB1769" i="1"/>
  <c r="AI1769" i="1"/>
  <c r="AJ1769" i="1"/>
  <c r="AK1769" i="1"/>
  <c r="AP1769" i="1"/>
  <c r="AR1769" i="1"/>
  <c r="AY1769" i="1"/>
  <c r="BE1769" i="1"/>
  <c r="BF1769" i="1"/>
  <c r="C1770" i="1"/>
  <c r="E1770" i="1"/>
  <c r="F1770" i="1"/>
  <c r="G1770" i="1"/>
  <c r="H1770" i="1"/>
  <c r="L1770" i="1"/>
  <c r="M1770" i="1"/>
  <c r="N1770" i="1"/>
  <c r="O1770" i="1"/>
  <c r="P1770" i="1"/>
  <c r="Q1770" i="1"/>
  <c r="R1770" i="1"/>
  <c r="S1770" i="1"/>
  <c r="T1770" i="1"/>
  <c r="U1770" i="1"/>
  <c r="V1770" i="1"/>
  <c r="AB1770" i="1"/>
  <c r="AI1770" i="1"/>
  <c r="AJ1770" i="1"/>
  <c r="AK1770" i="1"/>
  <c r="AP1770" i="1"/>
  <c r="AR1770" i="1"/>
  <c r="AY1770" i="1"/>
  <c r="BE1770" i="1"/>
  <c r="BF1770" i="1"/>
  <c r="C1771" i="1"/>
  <c r="E1771" i="1"/>
  <c r="F1771" i="1"/>
  <c r="G1771" i="1"/>
  <c r="H1771" i="1"/>
  <c r="L1771" i="1"/>
  <c r="M1771" i="1"/>
  <c r="N1771" i="1"/>
  <c r="O1771" i="1"/>
  <c r="P1771" i="1"/>
  <c r="Q1771" i="1"/>
  <c r="R1771" i="1"/>
  <c r="S1771" i="1"/>
  <c r="T1771" i="1"/>
  <c r="U1771" i="1"/>
  <c r="V1771" i="1"/>
  <c r="AB1771" i="1"/>
  <c r="AI1771" i="1"/>
  <c r="AJ1771" i="1"/>
  <c r="AK1771" i="1"/>
  <c r="AP1771" i="1"/>
  <c r="AR1771" i="1"/>
  <c r="AY1771" i="1"/>
  <c r="BE1771" i="1"/>
  <c r="BF1771" i="1"/>
  <c r="C1772" i="1"/>
  <c r="E1772" i="1"/>
  <c r="F1772" i="1"/>
  <c r="G1772" i="1"/>
  <c r="H1772" i="1"/>
  <c r="L1772" i="1"/>
  <c r="M1772" i="1"/>
  <c r="N1772" i="1"/>
  <c r="O1772" i="1"/>
  <c r="P1772" i="1"/>
  <c r="Q1772" i="1"/>
  <c r="R1772" i="1"/>
  <c r="S1772" i="1"/>
  <c r="T1772" i="1"/>
  <c r="U1772" i="1"/>
  <c r="V1772" i="1"/>
  <c r="AB1772" i="1"/>
  <c r="AI1772" i="1"/>
  <c r="AJ1772" i="1"/>
  <c r="AK1772" i="1"/>
  <c r="AP1772" i="1"/>
  <c r="AR1772" i="1"/>
  <c r="AY1772" i="1"/>
  <c r="BE1772" i="1"/>
  <c r="BF1772" i="1"/>
  <c r="C1773" i="1"/>
  <c r="E1773" i="1"/>
  <c r="F1773" i="1"/>
  <c r="G1773" i="1"/>
  <c r="H1773" i="1"/>
  <c r="L1773" i="1"/>
  <c r="M1773" i="1"/>
  <c r="N1773" i="1"/>
  <c r="O1773" i="1"/>
  <c r="P1773" i="1"/>
  <c r="Q1773" i="1"/>
  <c r="R1773" i="1"/>
  <c r="S1773" i="1"/>
  <c r="T1773" i="1"/>
  <c r="U1773" i="1"/>
  <c r="V1773" i="1"/>
  <c r="AB1773" i="1"/>
  <c r="AI1773" i="1"/>
  <c r="AJ1773" i="1"/>
  <c r="AK1773" i="1"/>
  <c r="AP1773" i="1"/>
  <c r="AR1773" i="1"/>
  <c r="AY1773" i="1"/>
  <c r="BE1773" i="1"/>
  <c r="BF1773" i="1"/>
  <c r="C1774" i="1"/>
  <c r="E1774" i="1"/>
  <c r="F1774" i="1"/>
  <c r="G1774" i="1"/>
  <c r="H1774" i="1"/>
  <c r="L1774" i="1"/>
  <c r="M1774" i="1"/>
  <c r="N1774" i="1"/>
  <c r="O1774" i="1"/>
  <c r="P1774" i="1"/>
  <c r="Q1774" i="1"/>
  <c r="R1774" i="1"/>
  <c r="S1774" i="1"/>
  <c r="T1774" i="1"/>
  <c r="U1774" i="1"/>
  <c r="V1774" i="1"/>
  <c r="AB1774" i="1"/>
  <c r="AI1774" i="1"/>
  <c r="AJ1774" i="1"/>
  <c r="AK1774" i="1"/>
  <c r="AP1774" i="1"/>
  <c r="AR1774" i="1"/>
  <c r="AY1774" i="1"/>
  <c r="BE1774" i="1"/>
  <c r="BF1774" i="1"/>
  <c r="C1775" i="1"/>
  <c r="E1775" i="1"/>
  <c r="F1775" i="1"/>
  <c r="G1775" i="1"/>
  <c r="H1775" i="1"/>
  <c r="L1775" i="1"/>
  <c r="M1775" i="1"/>
  <c r="N1775" i="1"/>
  <c r="O1775" i="1"/>
  <c r="P1775" i="1"/>
  <c r="Q1775" i="1"/>
  <c r="R1775" i="1"/>
  <c r="S1775" i="1"/>
  <c r="T1775" i="1"/>
  <c r="U1775" i="1"/>
  <c r="V1775" i="1"/>
  <c r="AB1775" i="1"/>
  <c r="AI1775" i="1"/>
  <c r="AJ1775" i="1"/>
  <c r="AK1775" i="1"/>
  <c r="AP1775" i="1"/>
  <c r="AR1775" i="1"/>
  <c r="AY1775" i="1"/>
  <c r="BE1775" i="1"/>
  <c r="BF1775" i="1"/>
  <c r="C1776" i="1"/>
  <c r="E1776" i="1"/>
  <c r="F1776" i="1"/>
  <c r="G1776" i="1"/>
  <c r="H1776" i="1"/>
  <c r="L1776" i="1"/>
  <c r="M1776" i="1"/>
  <c r="N1776" i="1"/>
  <c r="O1776" i="1"/>
  <c r="P1776" i="1"/>
  <c r="Q1776" i="1"/>
  <c r="R1776" i="1"/>
  <c r="S1776" i="1"/>
  <c r="T1776" i="1"/>
  <c r="U1776" i="1"/>
  <c r="V1776" i="1"/>
  <c r="AB1776" i="1"/>
  <c r="AI1776" i="1"/>
  <c r="AJ1776" i="1"/>
  <c r="AK1776" i="1"/>
  <c r="AP1776" i="1"/>
  <c r="AR1776" i="1"/>
  <c r="AY1776" i="1"/>
  <c r="BE1776" i="1"/>
  <c r="BF1776" i="1"/>
  <c r="C1777" i="1"/>
  <c r="E1777" i="1"/>
  <c r="F1777" i="1"/>
  <c r="G1777" i="1"/>
  <c r="H1777" i="1"/>
  <c r="L1777" i="1"/>
  <c r="M1777" i="1"/>
  <c r="N1777" i="1"/>
  <c r="O1777" i="1"/>
  <c r="P1777" i="1"/>
  <c r="Q1777" i="1"/>
  <c r="R1777" i="1"/>
  <c r="S1777" i="1"/>
  <c r="T1777" i="1"/>
  <c r="U1777" i="1"/>
  <c r="V1777" i="1"/>
  <c r="AB1777" i="1"/>
  <c r="AI1777" i="1"/>
  <c r="AJ1777" i="1"/>
  <c r="AK1777" i="1"/>
  <c r="AP1777" i="1"/>
  <c r="AR1777" i="1"/>
  <c r="AY1777" i="1"/>
  <c r="BE1777" i="1"/>
  <c r="BF1777" i="1"/>
  <c r="C1778" i="1"/>
  <c r="E1778" i="1"/>
  <c r="F1778" i="1"/>
  <c r="G1778" i="1"/>
  <c r="H1778" i="1"/>
  <c r="L1778" i="1"/>
  <c r="M1778" i="1"/>
  <c r="N1778" i="1"/>
  <c r="O1778" i="1"/>
  <c r="P1778" i="1"/>
  <c r="Q1778" i="1"/>
  <c r="R1778" i="1"/>
  <c r="S1778" i="1"/>
  <c r="T1778" i="1"/>
  <c r="U1778" i="1"/>
  <c r="V1778" i="1"/>
  <c r="AB1778" i="1"/>
  <c r="AI1778" i="1"/>
  <c r="AJ1778" i="1"/>
  <c r="AK1778" i="1"/>
  <c r="AP1778" i="1"/>
  <c r="AR1778" i="1"/>
  <c r="AY1778" i="1"/>
  <c r="BE1778" i="1"/>
  <c r="BF1778" i="1"/>
  <c r="C1779" i="1"/>
  <c r="E1779" i="1"/>
  <c r="F1779" i="1"/>
  <c r="G1779" i="1"/>
  <c r="H1779" i="1"/>
  <c r="L1779" i="1"/>
  <c r="M1779" i="1"/>
  <c r="N1779" i="1"/>
  <c r="O1779" i="1"/>
  <c r="P1779" i="1"/>
  <c r="Q1779" i="1"/>
  <c r="R1779" i="1"/>
  <c r="S1779" i="1"/>
  <c r="T1779" i="1"/>
  <c r="U1779" i="1"/>
  <c r="V1779" i="1"/>
  <c r="AB1779" i="1"/>
  <c r="AI1779" i="1"/>
  <c r="AJ1779" i="1"/>
  <c r="AK1779" i="1"/>
  <c r="AP1779" i="1"/>
  <c r="AR1779" i="1"/>
  <c r="AY1779" i="1"/>
  <c r="BE1779" i="1"/>
  <c r="BF1779" i="1"/>
  <c r="C1780" i="1"/>
  <c r="E1780" i="1"/>
  <c r="F1780" i="1"/>
  <c r="G1780" i="1"/>
  <c r="H1780" i="1"/>
  <c r="L1780" i="1"/>
  <c r="M1780" i="1"/>
  <c r="N1780" i="1"/>
  <c r="O1780" i="1"/>
  <c r="P1780" i="1"/>
  <c r="Q1780" i="1"/>
  <c r="R1780" i="1"/>
  <c r="S1780" i="1"/>
  <c r="T1780" i="1"/>
  <c r="U1780" i="1"/>
  <c r="V1780" i="1"/>
  <c r="AB1780" i="1"/>
  <c r="AI1780" i="1"/>
  <c r="AJ1780" i="1"/>
  <c r="AK1780" i="1"/>
  <c r="AP1780" i="1"/>
  <c r="AR1780" i="1"/>
  <c r="AY1780" i="1"/>
  <c r="BE1780" i="1"/>
  <c r="BF1780" i="1"/>
  <c r="C1781" i="1"/>
  <c r="E1781" i="1"/>
  <c r="F1781" i="1"/>
  <c r="G1781" i="1"/>
  <c r="H1781" i="1"/>
  <c r="L1781" i="1"/>
  <c r="M1781" i="1"/>
  <c r="N1781" i="1"/>
  <c r="O1781" i="1"/>
  <c r="P1781" i="1"/>
  <c r="Q1781" i="1"/>
  <c r="R1781" i="1"/>
  <c r="S1781" i="1"/>
  <c r="T1781" i="1"/>
  <c r="U1781" i="1"/>
  <c r="V1781" i="1"/>
  <c r="AB1781" i="1"/>
  <c r="AI1781" i="1"/>
  <c r="AJ1781" i="1"/>
  <c r="AK1781" i="1"/>
  <c r="AP1781" i="1"/>
  <c r="AR1781" i="1"/>
  <c r="AY1781" i="1"/>
  <c r="BE1781" i="1"/>
  <c r="BF1781" i="1"/>
  <c r="C1782" i="1"/>
  <c r="E1782" i="1"/>
  <c r="F1782" i="1"/>
  <c r="G1782" i="1"/>
  <c r="H1782" i="1"/>
  <c r="L1782" i="1"/>
  <c r="M1782" i="1"/>
  <c r="N1782" i="1"/>
  <c r="O1782" i="1"/>
  <c r="P1782" i="1"/>
  <c r="Q1782" i="1"/>
  <c r="R1782" i="1"/>
  <c r="S1782" i="1"/>
  <c r="T1782" i="1"/>
  <c r="U1782" i="1"/>
  <c r="V1782" i="1"/>
  <c r="AB1782" i="1"/>
  <c r="AI1782" i="1"/>
  <c r="AJ1782" i="1"/>
  <c r="AK1782" i="1"/>
  <c r="AP1782" i="1"/>
  <c r="AR1782" i="1"/>
  <c r="AY1782" i="1"/>
  <c r="BE1782" i="1"/>
  <c r="BF1782" i="1"/>
  <c r="C1783" i="1"/>
  <c r="E1783" i="1"/>
  <c r="F1783" i="1"/>
  <c r="G1783" i="1"/>
  <c r="H1783" i="1"/>
  <c r="L1783" i="1"/>
  <c r="M1783" i="1"/>
  <c r="N1783" i="1"/>
  <c r="O1783" i="1"/>
  <c r="P1783" i="1"/>
  <c r="Q1783" i="1"/>
  <c r="R1783" i="1"/>
  <c r="S1783" i="1"/>
  <c r="T1783" i="1"/>
  <c r="U1783" i="1"/>
  <c r="V1783" i="1"/>
  <c r="AB1783" i="1"/>
  <c r="AI1783" i="1"/>
  <c r="AJ1783" i="1"/>
  <c r="AK1783" i="1"/>
  <c r="AP1783" i="1"/>
  <c r="AR1783" i="1"/>
  <c r="AY1783" i="1"/>
  <c r="BE1783" i="1"/>
  <c r="BF1783" i="1"/>
  <c r="C1784" i="1"/>
  <c r="E1784" i="1"/>
  <c r="F1784" i="1"/>
  <c r="G1784" i="1"/>
  <c r="H1784" i="1"/>
  <c r="L1784" i="1"/>
  <c r="M1784" i="1"/>
  <c r="N1784" i="1"/>
  <c r="O1784" i="1"/>
  <c r="P1784" i="1"/>
  <c r="Q1784" i="1"/>
  <c r="R1784" i="1"/>
  <c r="S1784" i="1"/>
  <c r="T1784" i="1"/>
  <c r="U1784" i="1"/>
  <c r="V1784" i="1"/>
  <c r="AB1784" i="1"/>
  <c r="AI1784" i="1"/>
  <c r="AJ1784" i="1"/>
  <c r="AK1784" i="1"/>
  <c r="AP1784" i="1"/>
  <c r="AR1784" i="1"/>
  <c r="AY1784" i="1"/>
  <c r="BE1784" i="1"/>
  <c r="BF1784" i="1"/>
  <c r="C1785" i="1"/>
  <c r="E1785" i="1"/>
  <c r="F1785" i="1"/>
  <c r="G1785" i="1"/>
  <c r="H1785" i="1"/>
  <c r="L1785" i="1"/>
  <c r="M1785" i="1"/>
  <c r="N1785" i="1"/>
  <c r="O1785" i="1"/>
  <c r="P1785" i="1"/>
  <c r="Q1785" i="1"/>
  <c r="R1785" i="1"/>
  <c r="S1785" i="1"/>
  <c r="T1785" i="1"/>
  <c r="U1785" i="1"/>
  <c r="V1785" i="1"/>
  <c r="AB1785" i="1"/>
  <c r="AI1785" i="1"/>
  <c r="AJ1785" i="1"/>
  <c r="AK1785" i="1"/>
  <c r="AP1785" i="1"/>
  <c r="AR1785" i="1"/>
  <c r="AY1785" i="1"/>
  <c r="BE1785" i="1"/>
  <c r="BF1785" i="1"/>
  <c r="C1786" i="1"/>
  <c r="E1786" i="1"/>
  <c r="F1786" i="1"/>
  <c r="G1786" i="1"/>
  <c r="H1786" i="1"/>
  <c r="L1786" i="1"/>
  <c r="M1786" i="1"/>
  <c r="N1786" i="1"/>
  <c r="O1786" i="1"/>
  <c r="P1786" i="1"/>
  <c r="Q1786" i="1"/>
  <c r="R1786" i="1"/>
  <c r="S1786" i="1"/>
  <c r="T1786" i="1"/>
  <c r="U1786" i="1"/>
  <c r="V1786" i="1"/>
  <c r="AB1786" i="1"/>
  <c r="AI1786" i="1"/>
  <c r="AJ1786" i="1"/>
  <c r="AK1786" i="1"/>
  <c r="AP1786" i="1"/>
  <c r="AR1786" i="1"/>
  <c r="AY1786" i="1"/>
  <c r="BE1786" i="1"/>
  <c r="BF1786" i="1"/>
  <c r="C1787" i="1"/>
  <c r="E1787" i="1"/>
  <c r="F1787" i="1"/>
  <c r="G1787" i="1"/>
  <c r="H1787" i="1"/>
  <c r="L1787" i="1"/>
  <c r="M1787" i="1"/>
  <c r="N1787" i="1"/>
  <c r="O1787" i="1"/>
  <c r="P1787" i="1"/>
  <c r="Q1787" i="1"/>
  <c r="R1787" i="1"/>
  <c r="S1787" i="1"/>
  <c r="T1787" i="1"/>
  <c r="U1787" i="1"/>
  <c r="V1787" i="1"/>
  <c r="AB1787" i="1"/>
  <c r="AI1787" i="1"/>
  <c r="AJ1787" i="1"/>
  <c r="AK1787" i="1"/>
  <c r="AP1787" i="1"/>
  <c r="AR1787" i="1"/>
  <c r="AY1787" i="1"/>
  <c r="BE1787" i="1"/>
  <c r="BF1787" i="1"/>
  <c r="C1788" i="1"/>
  <c r="E1788" i="1"/>
  <c r="F1788" i="1"/>
  <c r="G1788" i="1"/>
  <c r="H1788" i="1"/>
  <c r="L1788" i="1"/>
  <c r="M1788" i="1"/>
  <c r="N1788" i="1"/>
  <c r="O1788" i="1"/>
  <c r="P1788" i="1"/>
  <c r="Q1788" i="1"/>
  <c r="R1788" i="1"/>
  <c r="S1788" i="1"/>
  <c r="T1788" i="1"/>
  <c r="U1788" i="1"/>
  <c r="V1788" i="1"/>
  <c r="AB1788" i="1"/>
  <c r="AI1788" i="1"/>
  <c r="AJ1788" i="1"/>
  <c r="AK1788" i="1"/>
  <c r="AP1788" i="1"/>
  <c r="AR1788" i="1"/>
  <c r="AY1788" i="1"/>
  <c r="BE1788" i="1"/>
  <c r="BF1788" i="1"/>
  <c r="C1789" i="1"/>
  <c r="E1789" i="1"/>
  <c r="F1789" i="1"/>
  <c r="G1789" i="1"/>
  <c r="H1789" i="1"/>
  <c r="L1789" i="1"/>
  <c r="M1789" i="1"/>
  <c r="N1789" i="1"/>
  <c r="O1789" i="1"/>
  <c r="P1789" i="1"/>
  <c r="Q1789" i="1"/>
  <c r="R1789" i="1"/>
  <c r="S1789" i="1"/>
  <c r="T1789" i="1"/>
  <c r="U1789" i="1"/>
  <c r="V1789" i="1"/>
  <c r="AB1789" i="1"/>
  <c r="AI1789" i="1"/>
  <c r="AJ1789" i="1"/>
  <c r="AK1789" i="1"/>
  <c r="AP1789" i="1"/>
  <c r="AR1789" i="1"/>
  <c r="AY1789" i="1"/>
  <c r="BE1789" i="1"/>
  <c r="BF1789" i="1"/>
  <c r="C1790" i="1"/>
  <c r="E1790" i="1"/>
  <c r="F1790" i="1"/>
  <c r="G1790" i="1"/>
  <c r="H1790" i="1"/>
  <c r="L1790" i="1"/>
  <c r="M1790" i="1"/>
  <c r="N1790" i="1"/>
  <c r="O1790" i="1"/>
  <c r="P1790" i="1"/>
  <c r="Q1790" i="1"/>
  <c r="R1790" i="1"/>
  <c r="S1790" i="1"/>
  <c r="T1790" i="1"/>
  <c r="U1790" i="1"/>
  <c r="V1790" i="1"/>
  <c r="AB1790" i="1"/>
  <c r="AI1790" i="1"/>
  <c r="AJ1790" i="1"/>
  <c r="AK1790" i="1"/>
  <c r="AP1790" i="1"/>
  <c r="AR1790" i="1"/>
  <c r="AY1790" i="1"/>
  <c r="BE1790" i="1"/>
  <c r="BF1790" i="1"/>
  <c r="C1791" i="1"/>
  <c r="E1791" i="1"/>
  <c r="F1791" i="1"/>
  <c r="G1791" i="1"/>
  <c r="H1791" i="1"/>
  <c r="L1791" i="1"/>
  <c r="M1791" i="1"/>
  <c r="N1791" i="1"/>
  <c r="O1791" i="1"/>
  <c r="P1791" i="1"/>
  <c r="Q1791" i="1"/>
  <c r="R1791" i="1"/>
  <c r="S1791" i="1"/>
  <c r="T1791" i="1"/>
  <c r="U1791" i="1"/>
  <c r="V1791" i="1"/>
  <c r="AB1791" i="1"/>
  <c r="AI1791" i="1"/>
  <c r="AJ1791" i="1"/>
  <c r="AK1791" i="1"/>
  <c r="AP1791" i="1"/>
  <c r="AR1791" i="1"/>
  <c r="AY1791" i="1"/>
  <c r="BE1791" i="1"/>
  <c r="BF1791" i="1"/>
  <c r="C1792" i="1"/>
  <c r="E1792" i="1"/>
  <c r="F1792" i="1"/>
  <c r="G1792" i="1"/>
  <c r="H1792" i="1"/>
  <c r="L1792" i="1"/>
  <c r="M1792" i="1"/>
  <c r="N1792" i="1"/>
  <c r="O1792" i="1"/>
  <c r="P1792" i="1"/>
  <c r="Q1792" i="1"/>
  <c r="R1792" i="1"/>
  <c r="S1792" i="1"/>
  <c r="T1792" i="1"/>
  <c r="U1792" i="1"/>
  <c r="V1792" i="1"/>
  <c r="AB1792" i="1"/>
  <c r="AI1792" i="1"/>
  <c r="AJ1792" i="1"/>
  <c r="AK1792" i="1"/>
  <c r="AP1792" i="1"/>
  <c r="AR1792" i="1"/>
  <c r="AY1792" i="1"/>
  <c r="BE1792" i="1"/>
  <c r="BF1792" i="1"/>
  <c r="C1793" i="1"/>
  <c r="E1793" i="1"/>
  <c r="F1793" i="1"/>
  <c r="G1793" i="1"/>
  <c r="H1793" i="1"/>
  <c r="L1793" i="1"/>
  <c r="M1793" i="1"/>
  <c r="N1793" i="1"/>
  <c r="O1793" i="1"/>
  <c r="P1793" i="1"/>
  <c r="Q1793" i="1"/>
  <c r="R1793" i="1"/>
  <c r="S1793" i="1"/>
  <c r="T1793" i="1"/>
  <c r="U1793" i="1"/>
  <c r="V1793" i="1"/>
  <c r="AB1793" i="1"/>
  <c r="AI1793" i="1"/>
  <c r="AJ1793" i="1"/>
  <c r="AK1793" i="1"/>
  <c r="AP1793" i="1"/>
  <c r="AR1793" i="1"/>
  <c r="AY1793" i="1"/>
  <c r="BE1793" i="1"/>
  <c r="BF1793" i="1"/>
  <c r="C1794" i="1"/>
  <c r="E1794" i="1"/>
  <c r="F1794" i="1"/>
  <c r="G1794" i="1"/>
  <c r="H1794" i="1"/>
  <c r="L1794" i="1"/>
  <c r="M1794" i="1"/>
  <c r="N1794" i="1"/>
  <c r="O1794" i="1"/>
  <c r="P1794" i="1"/>
  <c r="Q1794" i="1"/>
  <c r="R1794" i="1"/>
  <c r="S1794" i="1"/>
  <c r="T1794" i="1"/>
  <c r="U1794" i="1"/>
  <c r="V1794" i="1"/>
  <c r="AB1794" i="1"/>
  <c r="AI1794" i="1"/>
  <c r="AJ1794" i="1"/>
  <c r="AK1794" i="1"/>
  <c r="AP1794" i="1"/>
  <c r="AR1794" i="1"/>
  <c r="AY1794" i="1"/>
  <c r="BE1794" i="1"/>
  <c r="BF1794" i="1"/>
  <c r="C1795" i="1"/>
  <c r="E1795" i="1"/>
  <c r="F1795" i="1"/>
  <c r="G1795" i="1"/>
  <c r="H1795" i="1"/>
  <c r="L1795" i="1"/>
  <c r="M1795" i="1"/>
  <c r="N1795" i="1"/>
  <c r="O1795" i="1"/>
  <c r="P1795" i="1"/>
  <c r="Q1795" i="1"/>
  <c r="R1795" i="1"/>
  <c r="S1795" i="1"/>
  <c r="T1795" i="1"/>
  <c r="U1795" i="1"/>
  <c r="V1795" i="1"/>
  <c r="AB1795" i="1"/>
  <c r="AI1795" i="1"/>
  <c r="AJ1795" i="1"/>
  <c r="AK1795" i="1"/>
  <c r="AP1795" i="1"/>
  <c r="AR1795" i="1"/>
  <c r="AY1795" i="1"/>
  <c r="BE1795" i="1"/>
  <c r="BF1795" i="1"/>
  <c r="C1796" i="1"/>
  <c r="E1796" i="1"/>
  <c r="F1796" i="1"/>
  <c r="G1796" i="1"/>
  <c r="H1796" i="1"/>
  <c r="L1796" i="1"/>
  <c r="M1796" i="1"/>
  <c r="N1796" i="1"/>
  <c r="O1796" i="1"/>
  <c r="P1796" i="1"/>
  <c r="Q1796" i="1"/>
  <c r="R1796" i="1"/>
  <c r="S1796" i="1"/>
  <c r="T1796" i="1"/>
  <c r="U1796" i="1"/>
  <c r="V1796" i="1"/>
  <c r="AB1796" i="1"/>
  <c r="AI1796" i="1"/>
  <c r="AJ1796" i="1"/>
  <c r="AK1796" i="1"/>
  <c r="AP1796" i="1"/>
  <c r="AR1796" i="1"/>
  <c r="AY1796" i="1"/>
  <c r="BE1796" i="1"/>
  <c r="BF1796" i="1"/>
  <c r="C1797" i="1"/>
  <c r="E1797" i="1"/>
  <c r="F1797" i="1"/>
  <c r="G1797" i="1"/>
  <c r="H1797" i="1"/>
  <c r="L1797" i="1"/>
  <c r="M1797" i="1"/>
  <c r="N1797" i="1"/>
  <c r="O1797" i="1"/>
  <c r="P1797" i="1"/>
  <c r="Q1797" i="1"/>
  <c r="R1797" i="1"/>
  <c r="S1797" i="1"/>
  <c r="T1797" i="1"/>
  <c r="U1797" i="1"/>
  <c r="V1797" i="1"/>
  <c r="AB1797" i="1"/>
  <c r="AI1797" i="1"/>
  <c r="AJ1797" i="1"/>
  <c r="AK1797" i="1"/>
  <c r="AP1797" i="1"/>
  <c r="AR1797" i="1"/>
  <c r="AY1797" i="1"/>
  <c r="BE1797" i="1"/>
  <c r="BF1797" i="1"/>
  <c r="C1798" i="1"/>
  <c r="E1798" i="1"/>
  <c r="F1798" i="1"/>
  <c r="G1798" i="1"/>
  <c r="H1798" i="1"/>
  <c r="L1798" i="1"/>
  <c r="M1798" i="1"/>
  <c r="N1798" i="1"/>
  <c r="O1798" i="1"/>
  <c r="P1798" i="1"/>
  <c r="Q1798" i="1"/>
  <c r="R1798" i="1"/>
  <c r="S1798" i="1"/>
  <c r="T1798" i="1"/>
  <c r="U1798" i="1"/>
  <c r="V1798" i="1"/>
  <c r="AB1798" i="1"/>
  <c r="AI1798" i="1"/>
  <c r="AJ1798" i="1"/>
  <c r="AK1798" i="1"/>
  <c r="AP1798" i="1"/>
  <c r="AR1798" i="1"/>
  <c r="AY1798" i="1"/>
  <c r="BE1798" i="1"/>
  <c r="BF1798" i="1"/>
  <c r="C1799" i="1"/>
  <c r="E1799" i="1"/>
  <c r="F1799" i="1"/>
  <c r="G1799" i="1"/>
  <c r="H1799" i="1"/>
  <c r="L1799" i="1"/>
  <c r="M1799" i="1"/>
  <c r="N1799" i="1"/>
  <c r="O1799" i="1"/>
  <c r="P1799" i="1"/>
  <c r="Q1799" i="1"/>
  <c r="R1799" i="1"/>
  <c r="S1799" i="1"/>
  <c r="T1799" i="1"/>
  <c r="U1799" i="1"/>
  <c r="V1799" i="1"/>
  <c r="AB1799" i="1"/>
  <c r="AI1799" i="1"/>
  <c r="AJ1799" i="1"/>
  <c r="AK1799" i="1"/>
  <c r="AP1799" i="1"/>
  <c r="AR1799" i="1"/>
  <c r="AY1799" i="1"/>
  <c r="BE1799" i="1"/>
  <c r="BF1799" i="1"/>
  <c r="C1800" i="1"/>
  <c r="E1800" i="1"/>
  <c r="F1800" i="1"/>
  <c r="G1800" i="1"/>
  <c r="H1800" i="1"/>
  <c r="L1800" i="1"/>
  <c r="M1800" i="1"/>
  <c r="N1800" i="1"/>
  <c r="O1800" i="1"/>
  <c r="P1800" i="1"/>
  <c r="Q1800" i="1"/>
  <c r="R1800" i="1"/>
  <c r="S1800" i="1"/>
  <c r="T1800" i="1"/>
  <c r="U1800" i="1"/>
  <c r="V1800" i="1"/>
  <c r="AB1800" i="1"/>
  <c r="AI1800" i="1"/>
  <c r="AJ1800" i="1"/>
  <c r="AK1800" i="1"/>
  <c r="AP1800" i="1"/>
  <c r="AR1800" i="1"/>
  <c r="AY1800" i="1"/>
  <c r="BE1800" i="1"/>
  <c r="BF1800" i="1"/>
  <c r="C1801" i="1"/>
  <c r="E1801" i="1"/>
  <c r="F1801" i="1"/>
  <c r="G1801" i="1"/>
  <c r="H1801" i="1"/>
  <c r="L1801" i="1"/>
  <c r="M1801" i="1"/>
  <c r="N1801" i="1"/>
  <c r="O1801" i="1"/>
  <c r="P1801" i="1"/>
  <c r="Q1801" i="1"/>
  <c r="R1801" i="1"/>
  <c r="S1801" i="1"/>
  <c r="T1801" i="1"/>
  <c r="U1801" i="1"/>
  <c r="V1801" i="1"/>
  <c r="AB1801" i="1"/>
  <c r="AI1801" i="1"/>
  <c r="AJ1801" i="1"/>
  <c r="AK1801" i="1"/>
  <c r="AP1801" i="1"/>
  <c r="AR1801" i="1"/>
  <c r="AY1801" i="1"/>
  <c r="BE1801" i="1"/>
  <c r="BF1801" i="1"/>
  <c r="C1802" i="1"/>
  <c r="E1802" i="1"/>
  <c r="F1802" i="1"/>
  <c r="G1802" i="1"/>
  <c r="H1802" i="1"/>
  <c r="L1802" i="1"/>
  <c r="M1802" i="1"/>
  <c r="N1802" i="1"/>
  <c r="O1802" i="1"/>
  <c r="P1802" i="1"/>
  <c r="Q1802" i="1"/>
  <c r="R1802" i="1"/>
  <c r="S1802" i="1"/>
  <c r="T1802" i="1"/>
  <c r="U1802" i="1"/>
  <c r="V1802" i="1"/>
  <c r="AB1802" i="1"/>
  <c r="AI1802" i="1"/>
  <c r="AJ1802" i="1"/>
  <c r="AK1802" i="1"/>
  <c r="AP1802" i="1"/>
  <c r="AR1802" i="1"/>
  <c r="AY1802" i="1"/>
  <c r="BE1802" i="1"/>
  <c r="BF1802" i="1"/>
  <c r="C1803" i="1"/>
  <c r="E1803" i="1"/>
  <c r="F1803" i="1"/>
  <c r="G1803" i="1"/>
  <c r="H1803" i="1"/>
  <c r="L1803" i="1"/>
  <c r="M1803" i="1"/>
  <c r="N1803" i="1"/>
  <c r="O1803" i="1"/>
  <c r="P1803" i="1"/>
  <c r="Q1803" i="1"/>
  <c r="R1803" i="1"/>
  <c r="S1803" i="1"/>
  <c r="T1803" i="1"/>
  <c r="U1803" i="1"/>
  <c r="V1803" i="1"/>
  <c r="AB1803" i="1"/>
  <c r="AI1803" i="1"/>
  <c r="AJ1803" i="1"/>
  <c r="AK1803" i="1"/>
  <c r="AP1803" i="1"/>
  <c r="AR1803" i="1"/>
  <c r="AY1803" i="1"/>
  <c r="BE1803" i="1"/>
  <c r="BF1803" i="1"/>
  <c r="C1804" i="1"/>
  <c r="E1804" i="1"/>
  <c r="F1804" i="1"/>
  <c r="G1804" i="1"/>
  <c r="H1804" i="1"/>
  <c r="L1804" i="1"/>
  <c r="M1804" i="1"/>
  <c r="N1804" i="1"/>
  <c r="O1804" i="1"/>
  <c r="P1804" i="1"/>
  <c r="Q1804" i="1"/>
  <c r="R1804" i="1"/>
  <c r="S1804" i="1"/>
  <c r="T1804" i="1"/>
  <c r="U1804" i="1"/>
  <c r="V1804" i="1"/>
  <c r="AB1804" i="1"/>
  <c r="AI1804" i="1"/>
  <c r="AJ1804" i="1"/>
  <c r="AK1804" i="1"/>
  <c r="AP1804" i="1"/>
  <c r="AR1804" i="1"/>
  <c r="AY1804" i="1"/>
  <c r="BE1804" i="1"/>
  <c r="BF1804" i="1"/>
  <c r="C1805" i="1"/>
  <c r="E1805" i="1"/>
  <c r="F1805" i="1"/>
  <c r="G1805" i="1"/>
  <c r="H1805" i="1"/>
  <c r="L1805" i="1"/>
  <c r="M1805" i="1"/>
  <c r="N1805" i="1"/>
  <c r="O1805" i="1"/>
  <c r="P1805" i="1"/>
  <c r="Q1805" i="1"/>
  <c r="R1805" i="1"/>
  <c r="S1805" i="1"/>
  <c r="T1805" i="1"/>
  <c r="U1805" i="1"/>
  <c r="V1805" i="1"/>
  <c r="AB1805" i="1"/>
  <c r="AI1805" i="1"/>
  <c r="AJ1805" i="1"/>
  <c r="AK1805" i="1"/>
  <c r="AP1805" i="1"/>
  <c r="AR1805" i="1"/>
  <c r="AY1805" i="1"/>
  <c r="BE1805" i="1"/>
  <c r="BF1805" i="1"/>
  <c r="C1806" i="1"/>
  <c r="E1806" i="1"/>
  <c r="F1806" i="1"/>
  <c r="G1806" i="1"/>
  <c r="H1806" i="1"/>
  <c r="L1806" i="1"/>
  <c r="M1806" i="1"/>
  <c r="N1806" i="1"/>
  <c r="O1806" i="1"/>
  <c r="P1806" i="1"/>
  <c r="Q1806" i="1"/>
  <c r="R1806" i="1"/>
  <c r="S1806" i="1"/>
  <c r="T1806" i="1"/>
  <c r="U1806" i="1"/>
  <c r="V1806" i="1"/>
  <c r="AB1806" i="1"/>
  <c r="AI1806" i="1"/>
  <c r="AJ1806" i="1"/>
  <c r="AK1806" i="1"/>
  <c r="AP1806" i="1"/>
  <c r="AR1806" i="1"/>
  <c r="AY1806" i="1"/>
  <c r="BE1806" i="1"/>
  <c r="BF1806" i="1"/>
  <c r="C1807" i="1"/>
  <c r="E1807" i="1"/>
  <c r="F1807" i="1"/>
  <c r="G1807" i="1"/>
  <c r="H1807" i="1"/>
  <c r="L1807" i="1"/>
  <c r="M1807" i="1"/>
  <c r="N1807" i="1"/>
  <c r="O1807" i="1"/>
  <c r="P1807" i="1"/>
  <c r="Q1807" i="1"/>
  <c r="R1807" i="1"/>
  <c r="S1807" i="1"/>
  <c r="T1807" i="1"/>
  <c r="U1807" i="1"/>
  <c r="V1807" i="1"/>
  <c r="AB1807" i="1"/>
  <c r="AI1807" i="1"/>
  <c r="AJ1807" i="1"/>
  <c r="AK1807" i="1"/>
  <c r="AP1807" i="1"/>
  <c r="AR1807" i="1"/>
  <c r="AY1807" i="1"/>
  <c r="BE1807" i="1"/>
  <c r="BF1807" i="1"/>
  <c r="C1808" i="1"/>
  <c r="E1808" i="1"/>
  <c r="F1808" i="1"/>
  <c r="G1808" i="1"/>
  <c r="H1808" i="1"/>
  <c r="L1808" i="1"/>
  <c r="M1808" i="1"/>
  <c r="N1808" i="1"/>
  <c r="O1808" i="1"/>
  <c r="P1808" i="1"/>
  <c r="Q1808" i="1"/>
  <c r="R1808" i="1"/>
  <c r="S1808" i="1"/>
  <c r="T1808" i="1"/>
  <c r="U1808" i="1"/>
  <c r="V1808" i="1"/>
  <c r="AB1808" i="1"/>
  <c r="AI1808" i="1"/>
  <c r="AJ1808" i="1"/>
  <c r="AK1808" i="1"/>
  <c r="AP1808" i="1"/>
  <c r="AR1808" i="1"/>
  <c r="AY1808" i="1"/>
  <c r="BE1808" i="1"/>
  <c r="BF1808" i="1"/>
  <c r="C1809" i="1"/>
  <c r="E1809" i="1"/>
  <c r="F1809" i="1"/>
  <c r="G1809" i="1"/>
  <c r="H1809" i="1"/>
  <c r="L1809" i="1"/>
  <c r="M1809" i="1"/>
  <c r="N1809" i="1"/>
  <c r="O1809" i="1"/>
  <c r="P1809" i="1"/>
  <c r="Q1809" i="1"/>
  <c r="R1809" i="1"/>
  <c r="S1809" i="1"/>
  <c r="T1809" i="1"/>
  <c r="U1809" i="1"/>
  <c r="V1809" i="1"/>
  <c r="AB1809" i="1"/>
  <c r="AI1809" i="1"/>
  <c r="AJ1809" i="1"/>
  <c r="AK1809" i="1"/>
  <c r="AP1809" i="1"/>
  <c r="AR1809" i="1"/>
  <c r="AY1809" i="1"/>
  <c r="BE1809" i="1"/>
  <c r="BF1809" i="1"/>
  <c r="C1810" i="1"/>
  <c r="E1810" i="1"/>
  <c r="F1810" i="1"/>
  <c r="G1810" i="1"/>
  <c r="H1810" i="1"/>
  <c r="L1810" i="1"/>
  <c r="M1810" i="1"/>
  <c r="N1810" i="1"/>
  <c r="O1810" i="1"/>
  <c r="P1810" i="1"/>
  <c r="Q1810" i="1"/>
  <c r="R1810" i="1"/>
  <c r="S1810" i="1"/>
  <c r="T1810" i="1"/>
  <c r="U1810" i="1"/>
  <c r="V1810" i="1"/>
  <c r="AB1810" i="1"/>
  <c r="AI1810" i="1"/>
  <c r="AJ1810" i="1"/>
  <c r="AK1810" i="1"/>
  <c r="AP1810" i="1"/>
  <c r="AR1810" i="1"/>
  <c r="AY1810" i="1"/>
  <c r="BE1810" i="1"/>
  <c r="BF1810" i="1"/>
  <c r="C1811" i="1"/>
  <c r="E1811" i="1"/>
  <c r="F1811" i="1"/>
  <c r="G1811" i="1"/>
  <c r="H1811" i="1"/>
  <c r="L1811" i="1"/>
  <c r="M1811" i="1"/>
  <c r="N1811" i="1"/>
  <c r="O1811" i="1"/>
  <c r="P1811" i="1"/>
  <c r="Q1811" i="1"/>
  <c r="R1811" i="1"/>
  <c r="S1811" i="1"/>
  <c r="T1811" i="1"/>
  <c r="U1811" i="1"/>
  <c r="V1811" i="1"/>
  <c r="AB1811" i="1"/>
  <c r="AI1811" i="1"/>
  <c r="AJ1811" i="1"/>
  <c r="AK1811" i="1"/>
  <c r="AP1811" i="1"/>
  <c r="AR1811" i="1"/>
  <c r="AY1811" i="1"/>
  <c r="BE1811" i="1"/>
  <c r="BF1811" i="1"/>
  <c r="C1812" i="1"/>
  <c r="E1812" i="1"/>
  <c r="F1812" i="1"/>
  <c r="G1812" i="1"/>
  <c r="H1812" i="1"/>
  <c r="L1812" i="1"/>
  <c r="M1812" i="1"/>
  <c r="N1812" i="1"/>
  <c r="O1812" i="1"/>
  <c r="P1812" i="1"/>
  <c r="Q1812" i="1"/>
  <c r="R1812" i="1"/>
  <c r="S1812" i="1"/>
  <c r="T1812" i="1"/>
  <c r="U1812" i="1"/>
  <c r="V1812" i="1"/>
  <c r="AB1812" i="1"/>
  <c r="AI1812" i="1"/>
  <c r="AJ1812" i="1"/>
  <c r="AK1812" i="1"/>
  <c r="AP1812" i="1"/>
  <c r="AR1812" i="1"/>
  <c r="AY1812" i="1"/>
  <c r="BE1812" i="1"/>
  <c r="BF1812" i="1"/>
  <c r="C1813" i="1"/>
  <c r="E1813" i="1"/>
  <c r="F1813" i="1"/>
  <c r="G1813" i="1"/>
  <c r="H1813" i="1"/>
  <c r="L1813" i="1"/>
  <c r="M1813" i="1"/>
  <c r="N1813" i="1"/>
  <c r="O1813" i="1"/>
  <c r="P1813" i="1"/>
  <c r="Q1813" i="1"/>
  <c r="R1813" i="1"/>
  <c r="S1813" i="1"/>
  <c r="T1813" i="1"/>
  <c r="U1813" i="1"/>
  <c r="V1813" i="1"/>
  <c r="AB1813" i="1"/>
  <c r="AI1813" i="1"/>
  <c r="AJ1813" i="1"/>
  <c r="AK1813" i="1"/>
  <c r="AP1813" i="1"/>
  <c r="AR1813" i="1"/>
  <c r="AY1813" i="1"/>
  <c r="BE1813" i="1"/>
  <c r="BF1813" i="1"/>
  <c r="C1814" i="1"/>
  <c r="E1814" i="1"/>
  <c r="F1814" i="1"/>
  <c r="G1814" i="1"/>
  <c r="H1814" i="1"/>
  <c r="L1814" i="1"/>
  <c r="M1814" i="1"/>
  <c r="N1814" i="1"/>
  <c r="O1814" i="1"/>
  <c r="P1814" i="1"/>
  <c r="Q1814" i="1"/>
  <c r="R1814" i="1"/>
  <c r="S1814" i="1"/>
  <c r="T1814" i="1"/>
  <c r="U1814" i="1"/>
  <c r="V1814" i="1"/>
  <c r="AB1814" i="1"/>
  <c r="AI1814" i="1"/>
  <c r="AJ1814" i="1"/>
  <c r="AK1814" i="1"/>
  <c r="AP1814" i="1"/>
  <c r="AR1814" i="1"/>
  <c r="AY1814" i="1"/>
  <c r="BE1814" i="1"/>
  <c r="BF1814" i="1"/>
  <c r="C1815" i="1"/>
  <c r="E1815" i="1"/>
  <c r="F1815" i="1"/>
  <c r="G1815" i="1"/>
  <c r="H1815" i="1"/>
  <c r="L1815" i="1"/>
  <c r="M1815" i="1"/>
  <c r="N1815" i="1"/>
  <c r="O1815" i="1"/>
  <c r="P1815" i="1"/>
  <c r="Q1815" i="1"/>
  <c r="R1815" i="1"/>
  <c r="S1815" i="1"/>
  <c r="T1815" i="1"/>
  <c r="U1815" i="1"/>
  <c r="V1815" i="1"/>
  <c r="AB1815" i="1"/>
  <c r="AI1815" i="1"/>
  <c r="AJ1815" i="1"/>
  <c r="AK1815" i="1"/>
  <c r="AP1815" i="1"/>
  <c r="AR1815" i="1"/>
  <c r="AY1815" i="1"/>
  <c r="BE1815" i="1"/>
  <c r="BF1815" i="1"/>
  <c r="C1816" i="1"/>
  <c r="E1816" i="1"/>
  <c r="F1816" i="1"/>
  <c r="G1816" i="1"/>
  <c r="H1816" i="1"/>
  <c r="L1816" i="1"/>
  <c r="M1816" i="1"/>
  <c r="N1816" i="1"/>
  <c r="O1816" i="1"/>
  <c r="P1816" i="1"/>
  <c r="Q1816" i="1"/>
  <c r="R1816" i="1"/>
  <c r="S1816" i="1"/>
  <c r="T1816" i="1"/>
  <c r="U1816" i="1"/>
  <c r="V1816" i="1"/>
  <c r="AB1816" i="1"/>
  <c r="AI1816" i="1"/>
  <c r="AJ1816" i="1"/>
  <c r="AK1816" i="1"/>
  <c r="AP1816" i="1"/>
  <c r="AR1816" i="1"/>
  <c r="AY1816" i="1"/>
  <c r="BE1816" i="1"/>
  <c r="BF1816" i="1"/>
  <c r="C1817" i="1"/>
  <c r="E1817" i="1"/>
  <c r="F1817" i="1"/>
  <c r="G1817" i="1"/>
  <c r="H1817" i="1"/>
  <c r="L1817" i="1"/>
  <c r="M1817" i="1"/>
  <c r="N1817" i="1"/>
  <c r="O1817" i="1"/>
  <c r="P1817" i="1"/>
  <c r="Q1817" i="1"/>
  <c r="R1817" i="1"/>
  <c r="S1817" i="1"/>
  <c r="T1817" i="1"/>
  <c r="U1817" i="1"/>
  <c r="V1817" i="1"/>
  <c r="AB1817" i="1"/>
  <c r="AI1817" i="1"/>
  <c r="AJ1817" i="1"/>
  <c r="AK1817" i="1"/>
  <c r="AP1817" i="1"/>
  <c r="AR1817" i="1"/>
  <c r="AY1817" i="1"/>
  <c r="BE1817" i="1"/>
  <c r="BF1817" i="1"/>
  <c r="C1818" i="1"/>
  <c r="E1818" i="1"/>
  <c r="F1818" i="1"/>
  <c r="G1818" i="1"/>
  <c r="H1818" i="1"/>
  <c r="L1818" i="1"/>
  <c r="M1818" i="1"/>
  <c r="N1818" i="1"/>
  <c r="O1818" i="1"/>
  <c r="P1818" i="1"/>
  <c r="Q1818" i="1"/>
  <c r="R1818" i="1"/>
  <c r="S1818" i="1"/>
  <c r="T1818" i="1"/>
  <c r="U1818" i="1"/>
  <c r="V1818" i="1"/>
  <c r="AB1818" i="1"/>
  <c r="AI1818" i="1"/>
  <c r="AJ1818" i="1"/>
  <c r="AK1818" i="1"/>
  <c r="AP1818" i="1"/>
  <c r="AR1818" i="1"/>
  <c r="AY1818" i="1"/>
  <c r="BE1818" i="1"/>
  <c r="BF1818" i="1"/>
  <c r="C1819" i="1"/>
  <c r="E1819" i="1"/>
  <c r="F1819" i="1"/>
  <c r="G1819" i="1"/>
  <c r="H1819" i="1"/>
  <c r="L1819" i="1"/>
  <c r="M1819" i="1"/>
  <c r="N1819" i="1"/>
  <c r="O1819" i="1"/>
  <c r="P1819" i="1"/>
  <c r="Q1819" i="1"/>
  <c r="R1819" i="1"/>
  <c r="S1819" i="1"/>
  <c r="T1819" i="1"/>
  <c r="U1819" i="1"/>
  <c r="V1819" i="1"/>
  <c r="AB1819" i="1"/>
  <c r="AI1819" i="1"/>
  <c r="AJ1819" i="1"/>
  <c r="AK1819" i="1"/>
  <c r="AP1819" i="1"/>
  <c r="AR1819" i="1"/>
  <c r="AY1819" i="1"/>
  <c r="BE1819" i="1"/>
  <c r="BF1819" i="1"/>
  <c r="C1820" i="1"/>
  <c r="E1820" i="1"/>
  <c r="F1820" i="1"/>
  <c r="G1820" i="1"/>
  <c r="H1820" i="1"/>
  <c r="L1820" i="1"/>
  <c r="M1820" i="1"/>
  <c r="N1820" i="1"/>
  <c r="O1820" i="1"/>
  <c r="P1820" i="1"/>
  <c r="Q1820" i="1"/>
  <c r="R1820" i="1"/>
  <c r="S1820" i="1"/>
  <c r="T1820" i="1"/>
  <c r="U1820" i="1"/>
  <c r="V1820" i="1"/>
  <c r="AB1820" i="1"/>
  <c r="AI1820" i="1"/>
  <c r="AJ1820" i="1"/>
  <c r="AK1820" i="1"/>
  <c r="AP1820" i="1"/>
  <c r="AR1820" i="1"/>
  <c r="AY1820" i="1"/>
  <c r="BE1820" i="1"/>
  <c r="BF1820" i="1"/>
  <c r="C1821" i="1"/>
  <c r="E1821" i="1"/>
  <c r="F1821" i="1"/>
  <c r="G1821" i="1"/>
  <c r="H1821" i="1"/>
  <c r="L1821" i="1"/>
  <c r="M1821" i="1"/>
  <c r="N1821" i="1"/>
  <c r="O1821" i="1"/>
  <c r="P1821" i="1"/>
  <c r="Q1821" i="1"/>
  <c r="R1821" i="1"/>
  <c r="S1821" i="1"/>
  <c r="T1821" i="1"/>
  <c r="U1821" i="1"/>
  <c r="V1821" i="1"/>
  <c r="AB1821" i="1"/>
  <c r="AI1821" i="1"/>
  <c r="AJ1821" i="1"/>
  <c r="AK1821" i="1"/>
  <c r="AP1821" i="1"/>
  <c r="AR1821" i="1"/>
  <c r="AY1821" i="1"/>
  <c r="BE1821" i="1"/>
  <c r="BF1821" i="1"/>
  <c r="C1822" i="1"/>
  <c r="E1822" i="1"/>
  <c r="F1822" i="1"/>
  <c r="G1822" i="1"/>
  <c r="H1822" i="1"/>
  <c r="L1822" i="1"/>
  <c r="M1822" i="1"/>
  <c r="N1822" i="1"/>
  <c r="O1822" i="1"/>
  <c r="P1822" i="1"/>
  <c r="Q1822" i="1"/>
  <c r="R1822" i="1"/>
  <c r="S1822" i="1"/>
  <c r="T1822" i="1"/>
  <c r="U1822" i="1"/>
  <c r="V1822" i="1"/>
  <c r="AB1822" i="1"/>
  <c r="AI1822" i="1"/>
  <c r="AJ1822" i="1"/>
  <c r="AK1822" i="1"/>
  <c r="AP1822" i="1"/>
  <c r="AR1822" i="1"/>
  <c r="AY1822" i="1"/>
  <c r="BE1822" i="1"/>
  <c r="BF1822" i="1"/>
  <c r="C1823" i="1"/>
  <c r="E1823" i="1"/>
  <c r="F1823" i="1"/>
  <c r="G1823" i="1"/>
  <c r="H1823" i="1"/>
  <c r="L1823" i="1"/>
  <c r="M1823" i="1"/>
  <c r="N1823" i="1"/>
  <c r="O1823" i="1"/>
  <c r="P1823" i="1"/>
  <c r="Q1823" i="1"/>
  <c r="R1823" i="1"/>
  <c r="S1823" i="1"/>
  <c r="T1823" i="1"/>
  <c r="U1823" i="1"/>
  <c r="V1823" i="1"/>
  <c r="AB1823" i="1"/>
  <c r="AI1823" i="1"/>
  <c r="AJ1823" i="1"/>
  <c r="AK1823" i="1"/>
  <c r="AP1823" i="1"/>
  <c r="AR1823" i="1"/>
  <c r="AY1823" i="1"/>
  <c r="BE1823" i="1"/>
  <c r="BF1823" i="1"/>
  <c r="C1824" i="1"/>
  <c r="E1824" i="1"/>
  <c r="F1824" i="1"/>
  <c r="G1824" i="1"/>
  <c r="H1824" i="1"/>
  <c r="L1824" i="1"/>
  <c r="M1824" i="1"/>
  <c r="N1824" i="1"/>
  <c r="O1824" i="1"/>
  <c r="P1824" i="1"/>
  <c r="Q1824" i="1"/>
  <c r="R1824" i="1"/>
  <c r="S1824" i="1"/>
  <c r="T1824" i="1"/>
  <c r="U1824" i="1"/>
  <c r="V1824" i="1"/>
  <c r="AB1824" i="1"/>
  <c r="AI1824" i="1"/>
  <c r="AJ1824" i="1"/>
  <c r="AK1824" i="1"/>
  <c r="AP1824" i="1"/>
  <c r="AR1824" i="1"/>
  <c r="AY1824" i="1"/>
  <c r="BE1824" i="1"/>
  <c r="BF1824" i="1"/>
  <c r="C1825" i="1"/>
  <c r="E1825" i="1"/>
  <c r="F1825" i="1"/>
  <c r="G1825" i="1"/>
  <c r="H1825" i="1"/>
  <c r="L1825" i="1"/>
  <c r="M1825" i="1"/>
  <c r="N1825" i="1"/>
  <c r="O1825" i="1"/>
  <c r="P1825" i="1"/>
  <c r="Q1825" i="1"/>
  <c r="R1825" i="1"/>
  <c r="S1825" i="1"/>
  <c r="T1825" i="1"/>
  <c r="U1825" i="1"/>
  <c r="V1825" i="1"/>
  <c r="AB1825" i="1"/>
  <c r="AI1825" i="1"/>
  <c r="AJ1825" i="1"/>
  <c r="AK1825" i="1"/>
  <c r="AP1825" i="1"/>
  <c r="AR1825" i="1"/>
  <c r="AY1825" i="1"/>
  <c r="BE1825" i="1"/>
  <c r="BF1825" i="1"/>
  <c r="C1826" i="1"/>
  <c r="E1826" i="1"/>
  <c r="F1826" i="1"/>
  <c r="G1826" i="1"/>
  <c r="H1826" i="1"/>
  <c r="L1826" i="1"/>
  <c r="M1826" i="1"/>
  <c r="N1826" i="1"/>
  <c r="O1826" i="1"/>
  <c r="P1826" i="1"/>
  <c r="Q1826" i="1"/>
  <c r="R1826" i="1"/>
  <c r="S1826" i="1"/>
  <c r="T1826" i="1"/>
  <c r="U1826" i="1"/>
  <c r="V1826" i="1"/>
  <c r="AB1826" i="1"/>
  <c r="AI1826" i="1"/>
  <c r="AJ1826" i="1"/>
  <c r="AK1826" i="1"/>
  <c r="AP1826" i="1"/>
  <c r="AR1826" i="1"/>
  <c r="AY1826" i="1"/>
  <c r="BE1826" i="1"/>
  <c r="BF1826" i="1"/>
  <c r="C1827" i="1"/>
  <c r="E1827" i="1"/>
  <c r="F1827" i="1"/>
  <c r="G1827" i="1"/>
  <c r="H1827" i="1"/>
  <c r="L1827" i="1"/>
  <c r="M1827" i="1"/>
  <c r="N1827" i="1"/>
  <c r="O1827" i="1"/>
  <c r="P1827" i="1"/>
  <c r="Q1827" i="1"/>
  <c r="R1827" i="1"/>
  <c r="S1827" i="1"/>
  <c r="T1827" i="1"/>
  <c r="U1827" i="1"/>
  <c r="V1827" i="1"/>
  <c r="AB1827" i="1"/>
  <c r="AI1827" i="1"/>
  <c r="AJ1827" i="1"/>
  <c r="AK1827" i="1"/>
  <c r="AP1827" i="1"/>
  <c r="AR1827" i="1"/>
  <c r="AY1827" i="1"/>
  <c r="BE1827" i="1"/>
  <c r="BF1827" i="1"/>
  <c r="C1828" i="1"/>
  <c r="E1828" i="1"/>
  <c r="F1828" i="1"/>
  <c r="G1828" i="1"/>
  <c r="H1828" i="1"/>
  <c r="L1828" i="1"/>
  <c r="M1828" i="1"/>
  <c r="N1828" i="1"/>
  <c r="O1828" i="1"/>
  <c r="P1828" i="1"/>
  <c r="Q1828" i="1"/>
  <c r="R1828" i="1"/>
  <c r="S1828" i="1"/>
  <c r="T1828" i="1"/>
  <c r="U1828" i="1"/>
  <c r="V1828" i="1"/>
  <c r="AB1828" i="1"/>
  <c r="AI1828" i="1"/>
  <c r="AJ1828" i="1"/>
  <c r="AK1828" i="1"/>
  <c r="AP1828" i="1"/>
  <c r="AR1828" i="1"/>
  <c r="AY1828" i="1"/>
  <c r="BE1828" i="1"/>
  <c r="BF1828" i="1"/>
  <c r="C1829" i="1"/>
  <c r="E1829" i="1"/>
  <c r="F1829" i="1"/>
  <c r="G1829" i="1"/>
  <c r="H1829" i="1"/>
  <c r="L1829" i="1"/>
  <c r="M1829" i="1"/>
  <c r="N1829" i="1"/>
  <c r="O1829" i="1"/>
  <c r="P1829" i="1"/>
  <c r="Q1829" i="1"/>
  <c r="R1829" i="1"/>
  <c r="S1829" i="1"/>
  <c r="T1829" i="1"/>
  <c r="U1829" i="1"/>
  <c r="V1829" i="1"/>
  <c r="AB1829" i="1"/>
  <c r="AI1829" i="1"/>
  <c r="AJ1829" i="1"/>
  <c r="AK1829" i="1"/>
  <c r="AP1829" i="1"/>
  <c r="AR1829" i="1"/>
  <c r="AY1829" i="1"/>
  <c r="BE1829" i="1"/>
  <c r="BF1829" i="1"/>
  <c r="C1830" i="1"/>
  <c r="E1830" i="1"/>
  <c r="F1830" i="1"/>
  <c r="G1830" i="1"/>
  <c r="H1830" i="1"/>
  <c r="L1830" i="1"/>
  <c r="M1830" i="1"/>
  <c r="N1830" i="1"/>
  <c r="O1830" i="1"/>
  <c r="P1830" i="1"/>
  <c r="Q1830" i="1"/>
  <c r="R1830" i="1"/>
  <c r="S1830" i="1"/>
  <c r="T1830" i="1"/>
  <c r="U1830" i="1"/>
  <c r="V1830" i="1"/>
  <c r="AB1830" i="1"/>
  <c r="AI1830" i="1"/>
  <c r="AJ1830" i="1"/>
  <c r="AK1830" i="1"/>
  <c r="AP1830" i="1"/>
  <c r="AR1830" i="1"/>
  <c r="AY1830" i="1"/>
  <c r="BE1830" i="1"/>
  <c r="BF1830" i="1"/>
  <c r="C1831" i="1"/>
  <c r="E1831" i="1"/>
  <c r="F1831" i="1"/>
  <c r="G1831" i="1"/>
  <c r="H1831" i="1"/>
  <c r="L1831" i="1"/>
  <c r="M1831" i="1"/>
  <c r="N1831" i="1"/>
  <c r="O1831" i="1"/>
  <c r="P1831" i="1"/>
  <c r="Q1831" i="1"/>
  <c r="R1831" i="1"/>
  <c r="S1831" i="1"/>
  <c r="T1831" i="1"/>
  <c r="U1831" i="1"/>
  <c r="V1831" i="1"/>
  <c r="AB1831" i="1"/>
  <c r="AI1831" i="1"/>
  <c r="AJ1831" i="1"/>
  <c r="AK1831" i="1"/>
  <c r="AP1831" i="1"/>
  <c r="AR1831" i="1"/>
  <c r="AY1831" i="1"/>
  <c r="BE1831" i="1"/>
  <c r="BF1831" i="1"/>
  <c r="C1832" i="1"/>
  <c r="E1832" i="1"/>
  <c r="F1832" i="1"/>
  <c r="G1832" i="1"/>
  <c r="H1832" i="1"/>
  <c r="L1832" i="1"/>
  <c r="M1832" i="1"/>
  <c r="N1832" i="1"/>
  <c r="O1832" i="1"/>
  <c r="P1832" i="1"/>
  <c r="Q1832" i="1"/>
  <c r="R1832" i="1"/>
  <c r="S1832" i="1"/>
  <c r="T1832" i="1"/>
  <c r="U1832" i="1"/>
  <c r="V1832" i="1"/>
  <c r="AB1832" i="1"/>
  <c r="AI1832" i="1"/>
  <c r="AJ1832" i="1"/>
  <c r="AK1832" i="1"/>
  <c r="AP1832" i="1"/>
  <c r="AR1832" i="1"/>
  <c r="AY1832" i="1"/>
  <c r="BE1832" i="1"/>
  <c r="BF1832" i="1"/>
  <c r="C1833" i="1"/>
  <c r="E1833" i="1"/>
  <c r="F1833" i="1"/>
  <c r="G1833" i="1"/>
  <c r="H1833" i="1"/>
  <c r="L1833" i="1"/>
  <c r="M1833" i="1"/>
  <c r="N1833" i="1"/>
  <c r="O1833" i="1"/>
  <c r="P1833" i="1"/>
  <c r="Q1833" i="1"/>
  <c r="R1833" i="1"/>
  <c r="S1833" i="1"/>
  <c r="T1833" i="1"/>
  <c r="U1833" i="1"/>
  <c r="V1833" i="1"/>
  <c r="AB1833" i="1"/>
  <c r="AI1833" i="1"/>
  <c r="AJ1833" i="1"/>
  <c r="AK1833" i="1"/>
  <c r="AP1833" i="1"/>
  <c r="AR1833" i="1"/>
  <c r="AY1833" i="1"/>
  <c r="BE1833" i="1"/>
  <c r="BF1833" i="1"/>
  <c r="C1834" i="1"/>
  <c r="E1834" i="1"/>
  <c r="F1834" i="1"/>
  <c r="G1834" i="1"/>
  <c r="H1834" i="1"/>
  <c r="L1834" i="1"/>
  <c r="M1834" i="1"/>
  <c r="N1834" i="1"/>
  <c r="O1834" i="1"/>
  <c r="P1834" i="1"/>
  <c r="Q1834" i="1"/>
  <c r="R1834" i="1"/>
  <c r="S1834" i="1"/>
  <c r="T1834" i="1"/>
  <c r="U1834" i="1"/>
  <c r="V1834" i="1"/>
  <c r="AB1834" i="1"/>
  <c r="AI1834" i="1"/>
  <c r="AJ1834" i="1"/>
  <c r="AK1834" i="1"/>
  <c r="AP1834" i="1"/>
  <c r="AR1834" i="1"/>
  <c r="AY1834" i="1"/>
  <c r="BE1834" i="1"/>
  <c r="BF1834" i="1"/>
  <c r="C1835" i="1"/>
  <c r="E1835" i="1"/>
  <c r="F1835" i="1"/>
  <c r="G1835" i="1"/>
  <c r="H1835" i="1"/>
  <c r="L1835" i="1"/>
  <c r="M1835" i="1"/>
  <c r="N1835" i="1"/>
  <c r="O1835" i="1"/>
  <c r="P1835" i="1"/>
  <c r="Q1835" i="1"/>
  <c r="R1835" i="1"/>
  <c r="S1835" i="1"/>
  <c r="T1835" i="1"/>
  <c r="U1835" i="1"/>
  <c r="V1835" i="1"/>
  <c r="AB1835" i="1"/>
  <c r="AI1835" i="1"/>
  <c r="AJ1835" i="1"/>
  <c r="AK1835" i="1"/>
  <c r="AP1835" i="1"/>
  <c r="AR1835" i="1"/>
  <c r="AY1835" i="1"/>
  <c r="BE1835" i="1"/>
  <c r="BF1835" i="1"/>
  <c r="C1836" i="1"/>
  <c r="E1836" i="1"/>
  <c r="F1836" i="1"/>
  <c r="G1836" i="1"/>
  <c r="H1836" i="1"/>
  <c r="L1836" i="1"/>
  <c r="M1836" i="1"/>
  <c r="N1836" i="1"/>
  <c r="O1836" i="1"/>
  <c r="P1836" i="1"/>
  <c r="Q1836" i="1"/>
  <c r="R1836" i="1"/>
  <c r="S1836" i="1"/>
  <c r="T1836" i="1"/>
  <c r="U1836" i="1"/>
  <c r="V1836" i="1"/>
  <c r="AB1836" i="1"/>
  <c r="AI1836" i="1"/>
  <c r="AJ1836" i="1"/>
  <c r="AK1836" i="1"/>
  <c r="AP1836" i="1"/>
  <c r="AR1836" i="1"/>
  <c r="AY1836" i="1"/>
  <c r="BE1836" i="1"/>
  <c r="BF1836" i="1"/>
  <c r="C1837" i="1"/>
  <c r="E1837" i="1"/>
  <c r="F1837" i="1"/>
  <c r="G1837" i="1"/>
  <c r="H1837" i="1"/>
  <c r="L1837" i="1"/>
  <c r="M1837" i="1"/>
  <c r="N1837" i="1"/>
  <c r="O1837" i="1"/>
  <c r="P1837" i="1"/>
  <c r="Q1837" i="1"/>
  <c r="R1837" i="1"/>
  <c r="S1837" i="1"/>
  <c r="T1837" i="1"/>
  <c r="U1837" i="1"/>
  <c r="V1837" i="1"/>
  <c r="AB1837" i="1"/>
  <c r="AI1837" i="1"/>
  <c r="AJ1837" i="1"/>
  <c r="AK1837" i="1"/>
  <c r="AP1837" i="1"/>
  <c r="AR1837" i="1"/>
  <c r="AY1837" i="1"/>
  <c r="BE1837" i="1"/>
  <c r="BF1837" i="1"/>
  <c r="C1838" i="1"/>
  <c r="E1838" i="1"/>
  <c r="F1838" i="1"/>
  <c r="G1838" i="1"/>
  <c r="H1838" i="1"/>
  <c r="L1838" i="1"/>
  <c r="M1838" i="1"/>
  <c r="N1838" i="1"/>
  <c r="O1838" i="1"/>
  <c r="P1838" i="1"/>
  <c r="Q1838" i="1"/>
  <c r="R1838" i="1"/>
  <c r="S1838" i="1"/>
  <c r="T1838" i="1"/>
  <c r="U1838" i="1"/>
  <c r="V1838" i="1"/>
  <c r="AB1838" i="1"/>
  <c r="AI1838" i="1"/>
  <c r="AJ1838" i="1"/>
  <c r="AK1838" i="1"/>
  <c r="AP1838" i="1"/>
  <c r="AR1838" i="1"/>
  <c r="AY1838" i="1"/>
  <c r="BE1838" i="1"/>
  <c r="BF1838" i="1"/>
  <c r="C1839" i="1"/>
  <c r="E1839" i="1"/>
  <c r="F1839" i="1"/>
  <c r="G1839" i="1"/>
  <c r="H1839" i="1"/>
  <c r="L1839" i="1"/>
  <c r="M1839" i="1"/>
  <c r="N1839" i="1"/>
  <c r="O1839" i="1"/>
  <c r="P1839" i="1"/>
  <c r="Q1839" i="1"/>
  <c r="R1839" i="1"/>
  <c r="S1839" i="1"/>
  <c r="T1839" i="1"/>
  <c r="U1839" i="1"/>
  <c r="V1839" i="1"/>
  <c r="AB1839" i="1"/>
  <c r="AI1839" i="1"/>
  <c r="AJ1839" i="1"/>
  <c r="AK1839" i="1"/>
  <c r="AP1839" i="1"/>
  <c r="AR1839" i="1"/>
  <c r="AY1839" i="1"/>
  <c r="BE1839" i="1"/>
  <c r="BF1839" i="1"/>
  <c r="C1840" i="1"/>
  <c r="E1840" i="1"/>
  <c r="F1840" i="1"/>
  <c r="G1840" i="1"/>
  <c r="H1840" i="1"/>
  <c r="L1840" i="1"/>
  <c r="M1840" i="1"/>
  <c r="N1840" i="1"/>
  <c r="O1840" i="1"/>
  <c r="P1840" i="1"/>
  <c r="Q1840" i="1"/>
  <c r="R1840" i="1"/>
  <c r="S1840" i="1"/>
  <c r="T1840" i="1"/>
  <c r="U1840" i="1"/>
  <c r="V1840" i="1"/>
  <c r="AB1840" i="1"/>
  <c r="AI1840" i="1"/>
  <c r="AJ1840" i="1"/>
  <c r="AK1840" i="1"/>
  <c r="AP1840" i="1"/>
  <c r="AR1840" i="1"/>
  <c r="AY1840" i="1"/>
  <c r="BE1840" i="1"/>
  <c r="BF1840" i="1"/>
  <c r="C1841" i="1"/>
  <c r="E1841" i="1"/>
  <c r="F1841" i="1"/>
  <c r="G1841" i="1"/>
  <c r="H1841" i="1"/>
  <c r="L1841" i="1"/>
  <c r="M1841" i="1"/>
  <c r="N1841" i="1"/>
  <c r="O1841" i="1"/>
  <c r="P1841" i="1"/>
  <c r="Q1841" i="1"/>
  <c r="R1841" i="1"/>
  <c r="S1841" i="1"/>
  <c r="T1841" i="1"/>
  <c r="U1841" i="1"/>
  <c r="V1841" i="1"/>
  <c r="AB1841" i="1"/>
  <c r="AI1841" i="1"/>
  <c r="AJ1841" i="1"/>
  <c r="AK1841" i="1"/>
  <c r="AP1841" i="1"/>
  <c r="AR1841" i="1"/>
  <c r="AY1841" i="1"/>
  <c r="BE1841" i="1"/>
  <c r="BF1841" i="1"/>
  <c r="C1842" i="1"/>
  <c r="E1842" i="1"/>
  <c r="F1842" i="1"/>
  <c r="G1842" i="1"/>
  <c r="H1842" i="1"/>
  <c r="L1842" i="1"/>
  <c r="M1842" i="1"/>
  <c r="N1842" i="1"/>
  <c r="O1842" i="1"/>
  <c r="P1842" i="1"/>
  <c r="Q1842" i="1"/>
  <c r="R1842" i="1"/>
  <c r="S1842" i="1"/>
  <c r="T1842" i="1"/>
  <c r="U1842" i="1"/>
  <c r="V1842" i="1"/>
  <c r="AB1842" i="1"/>
  <c r="AI1842" i="1"/>
  <c r="AJ1842" i="1"/>
  <c r="AK1842" i="1"/>
  <c r="AP1842" i="1"/>
  <c r="AR1842" i="1"/>
  <c r="AY1842" i="1"/>
  <c r="BE1842" i="1"/>
  <c r="BF1842" i="1"/>
  <c r="C1843" i="1"/>
  <c r="E1843" i="1"/>
  <c r="F1843" i="1"/>
  <c r="G1843" i="1"/>
  <c r="H1843" i="1"/>
  <c r="L1843" i="1"/>
  <c r="M1843" i="1"/>
  <c r="N1843" i="1"/>
  <c r="O1843" i="1"/>
  <c r="P1843" i="1"/>
  <c r="Q1843" i="1"/>
  <c r="R1843" i="1"/>
  <c r="S1843" i="1"/>
  <c r="T1843" i="1"/>
  <c r="U1843" i="1"/>
  <c r="V1843" i="1"/>
  <c r="AB1843" i="1"/>
  <c r="AI1843" i="1"/>
  <c r="AJ1843" i="1"/>
  <c r="AK1843" i="1"/>
  <c r="AP1843" i="1"/>
  <c r="AR1843" i="1"/>
  <c r="AY1843" i="1"/>
  <c r="BE1843" i="1"/>
  <c r="BF1843" i="1"/>
  <c r="C1844" i="1"/>
  <c r="E1844" i="1"/>
  <c r="F1844" i="1"/>
  <c r="G1844" i="1"/>
  <c r="H1844" i="1"/>
  <c r="L1844" i="1"/>
  <c r="M1844" i="1"/>
  <c r="N1844" i="1"/>
  <c r="O1844" i="1"/>
  <c r="P1844" i="1"/>
  <c r="Q1844" i="1"/>
  <c r="R1844" i="1"/>
  <c r="S1844" i="1"/>
  <c r="T1844" i="1"/>
  <c r="U1844" i="1"/>
  <c r="V1844" i="1"/>
  <c r="AB1844" i="1"/>
  <c r="AI1844" i="1"/>
  <c r="AJ1844" i="1"/>
  <c r="AK1844" i="1"/>
  <c r="AP1844" i="1"/>
  <c r="AR1844" i="1"/>
  <c r="AY1844" i="1"/>
  <c r="BE1844" i="1"/>
  <c r="BF1844" i="1"/>
  <c r="C1845" i="1"/>
  <c r="E1845" i="1"/>
  <c r="F1845" i="1"/>
  <c r="G1845" i="1"/>
  <c r="H1845" i="1"/>
  <c r="L1845" i="1"/>
  <c r="M1845" i="1"/>
  <c r="N1845" i="1"/>
  <c r="O1845" i="1"/>
  <c r="P1845" i="1"/>
  <c r="Q1845" i="1"/>
  <c r="R1845" i="1"/>
  <c r="S1845" i="1"/>
  <c r="T1845" i="1"/>
  <c r="U1845" i="1"/>
  <c r="V1845" i="1"/>
  <c r="AB1845" i="1"/>
  <c r="AI1845" i="1"/>
  <c r="AJ1845" i="1"/>
  <c r="AK1845" i="1"/>
  <c r="AP1845" i="1"/>
  <c r="AR1845" i="1"/>
  <c r="AY1845" i="1"/>
  <c r="BE1845" i="1"/>
  <c r="BF1845" i="1"/>
  <c r="C1846" i="1"/>
  <c r="E1846" i="1"/>
  <c r="F1846" i="1"/>
  <c r="G1846" i="1"/>
  <c r="H1846" i="1"/>
  <c r="L1846" i="1"/>
  <c r="M1846" i="1"/>
  <c r="N1846" i="1"/>
  <c r="O1846" i="1"/>
  <c r="P1846" i="1"/>
  <c r="Q1846" i="1"/>
  <c r="R1846" i="1"/>
  <c r="S1846" i="1"/>
  <c r="T1846" i="1"/>
  <c r="U1846" i="1"/>
  <c r="V1846" i="1"/>
  <c r="AB1846" i="1"/>
  <c r="AI1846" i="1"/>
  <c r="AJ1846" i="1"/>
  <c r="AK1846" i="1"/>
  <c r="AP1846" i="1"/>
  <c r="AR1846" i="1"/>
  <c r="AY1846" i="1"/>
  <c r="BE1846" i="1"/>
  <c r="BF1846" i="1"/>
  <c r="C1847" i="1"/>
  <c r="E1847" i="1"/>
  <c r="F1847" i="1"/>
  <c r="G1847" i="1"/>
  <c r="H1847" i="1"/>
  <c r="L1847" i="1"/>
  <c r="M1847" i="1"/>
  <c r="N1847" i="1"/>
  <c r="O1847" i="1"/>
  <c r="P1847" i="1"/>
  <c r="Q1847" i="1"/>
  <c r="R1847" i="1"/>
  <c r="S1847" i="1"/>
  <c r="T1847" i="1"/>
  <c r="U1847" i="1"/>
  <c r="V1847" i="1"/>
  <c r="AB1847" i="1"/>
  <c r="AI1847" i="1"/>
  <c r="AJ1847" i="1"/>
  <c r="AK1847" i="1"/>
  <c r="AP1847" i="1"/>
  <c r="AR1847" i="1"/>
  <c r="AY1847" i="1"/>
  <c r="BE1847" i="1"/>
  <c r="BF1847" i="1"/>
  <c r="C1848" i="1"/>
  <c r="E1848" i="1"/>
  <c r="F1848" i="1"/>
  <c r="G1848" i="1"/>
  <c r="H1848" i="1"/>
  <c r="L1848" i="1"/>
  <c r="M1848" i="1"/>
  <c r="N1848" i="1"/>
  <c r="O1848" i="1"/>
  <c r="P1848" i="1"/>
  <c r="Q1848" i="1"/>
  <c r="R1848" i="1"/>
  <c r="S1848" i="1"/>
  <c r="T1848" i="1"/>
  <c r="U1848" i="1"/>
  <c r="V1848" i="1"/>
  <c r="AB1848" i="1"/>
  <c r="AI1848" i="1"/>
  <c r="AJ1848" i="1"/>
  <c r="AK1848" i="1"/>
  <c r="AP1848" i="1"/>
  <c r="AR1848" i="1"/>
  <c r="AY1848" i="1"/>
  <c r="BE1848" i="1"/>
  <c r="BF1848" i="1"/>
  <c r="C1849" i="1"/>
  <c r="E1849" i="1"/>
  <c r="F1849" i="1"/>
  <c r="G1849" i="1"/>
  <c r="H1849" i="1"/>
  <c r="L1849" i="1"/>
  <c r="M1849" i="1"/>
  <c r="N1849" i="1"/>
  <c r="O1849" i="1"/>
  <c r="P1849" i="1"/>
  <c r="Q1849" i="1"/>
  <c r="R1849" i="1"/>
  <c r="S1849" i="1"/>
  <c r="T1849" i="1"/>
  <c r="U1849" i="1"/>
  <c r="V1849" i="1"/>
  <c r="AB1849" i="1"/>
  <c r="AI1849" i="1"/>
  <c r="AJ1849" i="1"/>
  <c r="AK1849" i="1"/>
  <c r="AP1849" i="1"/>
  <c r="AR1849" i="1"/>
  <c r="AY1849" i="1"/>
  <c r="BE1849" i="1"/>
  <c r="BF1849" i="1"/>
  <c r="C1850" i="1"/>
  <c r="E1850" i="1"/>
  <c r="F1850" i="1"/>
  <c r="G1850" i="1"/>
  <c r="H1850" i="1"/>
  <c r="L1850" i="1"/>
  <c r="M1850" i="1"/>
  <c r="N1850" i="1"/>
  <c r="O1850" i="1"/>
  <c r="P1850" i="1"/>
  <c r="Q1850" i="1"/>
  <c r="R1850" i="1"/>
  <c r="S1850" i="1"/>
  <c r="T1850" i="1"/>
  <c r="U1850" i="1"/>
  <c r="V1850" i="1"/>
  <c r="AB1850" i="1"/>
  <c r="AI1850" i="1"/>
  <c r="AJ1850" i="1"/>
  <c r="AK1850" i="1"/>
  <c r="AP1850" i="1"/>
  <c r="AR1850" i="1"/>
  <c r="AY1850" i="1"/>
  <c r="BE1850" i="1"/>
  <c r="BF1850" i="1"/>
  <c r="C1851" i="1"/>
  <c r="E1851" i="1"/>
  <c r="F1851" i="1"/>
  <c r="G1851" i="1"/>
  <c r="H1851" i="1"/>
  <c r="L1851" i="1"/>
  <c r="M1851" i="1"/>
  <c r="N1851" i="1"/>
  <c r="O1851" i="1"/>
  <c r="P1851" i="1"/>
  <c r="Q1851" i="1"/>
  <c r="R1851" i="1"/>
  <c r="S1851" i="1"/>
  <c r="T1851" i="1"/>
  <c r="U1851" i="1"/>
  <c r="V1851" i="1"/>
  <c r="AB1851" i="1"/>
  <c r="AI1851" i="1"/>
  <c r="AJ1851" i="1"/>
  <c r="AK1851" i="1"/>
  <c r="AP1851" i="1"/>
  <c r="AR1851" i="1"/>
  <c r="AY1851" i="1"/>
  <c r="BE1851" i="1"/>
  <c r="BF1851" i="1"/>
  <c r="C1852" i="1"/>
  <c r="E1852" i="1"/>
  <c r="F1852" i="1"/>
  <c r="G1852" i="1"/>
  <c r="H1852" i="1"/>
  <c r="L1852" i="1"/>
  <c r="M1852" i="1"/>
  <c r="N1852" i="1"/>
  <c r="O1852" i="1"/>
  <c r="P1852" i="1"/>
  <c r="Q1852" i="1"/>
  <c r="R1852" i="1"/>
  <c r="S1852" i="1"/>
  <c r="T1852" i="1"/>
  <c r="U1852" i="1"/>
  <c r="V1852" i="1"/>
  <c r="AB1852" i="1"/>
  <c r="AI1852" i="1"/>
  <c r="AJ1852" i="1"/>
  <c r="AK1852" i="1"/>
  <c r="AP1852" i="1"/>
  <c r="AR1852" i="1"/>
  <c r="AY1852" i="1"/>
  <c r="BE1852" i="1"/>
  <c r="BF1852" i="1"/>
  <c r="C1853" i="1"/>
  <c r="E1853" i="1"/>
  <c r="F1853" i="1"/>
  <c r="G1853" i="1"/>
  <c r="H1853" i="1"/>
  <c r="L1853" i="1"/>
  <c r="M1853" i="1"/>
  <c r="N1853" i="1"/>
  <c r="O1853" i="1"/>
  <c r="P1853" i="1"/>
  <c r="Q1853" i="1"/>
  <c r="R1853" i="1"/>
  <c r="S1853" i="1"/>
  <c r="T1853" i="1"/>
  <c r="U1853" i="1"/>
  <c r="V1853" i="1"/>
  <c r="AB1853" i="1"/>
  <c r="AI1853" i="1"/>
  <c r="AJ1853" i="1"/>
  <c r="AK1853" i="1"/>
  <c r="AP1853" i="1"/>
  <c r="AR1853" i="1"/>
  <c r="AY1853" i="1"/>
  <c r="BE1853" i="1"/>
  <c r="BF1853" i="1"/>
  <c r="C1854" i="1"/>
  <c r="E1854" i="1"/>
  <c r="F1854" i="1"/>
  <c r="G1854" i="1"/>
  <c r="H1854" i="1"/>
  <c r="L1854" i="1"/>
  <c r="M1854" i="1"/>
  <c r="N1854" i="1"/>
  <c r="O1854" i="1"/>
  <c r="P1854" i="1"/>
  <c r="Q1854" i="1"/>
  <c r="R1854" i="1"/>
  <c r="S1854" i="1"/>
  <c r="T1854" i="1"/>
  <c r="U1854" i="1"/>
  <c r="V1854" i="1"/>
  <c r="AB1854" i="1"/>
  <c r="AI1854" i="1"/>
  <c r="AJ1854" i="1"/>
  <c r="AK1854" i="1"/>
  <c r="AP1854" i="1"/>
  <c r="AR1854" i="1"/>
  <c r="AY1854" i="1"/>
  <c r="BE1854" i="1"/>
  <c r="BF1854" i="1"/>
  <c r="C1855" i="1"/>
  <c r="E1855" i="1"/>
  <c r="F1855" i="1"/>
  <c r="G1855" i="1"/>
  <c r="H1855" i="1"/>
  <c r="L1855" i="1"/>
  <c r="M1855" i="1"/>
  <c r="N1855" i="1"/>
  <c r="O1855" i="1"/>
  <c r="P1855" i="1"/>
  <c r="Q1855" i="1"/>
  <c r="R1855" i="1"/>
  <c r="S1855" i="1"/>
  <c r="T1855" i="1"/>
  <c r="U1855" i="1"/>
  <c r="V1855" i="1"/>
  <c r="AB1855" i="1"/>
  <c r="AI1855" i="1"/>
  <c r="AJ1855" i="1"/>
  <c r="AK1855" i="1"/>
  <c r="AP1855" i="1"/>
  <c r="AR1855" i="1"/>
  <c r="AY1855" i="1"/>
  <c r="BE1855" i="1"/>
  <c r="BF1855" i="1"/>
  <c r="C1856" i="1"/>
  <c r="E1856" i="1"/>
  <c r="F1856" i="1"/>
  <c r="G1856" i="1"/>
  <c r="H1856" i="1"/>
  <c r="L1856" i="1"/>
  <c r="M1856" i="1"/>
  <c r="N1856" i="1"/>
  <c r="O1856" i="1"/>
  <c r="P1856" i="1"/>
  <c r="Q1856" i="1"/>
  <c r="R1856" i="1"/>
  <c r="S1856" i="1"/>
  <c r="T1856" i="1"/>
  <c r="U1856" i="1"/>
  <c r="V1856" i="1"/>
  <c r="AB1856" i="1"/>
  <c r="AI1856" i="1"/>
  <c r="AJ1856" i="1"/>
  <c r="AK1856" i="1"/>
  <c r="AP1856" i="1"/>
  <c r="AR1856" i="1"/>
  <c r="AY1856" i="1"/>
  <c r="BE1856" i="1"/>
  <c r="BF1856" i="1"/>
  <c r="C1857" i="1"/>
  <c r="E1857" i="1"/>
  <c r="F1857" i="1"/>
  <c r="G1857" i="1"/>
  <c r="H1857" i="1"/>
  <c r="L1857" i="1"/>
  <c r="M1857" i="1"/>
  <c r="N1857" i="1"/>
  <c r="O1857" i="1"/>
  <c r="P1857" i="1"/>
  <c r="Q1857" i="1"/>
  <c r="R1857" i="1"/>
  <c r="S1857" i="1"/>
  <c r="T1857" i="1"/>
  <c r="U1857" i="1"/>
  <c r="V1857" i="1"/>
  <c r="AB1857" i="1"/>
  <c r="AI1857" i="1"/>
  <c r="AJ1857" i="1"/>
  <c r="AK1857" i="1"/>
  <c r="AP1857" i="1"/>
  <c r="AR1857" i="1"/>
  <c r="AY1857" i="1"/>
  <c r="BE1857" i="1"/>
  <c r="BF1857" i="1"/>
  <c r="C1858" i="1"/>
  <c r="E1858" i="1"/>
  <c r="F1858" i="1"/>
  <c r="G1858" i="1"/>
  <c r="H1858" i="1"/>
  <c r="L1858" i="1"/>
  <c r="M1858" i="1"/>
  <c r="N1858" i="1"/>
  <c r="O1858" i="1"/>
  <c r="P1858" i="1"/>
  <c r="Q1858" i="1"/>
  <c r="R1858" i="1"/>
  <c r="S1858" i="1"/>
  <c r="T1858" i="1"/>
  <c r="U1858" i="1"/>
  <c r="V1858" i="1"/>
  <c r="AB1858" i="1"/>
  <c r="AI1858" i="1"/>
  <c r="AJ1858" i="1"/>
  <c r="AK1858" i="1"/>
  <c r="AP1858" i="1"/>
  <c r="AR1858" i="1"/>
  <c r="AY1858" i="1"/>
  <c r="BE1858" i="1"/>
  <c r="BF1858" i="1"/>
  <c r="C1859" i="1"/>
  <c r="E1859" i="1"/>
  <c r="F1859" i="1"/>
  <c r="G1859" i="1"/>
  <c r="H1859" i="1"/>
  <c r="L1859" i="1"/>
  <c r="M1859" i="1"/>
  <c r="N1859" i="1"/>
  <c r="O1859" i="1"/>
  <c r="P1859" i="1"/>
  <c r="Q1859" i="1"/>
  <c r="R1859" i="1"/>
  <c r="S1859" i="1"/>
  <c r="T1859" i="1"/>
  <c r="U1859" i="1"/>
  <c r="V1859" i="1"/>
  <c r="AB1859" i="1"/>
  <c r="AI1859" i="1"/>
  <c r="AJ1859" i="1"/>
  <c r="AK1859" i="1"/>
  <c r="AP1859" i="1"/>
  <c r="AR1859" i="1"/>
  <c r="AY1859" i="1"/>
  <c r="BE1859" i="1"/>
  <c r="BF1859" i="1"/>
  <c r="C1860" i="1"/>
  <c r="E1860" i="1"/>
  <c r="F1860" i="1"/>
  <c r="G1860" i="1"/>
  <c r="H1860" i="1"/>
  <c r="L1860" i="1"/>
  <c r="M1860" i="1"/>
  <c r="N1860" i="1"/>
  <c r="O1860" i="1"/>
  <c r="P1860" i="1"/>
  <c r="Q1860" i="1"/>
  <c r="R1860" i="1"/>
  <c r="S1860" i="1"/>
  <c r="T1860" i="1"/>
  <c r="U1860" i="1"/>
  <c r="V1860" i="1"/>
  <c r="AB1860" i="1"/>
  <c r="AI1860" i="1"/>
  <c r="AJ1860" i="1"/>
  <c r="AK1860" i="1"/>
  <c r="AP1860" i="1"/>
  <c r="AR1860" i="1"/>
  <c r="AY1860" i="1"/>
  <c r="BE1860" i="1"/>
  <c r="BF1860" i="1"/>
  <c r="C1861" i="1"/>
  <c r="E1861" i="1"/>
  <c r="F1861" i="1"/>
  <c r="G1861" i="1"/>
  <c r="H1861" i="1"/>
  <c r="L1861" i="1"/>
  <c r="M1861" i="1"/>
  <c r="N1861" i="1"/>
  <c r="O1861" i="1"/>
  <c r="P1861" i="1"/>
  <c r="Q1861" i="1"/>
  <c r="R1861" i="1"/>
  <c r="S1861" i="1"/>
  <c r="T1861" i="1"/>
  <c r="U1861" i="1"/>
  <c r="V1861" i="1"/>
  <c r="AB1861" i="1"/>
  <c r="AI1861" i="1"/>
  <c r="AJ1861" i="1"/>
  <c r="AK1861" i="1"/>
  <c r="AP1861" i="1"/>
  <c r="AR1861" i="1"/>
  <c r="AY1861" i="1"/>
  <c r="BE1861" i="1"/>
  <c r="BF1861" i="1"/>
  <c r="C1862" i="1"/>
  <c r="E1862" i="1"/>
  <c r="F1862" i="1"/>
  <c r="G1862" i="1"/>
  <c r="H1862" i="1"/>
  <c r="L1862" i="1"/>
  <c r="M1862" i="1"/>
  <c r="N1862" i="1"/>
  <c r="O1862" i="1"/>
  <c r="P1862" i="1"/>
  <c r="Q1862" i="1"/>
  <c r="R1862" i="1"/>
  <c r="S1862" i="1"/>
  <c r="T1862" i="1"/>
  <c r="U1862" i="1"/>
  <c r="V1862" i="1"/>
  <c r="AB1862" i="1"/>
  <c r="AI1862" i="1"/>
  <c r="AJ1862" i="1"/>
  <c r="AK1862" i="1"/>
  <c r="AP1862" i="1"/>
  <c r="AR1862" i="1"/>
  <c r="AY1862" i="1"/>
  <c r="BE1862" i="1"/>
  <c r="BF1862" i="1"/>
  <c r="C1863" i="1"/>
  <c r="E1863" i="1"/>
  <c r="F1863" i="1"/>
  <c r="G1863" i="1"/>
  <c r="H1863" i="1"/>
  <c r="L1863" i="1"/>
  <c r="M1863" i="1"/>
  <c r="N1863" i="1"/>
  <c r="O1863" i="1"/>
  <c r="P1863" i="1"/>
  <c r="Q1863" i="1"/>
  <c r="R1863" i="1"/>
  <c r="S1863" i="1"/>
  <c r="T1863" i="1"/>
  <c r="U1863" i="1"/>
  <c r="V1863" i="1"/>
  <c r="AB1863" i="1"/>
  <c r="AI1863" i="1"/>
  <c r="AJ1863" i="1"/>
  <c r="AK1863" i="1"/>
  <c r="AP1863" i="1"/>
  <c r="AR1863" i="1"/>
  <c r="AY1863" i="1"/>
  <c r="BE1863" i="1"/>
  <c r="BF1863" i="1"/>
  <c r="C1864" i="1"/>
  <c r="E1864" i="1"/>
  <c r="F1864" i="1"/>
  <c r="G1864" i="1"/>
  <c r="H1864" i="1"/>
  <c r="L1864" i="1"/>
  <c r="M1864" i="1"/>
  <c r="N1864" i="1"/>
  <c r="O1864" i="1"/>
  <c r="P1864" i="1"/>
  <c r="Q1864" i="1"/>
  <c r="R1864" i="1"/>
  <c r="S1864" i="1"/>
  <c r="T1864" i="1"/>
  <c r="U1864" i="1"/>
  <c r="V1864" i="1"/>
  <c r="AB1864" i="1"/>
  <c r="AI1864" i="1"/>
  <c r="AJ1864" i="1"/>
  <c r="AK1864" i="1"/>
  <c r="AP1864" i="1"/>
  <c r="AR1864" i="1"/>
  <c r="AY1864" i="1"/>
  <c r="BE1864" i="1"/>
  <c r="BF1864" i="1"/>
  <c r="C1865" i="1"/>
  <c r="E1865" i="1"/>
  <c r="F1865" i="1"/>
  <c r="G1865" i="1"/>
  <c r="H1865" i="1"/>
  <c r="L1865" i="1"/>
  <c r="M1865" i="1"/>
  <c r="N1865" i="1"/>
  <c r="O1865" i="1"/>
  <c r="P1865" i="1"/>
  <c r="Q1865" i="1"/>
  <c r="R1865" i="1"/>
  <c r="S1865" i="1"/>
  <c r="T1865" i="1"/>
  <c r="U1865" i="1"/>
  <c r="V1865" i="1"/>
  <c r="AB1865" i="1"/>
  <c r="AI1865" i="1"/>
  <c r="AJ1865" i="1"/>
  <c r="AK1865" i="1"/>
  <c r="AP1865" i="1"/>
  <c r="AR1865" i="1"/>
  <c r="AY1865" i="1"/>
  <c r="BE1865" i="1"/>
  <c r="BF1865" i="1"/>
  <c r="C1866" i="1"/>
  <c r="E1866" i="1"/>
  <c r="F1866" i="1"/>
  <c r="G1866" i="1"/>
  <c r="H1866" i="1"/>
  <c r="L1866" i="1"/>
  <c r="M1866" i="1"/>
  <c r="N1866" i="1"/>
  <c r="O1866" i="1"/>
  <c r="P1866" i="1"/>
  <c r="Q1866" i="1"/>
  <c r="R1866" i="1"/>
  <c r="S1866" i="1"/>
  <c r="T1866" i="1"/>
  <c r="U1866" i="1"/>
  <c r="V1866" i="1"/>
  <c r="AB1866" i="1"/>
  <c r="AI1866" i="1"/>
  <c r="AJ1866" i="1"/>
  <c r="AK1866" i="1"/>
  <c r="AP1866" i="1"/>
  <c r="AR1866" i="1"/>
  <c r="AY1866" i="1"/>
  <c r="BE1866" i="1"/>
  <c r="BF1866" i="1"/>
  <c r="C1867" i="1"/>
  <c r="E1867" i="1"/>
  <c r="F1867" i="1"/>
  <c r="G1867" i="1"/>
  <c r="H1867" i="1"/>
  <c r="L1867" i="1"/>
  <c r="M1867" i="1"/>
  <c r="N1867" i="1"/>
  <c r="O1867" i="1"/>
  <c r="P1867" i="1"/>
  <c r="Q1867" i="1"/>
  <c r="R1867" i="1"/>
  <c r="S1867" i="1"/>
  <c r="T1867" i="1"/>
  <c r="U1867" i="1"/>
  <c r="V1867" i="1"/>
  <c r="AB1867" i="1"/>
  <c r="AI1867" i="1"/>
  <c r="AJ1867" i="1"/>
  <c r="AK1867" i="1"/>
  <c r="AP1867" i="1"/>
  <c r="AR1867" i="1"/>
  <c r="AY1867" i="1"/>
  <c r="BE1867" i="1"/>
  <c r="BF1867" i="1"/>
  <c r="C1868" i="1"/>
  <c r="E1868" i="1"/>
  <c r="F1868" i="1"/>
  <c r="G1868" i="1"/>
  <c r="H1868" i="1"/>
  <c r="L1868" i="1"/>
  <c r="M1868" i="1"/>
  <c r="N1868" i="1"/>
  <c r="O1868" i="1"/>
  <c r="P1868" i="1"/>
  <c r="Q1868" i="1"/>
  <c r="R1868" i="1"/>
  <c r="S1868" i="1"/>
  <c r="T1868" i="1"/>
  <c r="U1868" i="1"/>
  <c r="V1868" i="1"/>
  <c r="AB1868" i="1"/>
  <c r="AI1868" i="1"/>
  <c r="AJ1868" i="1"/>
  <c r="AK1868" i="1"/>
  <c r="AP1868" i="1"/>
  <c r="AR1868" i="1"/>
  <c r="AY1868" i="1"/>
  <c r="BE1868" i="1"/>
  <c r="BF1868" i="1"/>
  <c r="C1869" i="1"/>
  <c r="E1869" i="1"/>
  <c r="F1869" i="1"/>
  <c r="G1869" i="1"/>
  <c r="H1869" i="1"/>
  <c r="L1869" i="1"/>
  <c r="M1869" i="1"/>
  <c r="N1869" i="1"/>
  <c r="O1869" i="1"/>
  <c r="P1869" i="1"/>
  <c r="Q1869" i="1"/>
  <c r="R1869" i="1"/>
  <c r="S1869" i="1"/>
  <c r="T1869" i="1"/>
  <c r="U1869" i="1"/>
  <c r="V1869" i="1"/>
  <c r="AB1869" i="1"/>
  <c r="AI1869" i="1"/>
  <c r="AJ1869" i="1"/>
  <c r="AK1869" i="1"/>
  <c r="AP1869" i="1"/>
  <c r="AR1869" i="1"/>
  <c r="AY1869" i="1"/>
  <c r="BE1869" i="1"/>
  <c r="BF1869" i="1"/>
  <c r="C1870" i="1"/>
  <c r="E1870" i="1"/>
  <c r="F1870" i="1"/>
  <c r="G1870" i="1"/>
  <c r="H1870" i="1"/>
  <c r="L1870" i="1"/>
  <c r="M1870" i="1"/>
  <c r="N1870" i="1"/>
  <c r="O1870" i="1"/>
  <c r="P1870" i="1"/>
  <c r="Q1870" i="1"/>
  <c r="R1870" i="1"/>
  <c r="S1870" i="1"/>
  <c r="T1870" i="1"/>
  <c r="U1870" i="1"/>
  <c r="V1870" i="1"/>
  <c r="AB1870" i="1"/>
  <c r="AI1870" i="1"/>
  <c r="AJ1870" i="1"/>
  <c r="AK1870" i="1"/>
  <c r="AP1870" i="1"/>
  <c r="AR1870" i="1"/>
  <c r="AY1870" i="1"/>
  <c r="BE1870" i="1"/>
  <c r="BF1870" i="1"/>
  <c r="C1871" i="1"/>
  <c r="E1871" i="1"/>
  <c r="F1871" i="1"/>
  <c r="G1871" i="1"/>
  <c r="H1871" i="1"/>
  <c r="L1871" i="1"/>
  <c r="M1871" i="1"/>
  <c r="N1871" i="1"/>
  <c r="O1871" i="1"/>
  <c r="P1871" i="1"/>
  <c r="Q1871" i="1"/>
  <c r="R1871" i="1"/>
  <c r="S1871" i="1"/>
  <c r="T1871" i="1"/>
  <c r="U1871" i="1"/>
  <c r="V1871" i="1"/>
  <c r="AB1871" i="1"/>
  <c r="AI1871" i="1"/>
  <c r="AJ1871" i="1"/>
  <c r="AK1871" i="1"/>
  <c r="AP1871" i="1"/>
  <c r="AR1871" i="1"/>
  <c r="AY1871" i="1"/>
  <c r="BE1871" i="1"/>
  <c r="BF1871" i="1"/>
  <c r="C1872" i="1"/>
  <c r="E1872" i="1"/>
  <c r="F1872" i="1"/>
  <c r="G1872" i="1"/>
  <c r="H1872" i="1"/>
  <c r="L1872" i="1"/>
  <c r="M1872" i="1"/>
  <c r="N1872" i="1"/>
  <c r="O1872" i="1"/>
  <c r="P1872" i="1"/>
  <c r="Q1872" i="1"/>
  <c r="R1872" i="1"/>
  <c r="S1872" i="1"/>
  <c r="T1872" i="1"/>
  <c r="U1872" i="1"/>
  <c r="V1872" i="1"/>
  <c r="AB1872" i="1"/>
  <c r="AI1872" i="1"/>
  <c r="AJ1872" i="1"/>
  <c r="AK1872" i="1"/>
  <c r="AP1872" i="1"/>
  <c r="AR1872" i="1"/>
  <c r="AY1872" i="1"/>
  <c r="BE1872" i="1"/>
  <c r="BF1872" i="1"/>
  <c r="C1873" i="1"/>
  <c r="E1873" i="1"/>
  <c r="F1873" i="1"/>
  <c r="G1873" i="1"/>
  <c r="H1873" i="1"/>
  <c r="L1873" i="1"/>
  <c r="M1873" i="1"/>
  <c r="N1873" i="1"/>
  <c r="O1873" i="1"/>
  <c r="P1873" i="1"/>
  <c r="Q1873" i="1"/>
  <c r="R1873" i="1"/>
  <c r="S1873" i="1"/>
  <c r="T1873" i="1"/>
  <c r="U1873" i="1"/>
  <c r="V1873" i="1"/>
  <c r="AB1873" i="1"/>
  <c r="AI1873" i="1"/>
  <c r="AJ1873" i="1"/>
  <c r="AK1873" i="1"/>
  <c r="AP1873" i="1"/>
  <c r="AR1873" i="1"/>
  <c r="AY1873" i="1"/>
  <c r="BE1873" i="1"/>
  <c r="BF1873" i="1"/>
  <c r="C1874" i="1"/>
  <c r="E1874" i="1"/>
  <c r="F1874" i="1"/>
  <c r="G1874" i="1"/>
  <c r="H1874" i="1"/>
  <c r="L1874" i="1"/>
  <c r="M1874" i="1"/>
  <c r="N1874" i="1"/>
  <c r="O1874" i="1"/>
  <c r="P1874" i="1"/>
  <c r="Q1874" i="1"/>
  <c r="R1874" i="1"/>
  <c r="S1874" i="1"/>
  <c r="T1874" i="1"/>
  <c r="U1874" i="1"/>
  <c r="V1874" i="1"/>
  <c r="AB1874" i="1"/>
  <c r="AI1874" i="1"/>
  <c r="AJ1874" i="1"/>
  <c r="AK1874" i="1"/>
  <c r="AP1874" i="1"/>
  <c r="AR1874" i="1"/>
  <c r="AY1874" i="1"/>
  <c r="BE1874" i="1"/>
  <c r="BF1874" i="1"/>
  <c r="C1875" i="1"/>
  <c r="E1875" i="1"/>
  <c r="F1875" i="1"/>
  <c r="G1875" i="1"/>
  <c r="H1875" i="1"/>
  <c r="L1875" i="1"/>
  <c r="M1875" i="1"/>
  <c r="N1875" i="1"/>
  <c r="O1875" i="1"/>
  <c r="P1875" i="1"/>
  <c r="Q1875" i="1"/>
  <c r="R1875" i="1"/>
  <c r="S1875" i="1"/>
  <c r="T1875" i="1"/>
  <c r="U1875" i="1"/>
  <c r="V1875" i="1"/>
  <c r="AB1875" i="1"/>
  <c r="AI1875" i="1"/>
  <c r="AJ1875" i="1"/>
  <c r="AK1875" i="1"/>
  <c r="AP1875" i="1"/>
  <c r="AR1875" i="1"/>
  <c r="AY1875" i="1"/>
  <c r="BE1875" i="1"/>
  <c r="BF1875" i="1"/>
  <c r="C1876" i="1"/>
  <c r="E1876" i="1"/>
  <c r="F1876" i="1"/>
  <c r="G1876" i="1"/>
  <c r="H1876" i="1"/>
  <c r="L1876" i="1"/>
  <c r="M1876" i="1"/>
  <c r="N1876" i="1"/>
  <c r="O1876" i="1"/>
  <c r="P1876" i="1"/>
  <c r="Q1876" i="1"/>
  <c r="R1876" i="1"/>
  <c r="S1876" i="1"/>
  <c r="T1876" i="1"/>
  <c r="U1876" i="1"/>
  <c r="V1876" i="1"/>
  <c r="AB1876" i="1"/>
  <c r="AI1876" i="1"/>
  <c r="AJ1876" i="1"/>
  <c r="AK1876" i="1"/>
  <c r="AP1876" i="1"/>
  <c r="AR1876" i="1"/>
  <c r="AY1876" i="1"/>
  <c r="BE1876" i="1"/>
  <c r="BF1876" i="1"/>
  <c r="C1877" i="1"/>
  <c r="E1877" i="1"/>
  <c r="F1877" i="1"/>
  <c r="G1877" i="1"/>
  <c r="H1877" i="1"/>
  <c r="L1877" i="1"/>
  <c r="M1877" i="1"/>
  <c r="N1877" i="1"/>
  <c r="O1877" i="1"/>
  <c r="P1877" i="1"/>
  <c r="Q1877" i="1"/>
  <c r="R1877" i="1"/>
  <c r="S1877" i="1"/>
  <c r="T1877" i="1"/>
  <c r="U1877" i="1"/>
  <c r="V1877" i="1"/>
  <c r="AB1877" i="1"/>
  <c r="AI1877" i="1"/>
  <c r="AJ1877" i="1"/>
  <c r="AK1877" i="1"/>
  <c r="AP1877" i="1"/>
  <c r="AR1877" i="1"/>
  <c r="AY1877" i="1"/>
  <c r="BE1877" i="1"/>
  <c r="BF1877" i="1"/>
  <c r="C1878" i="1"/>
  <c r="E1878" i="1"/>
  <c r="F1878" i="1"/>
  <c r="G1878" i="1"/>
  <c r="H1878" i="1"/>
  <c r="L1878" i="1"/>
  <c r="M1878" i="1"/>
  <c r="N1878" i="1"/>
  <c r="O1878" i="1"/>
  <c r="P1878" i="1"/>
  <c r="Q1878" i="1"/>
  <c r="R1878" i="1"/>
  <c r="S1878" i="1"/>
  <c r="T1878" i="1"/>
  <c r="U1878" i="1"/>
  <c r="V1878" i="1"/>
  <c r="AB1878" i="1"/>
  <c r="AI1878" i="1"/>
  <c r="AJ1878" i="1"/>
  <c r="AK1878" i="1"/>
  <c r="AP1878" i="1"/>
  <c r="AR1878" i="1"/>
  <c r="AY1878" i="1"/>
  <c r="BE1878" i="1"/>
  <c r="BF1878" i="1"/>
  <c r="C1879" i="1"/>
  <c r="E1879" i="1"/>
  <c r="F1879" i="1"/>
  <c r="G1879" i="1"/>
  <c r="H1879" i="1"/>
  <c r="L1879" i="1"/>
  <c r="M1879" i="1"/>
  <c r="N1879" i="1"/>
  <c r="O1879" i="1"/>
  <c r="P1879" i="1"/>
  <c r="Q1879" i="1"/>
  <c r="R1879" i="1"/>
  <c r="S1879" i="1"/>
  <c r="T1879" i="1"/>
  <c r="U1879" i="1"/>
  <c r="V1879" i="1"/>
  <c r="AB1879" i="1"/>
  <c r="AI1879" i="1"/>
  <c r="AJ1879" i="1"/>
  <c r="AK1879" i="1"/>
  <c r="AP1879" i="1"/>
  <c r="AR1879" i="1"/>
  <c r="AY1879" i="1"/>
  <c r="BE1879" i="1"/>
  <c r="BF1879" i="1"/>
  <c r="C1880" i="1"/>
  <c r="E1880" i="1"/>
  <c r="F1880" i="1"/>
  <c r="G1880" i="1"/>
  <c r="H1880" i="1"/>
  <c r="L1880" i="1"/>
  <c r="M1880" i="1"/>
  <c r="N1880" i="1"/>
  <c r="O1880" i="1"/>
  <c r="P1880" i="1"/>
  <c r="Q1880" i="1"/>
  <c r="R1880" i="1"/>
  <c r="S1880" i="1"/>
  <c r="T1880" i="1"/>
  <c r="U1880" i="1"/>
  <c r="V1880" i="1"/>
  <c r="AB1880" i="1"/>
  <c r="AI1880" i="1"/>
  <c r="AJ1880" i="1"/>
  <c r="AK1880" i="1"/>
  <c r="AP1880" i="1"/>
  <c r="AR1880" i="1"/>
  <c r="AY1880" i="1"/>
  <c r="BE1880" i="1"/>
  <c r="BF1880" i="1"/>
  <c r="C1881" i="1"/>
  <c r="E1881" i="1"/>
  <c r="F1881" i="1"/>
  <c r="G1881" i="1"/>
  <c r="H1881" i="1"/>
  <c r="L1881" i="1"/>
  <c r="M1881" i="1"/>
  <c r="N1881" i="1"/>
  <c r="O1881" i="1"/>
  <c r="P1881" i="1"/>
  <c r="Q1881" i="1"/>
  <c r="R1881" i="1"/>
  <c r="S1881" i="1"/>
  <c r="T1881" i="1"/>
  <c r="U1881" i="1"/>
  <c r="V1881" i="1"/>
  <c r="AB1881" i="1"/>
  <c r="AI1881" i="1"/>
  <c r="AJ1881" i="1"/>
  <c r="AK1881" i="1"/>
  <c r="AP1881" i="1"/>
  <c r="AR1881" i="1"/>
  <c r="AY1881" i="1"/>
  <c r="BE1881" i="1"/>
  <c r="BF1881" i="1"/>
  <c r="C1882" i="1"/>
  <c r="E1882" i="1"/>
  <c r="F1882" i="1"/>
  <c r="G1882" i="1"/>
  <c r="H1882" i="1"/>
  <c r="L1882" i="1"/>
  <c r="M1882" i="1"/>
  <c r="N1882" i="1"/>
  <c r="O1882" i="1"/>
  <c r="P1882" i="1"/>
  <c r="Q1882" i="1"/>
  <c r="R1882" i="1"/>
  <c r="S1882" i="1"/>
  <c r="T1882" i="1"/>
  <c r="U1882" i="1"/>
  <c r="V1882" i="1"/>
  <c r="AB1882" i="1"/>
  <c r="AI1882" i="1"/>
  <c r="AJ1882" i="1"/>
  <c r="AK1882" i="1"/>
  <c r="AP1882" i="1"/>
  <c r="AR1882" i="1"/>
  <c r="AY1882" i="1"/>
  <c r="BE1882" i="1"/>
  <c r="BF1882" i="1"/>
  <c r="C1883" i="1"/>
  <c r="E1883" i="1"/>
  <c r="F1883" i="1"/>
  <c r="G1883" i="1"/>
  <c r="H1883" i="1"/>
  <c r="L1883" i="1"/>
  <c r="M1883" i="1"/>
  <c r="N1883" i="1"/>
  <c r="O1883" i="1"/>
  <c r="P1883" i="1"/>
  <c r="Q1883" i="1"/>
  <c r="R1883" i="1"/>
  <c r="S1883" i="1"/>
  <c r="T1883" i="1"/>
  <c r="U1883" i="1"/>
  <c r="V1883" i="1"/>
  <c r="AB1883" i="1"/>
  <c r="AI1883" i="1"/>
  <c r="AJ1883" i="1"/>
  <c r="AK1883" i="1"/>
  <c r="AP1883" i="1"/>
  <c r="AR1883" i="1"/>
  <c r="AY1883" i="1"/>
  <c r="BE1883" i="1"/>
  <c r="BF1883" i="1"/>
  <c r="C1884" i="1"/>
  <c r="E1884" i="1"/>
  <c r="F1884" i="1"/>
  <c r="G1884" i="1"/>
  <c r="H1884" i="1"/>
  <c r="L1884" i="1"/>
  <c r="M1884" i="1"/>
  <c r="N1884" i="1"/>
  <c r="O1884" i="1"/>
  <c r="P1884" i="1"/>
  <c r="Q1884" i="1"/>
  <c r="R1884" i="1"/>
  <c r="S1884" i="1"/>
  <c r="T1884" i="1"/>
  <c r="U1884" i="1"/>
  <c r="V1884" i="1"/>
  <c r="AB1884" i="1"/>
  <c r="AI1884" i="1"/>
  <c r="AJ1884" i="1"/>
  <c r="AK1884" i="1"/>
  <c r="AP1884" i="1"/>
  <c r="AR1884" i="1"/>
  <c r="AY1884" i="1"/>
  <c r="BE1884" i="1"/>
  <c r="BF1884" i="1"/>
  <c r="C1885" i="1"/>
  <c r="E1885" i="1"/>
  <c r="F1885" i="1"/>
  <c r="G1885" i="1"/>
  <c r="H1885" i="1"/>
  <c r="L1885" i="1"/>
  <c r="M1885" i="1"/>
  <c r="N1885" i="1"/>
  <c r="O1885" i="1"/>
  <c r="P1885" i="1"/>
  <c r="Q1885" i="1"/>
  <c r="R1885" i="1"/>
  <c r="S1885" i="1"/>
  <c r="T1885" i="1"/>
  <c r="U1885" i="1"/>
  <c r="V1885" i="1"/>
  <c r="AB1885" i="1"/>
  <c r="AI1885" i="1"/>
  <c r="AJ1885" i="1"/>
  <c r="AK1885" i="1"/>
  <c r="AP1885" i="1"/>
  <c r="AR1885" i="1"/>
  <c r="AY1885" i="1"/>
  <c r="BE1885" i="1"/>
  <c r="BF1885" i="1"/>
  <c r="C1886" i="1"/>
  <c r="E1886" i="1"/>
  <c r="F1886" i="1"/>
  <c r="G1886" i="1"/>
  <c r="H1886" i="1"/>
  <c r="L1886" i="1"/>
  <c r="M1886" i="1"/>
  <c r="N1886" i="1"/>
  <c r="O1886" i="1"/>
  <c r="P1886" i="1"/>
  <c r="Q1886" i="1"/>
  <c r="R1886" i="1"/>
  <c r="S1886" i="1"/>
  <c r="T1886" i="1"/>
  <c r="U1886" i="1"/>
  <c r="V1886" i="1"/>
  <c r="AB1886" i="1"/>
  <c r="AI1886" i="1"/>
  <c r="AJ1886" i="1"/>
  <c r="AK1886" i="1"/>
  <c r="AP1886" i="1"/>
  <c r="AR1886" i="1"/>
  <c r="AY1886" i="1"/>
  <c r="BE1886" i="1"/>
  <c r="BF1886" i="1"/>
  <c r="C1887" i="1"/>
  <c r="E1887" i="1"/>
  <c r="F1887" i="1"/>
  <c r="G1887" i="1"/>
  <c r="H1887" i="1"/>
  <c r="L1887" i="1"/>
  <c r="M1887" i="1"/>
  <c r="N1887" i="1"/>
  <c r="O1887" i="1"/>
  <c r="P1887" i="1"/>
  <c r="Q1887" i="1"/>
  <c r="R1887" i="1"/>
  <c r="S1887" i="1"/>
  <c r="T1887" i="1"/>
  <c r="U1887" i="1"/>
  <c r="V1887" i="1"/>
  <c r="AB1887" i="1"/>
  <c r="AI1887" i="1"/>
  <c r="AJ1887" i="1"/>
  <c r="AK1887" i="1"/>
  <c r="AP1887" i="1"/>
  <c r="AR1887" i="1"/>
  <c r="AY1887" i="1"/>
  <c r="BE1887" i="1"/>
  <c r="BF1887" i="1"/>
  <c r="C1888" i="1"/>
  <c r="E1888" i="1"/>
  <c r="F1888" i="1"/>
  <c r="G1888" i="1"/>
  <c r="H1888" i="1"/>
  <c r="L1888" i="1"/>
  <c r="M1888" i="1"/>
  <c r="N1888" i="1"/>
  <c r="O1888" i="1"/>
  <c r="P1888" i="1"/>
  <c r="Q1888" i="1"/>
  <c r="R1888" i="1"/>
  <c r="S1888" i="1"/>
  <c r="T1888" i="1"/>
  <c r="U1888" i="1"/>
  <c r="V1888" i="1"/>
  <c r="AB1888" i="1"/>
  <c r="AI1888" i="1"/>
  <c r="AJ1888" i="1"/>
  <c r="AK1888" i="1"/>
  <c r="AP1888" i="1"/>
  <c r="AR1888" i="1"/>
  <c r="AY1888" i="1"/>
  <c r="BE1888" i="1"/>
  <c r="BF1888" i="1"/>
  <c r="C1889" i="1"/>
  <c r="E1889" i="1"/>
  <c r="F1889" i="1"/>
  <c r="G1889" i="1"/>
  <c r="H1889" i="1"/>
  <c r="L1889" i="1"/>
  <c r="M1889" i="1"/>
  <c r="N1889" i="1"/>
  <c r="O1889" i="1"/>
  <c r="P1889" i="1"/>
  <c r="Q1889" i="1"/>
  <c r="R1889" i="1"/>
  <c r="S1889" i="1"/>
  <c r="T1889" i="1"/>
  <c r="U1889" i="1"/>
  <c r="V1889" i="1"/>
  <c r="AB1889" i="1"/>
  <c r="AI1889" i="1"/>
  <c r="AJ1889" i="1"/>
  <c r="AK1889" i="1"/>
  <c r="AP1889" i="1"/>
  <c r="AR1889" i="1"/>
  <c r="AY1889" i="1"/>
  <c r="BE1889" i="1"/>
  <c r="BF1889" i="1"/>
  <c r="C1890" i="1"/>
  <c r="E1890" i="1"/>
  <c r="F1890" i="1"/>
  <c r="G1890" i="1"/>
  <c r="H1890" i="1"/>
  <c r="L1890" i="1"/>
  <c r="M1890" i="1"/>
  <c r="N1890" i="1"/>
  <c r="O1890" i="1"/>
  <c r="P1890" i="1"/>
  <c r="Q1890" i="1"/>
  <c r="R1890" i="1"/>
  <c r="S1890" i="1"/>
  <c r="T1890" i="1"/>
  <c r="U1890" i="1"/>
  <c r="V1890" i="1"/>
  <c r="AB1890" i="1"/>
  <c r="AI1890" i="1"/>
  <c r="AJ1890" i="1"/>
  <c r="AK1890" i="1"/>
  <c r="AP1890" i="1"/>
  <c r="AR1890" i="1"/>
  <c r="AY1890" i="1"/>
  <c r="BE1890" i="1"/>
  <c r="BF1890" i="1"/>
  <c r="C1891" i="1"/>
  <c r="E1891" i="1"/>
  <c r="F1891" i="1"/>
  <c r="G1891" i="1"/>
  <c r="H1891" i="1"/>
  <c r="L1891" i="1"/>
  <c r="M1891" i="1"/>
  <c r="N1891" i="1"/>
  <c r="O1891" i="1"/>
  <c r="P1891" i="1"/>
  <c r="Q1891" i="1"/>
  <c r="R1891" i="1"/>
  <c r="S1891" i="1"/>
  <c r="T1891" i="1"/>
  <c r="U1891" i="1"/>
  <c r="V1891" i="1"/>
  <c r="AB1891" i="1"/>
  <c r="AI1891" i="1"/>
  <c r="AJ1891" i="1"/>
  <c r="AK1891" i="1"/>
  <c r="AP1891" i="1"/>
  <c r="AR1891" i="1"/>
  <c r="AY1891" i="1"/>
  <c r="BE1891" i="1"/>
  <c r="BF1891" i="1"/>
  <c r="C1892" i="1"/>
  <c r="E1892" i="1"/>
  <c r="F1892" i="1"/>
  <c r="G1892" i="1"/>
  <c r="H1892" i="1"/>
  <c r="L1892" i="1"/>
  <c r="M1892" i="1"/>
  <c r="N1892" i="1"/>
  <c r="O1892" i="1"/>
  <c r="P1892" i="1"/>
  <c r="Q1892" i="1"/>
  <c r="R1892" i="1"/>
  <c r="S1892" i="1"/>
  <c r="T1892" i="1"/>
  <c r="U1892" i="1"/>
  <c r="V1892" i="1"/>
  <c r="AB1892" i="1"/>
  <c r="AI1892" i="1"/>
  <c r="AJ1892" i="1"/>
  <c r="AK1892" i="1"/>
  <c r="AP1892" i="1"/>
  <c r="AR1892" i="1"/>
  <c r="AY1892" i="1"/>
  <c r="BE1892" i="1"/>
  <c r="BF1892" i="1"/>
  <c r="C1893" i="1"/>
  <c r="E1893" i="1"/>
  <c r="F1893" i="1"/>
  <c r="G1893" i="1"/>
  <c r="H1893" i="1"/>
  <c r="L1893" i="1"/>
  <c r="M1893" i="1"/>
  <c r="N1893" i="1"/>
  <c r="O1893" i="1"/>
  <c r="P1893" i="1"/>
  <c r="Q1893" i="1"/>
  <c r="R1893" i="1"/>
  <c r="S1893" i="1"/>
  <c r="T1893" i="1"/>
  <c r="U1893" i="1"/>
  <c r="V1893" i="1"/>
  <c r="AB1893" i="1"/>
  <c r="AI1893" i="1"/>
  <c r="AJ1893" i="1"/>
  <c r="AK1893" i="1"/>
  <c r="AP1893" i="1"/>
  <c r="AR1893" i="1"/>
  <c r="AY1893" i="1"/>
  <c r="BE1893" i="1"/>
  <c r="BF1893" i="1"/>
  <c r="C1894" i="1"/>
  <c r="E1894" i="1"/>
  <c r="F1894" i="1"/>
  <c r="G1894" i="1"/>
  <c r="H1894" i="1"/>
  <c r="L1894" i="1"/>
  <c r="M1894" i="1"/>
  <c r="N1894" i="1"/>
  <c r="O1894" i="1"/>
  <c r="P1894" i="1"/>
  <c r="Q1894" i="1"/>
  <c r="R1894" i="1"/>
  <c r="S1894" i="1"/>
  <c r="T1894" i="1"/>
  <c r="U1894" i="1"/>
  <c r="V1894" i="1"/>
  <c r="AB1894" i="1"/>
  <c r="AI1894" i="1"/>
  <c r="AJ1894" i="1"/>
  <c r="AK1894" i="1"/>
  <c r="AP1894" i="1"/>
  <c r="AR1894" i="1"/>
  <c r="AY1894" i="1"/>
  <c r="BE1894" i="1"/>
  <c r="BF1894" i="1"/>
  <c r="C1895" i="1"/>
  <c r="E1895" i="1"/>
  <c r="F1895" i="1"/>
  <c r="G1895" i="1"/>
  <c r="H1895" i="1"/>
  <c r="L1895" i="1"/>
  <c r="M1895" i="1"/>
  <c r="N1895" i="1"/>
  <c r="O1895" i="1"/>
  <c r="P1895" i="1"/>
  <c r="Q1895" i="1"/>
  <c r="R1895" i="1"/>
  <c r="S1895" i="1"/>
  <c r="T1895" i="1"/>
  <c r="U1895" i="1"/>
  <c r="V1895" i="1"/>
  <c r="AB1895" i="1"/>
  <c r="AI1895" i="1"/>
  <c r="AJ1895" i="1"/>
  <c r="AK1895" i="1"/>
  <c r="AP1895" i="1"/>
  <c r="AR1895" i="1"/>
  <c r="AY1895" i="1"/>
  <c r="BE1895" i="1"/>
  <c r="BF1895" i="1"/>
  <c r="C1896" i="1"/>
  <c r="E1896" i="1"/>
  <c r="F1896" i="1"/>
  <c r="G1896" i="1"/>
  <c r="H1896" i="1"/>
  <c r="L1896" i="1"/>
  <c r="M1896" i="1"/>
  <c r="N1896" i="1"/>
  <c r="O1896" i="1"/>
  <c r="P1896" i="1"/>
  <c r="Q1896" i="1"/>
  <c r="R1896" i="1"/>
  <c r="S1896" i="1"/>
  <c r="T1896" i="1"/>
  <c r="U1896" i="1"/>
  <c r="V1896" i="1"/>
  <c r="AB1896" i="1"/>
  <c r="AI1896" i="1"/>
  <c r="AJ1896" i="1"/>
  <c r="AK1896" i="1"/>
  <c r="AP1896" i="1"/>
  <c r="AR1896" i="1"/>
  <c r="AY1896" i="1"/>
  <c r="BE1896" i="1"/>
  <c r="BF1896" i="1"/>
  <c r="C1897" i="1"/>
  <c r="E1897" i="1"/>
  <c r="F1897" i="1"/>
  <c r="G1897" i="1"/>
  <c r="H1897" i="1"/>
  <c r="L1897" i="1"/>
  <c r="M1897" i="1"/>
  <c r="N1897" i="1"/>
  <c r="O1897" i="1"/>
  <c r="P1897" i="1"/>
  <c r="Q1897" i="1"/>
  <c r="R1897" i="1"/>
  <c r="S1897" i="1"/>
  <c r="T1897" i="1"/>
  <c r="U1897" i="1"/>
  <c r="V1897" i="1"/>
  <c r="AB1897" i="1"/>
  <c r="AI1897" i="1"/>
  <c r="AJ1897" i="1"/>
  <c r="AK1897" i="1"/>
  <c r="AP1897" i="1"/>
  <c r="AR1897" i="1"/>
  <c r="AY1897" i="1"/>
  <c r="BE1897" i="1"/>
  <c r="BF1897" i="1"/>
  <c r="C1898" i="1"/>
  <c r="E1898" i="1"/>
  <c r="F1898" i="1"/>
  <c r="G1898" i="1"/>
  <c r="H1898" i="1"/>
  <c r="L1898" i="1"/>
  <c r="M1898" i="1"/>
  <c r="N1898" i="1"/>
  <c r="O1898" i="1"/>
  <c r="P1898" i="1"/>
  <c r="Q1898" i="1"/>
  <c r="R1898" i="1"/>
  <c r="S1898" i="1"/>
  <c r="T1898" i="1"/>
  <c r="U1898" i="1"/>
  <c r="V1898" i="1"/>
  <c r="AB1898" i="1"/>
  <c r="AI1898" i="1"/>
  <c r="AJ1898" i="1"/>
  <c r="AK1898" i="1"/>
  <c r="AP1898" i="1"/>
  <c r="AR1898" i="1"/>
  <c r="AY1898" i="1"/>
  <c r="BE1898" i="1"/>
  <c r="BF1898" i="1"/>
  <c r="C1899" i="1"/>
  <c r="E1899" i="1"/>
  <c r="F1899" i="1"/>
  <c r="G1899" i="1"/>
  <c r="H1899" i="1"/>
  <c r="L1899" i="1"/>
  <c r="M1899" i="1"/>
  <c r="N1899" i="1"/>
  <c r="O1899" i="1"/>
  <c r="P1899" i="1"/>
  <c r="Q1899" i="1"/>
  <c r="R1899" i="1"/>
  <c r="S1899" i="1"/>
  <c r="T1899" i="1"/>
  <c r="U1899" i="1"/>
  <c r="V1899" i="1"/>
  <c r="AB1899" i="1"/>
  <c r="AI1899" i="1"/>
  <c r="AJ1899" i="1"/>
  <c r="AK1899" i="1"/>
  <c r="AP1899" i="1"/>
  <c r="AR1899" i="1"/>
  <c r="AY1899" i="1"/>
  <c r="BE1899" i="1"/>
  <c r="BF1899" i="1"/>
  <c r="C1900" i="1"/>
  <c r="E1900" i="1"/>
  <c r="F1900" i="1"/>
  <c r="G1900" i="1"/>
  <c r="H1900" i="1"/>
  <c r="L1900" i="1"/>
  <c r="M1900" i="1"/>
  <c r="N1900" i="1"/>
  <c r="O1900" i="1"/>
  <c r="P1900" i="1"/>
  <c r="Q1900" i="1"/>
  <c r="R1900" i="1"/>
  <c r="S1900" i="1"/>
  <c r="T1900" i="1"/>
  <c r="U1900" i="1"/>
  <c r="V1900" i="1"/>
  <c r="AB1900" i="1"/>
  <c r="AI1900" i="1"/>
  <c r="AJ1900" i="1"/>
  <c r="AK1900" i="1"/>
  <c r="AP1900" i="1"/>
  <c r="AR1900" i="1"/>
  <c r="AY1900" i="1"/>
  <c r="BE1900" i="1"/>
  <c r="BF1900" i="1"/>
  <c r="C1901" i="1"/>
  <c r="E1901" i="1"/>
  <c r="F1901" i="1"/>
  <c r="G1901" i="1"/>
  <c r="H1901" i="1"/>
  <c r="L1901" i="1"/>
  <c r="M1901" i="1"/>
  <c r="N1901" i="1"/>
  <c r="O1901" i="1"/>
  <c r="P1901" i="1"/>
  <c r="Q1901" i="1"/>
  <c r="R1901" i="1"/>
  <c r="S1901" i="1"/>
  <c r="T1901" i="1"/>
  <c r="U1901" i="1"/>
  <c r="V1901" i="1"/>
  <c r="AB1901" i="1"/>
  <c r="AI1901" i="1"/>
  <c r="AJ1901" i="1"/>
  <c r="AK1901" i="1"/>
  <c r="AP1901" i="1"/>
  <c r="AR1901" i="1"/>
  <c r="AY1901" i="1"/>
  <c r="BE1901" i="1"/>
  <c r="BF1901" i="1"/>
  <c r="C1902" i="1"/>
  <c r="E1902" i="1"/>
  <c r="F1902" i="1"/>
  <c r="G1902" i="1"/>
  <c r="H1902" i="1"/>
  <c r="L1902" i="1"/>
  <c r="M1902" i="1"/>
  <c r="N1902" i="1"/>
  <c r="O1902" i="1"/>
  <c r="P1902" i="1"/>
  <c r="Q1902" i="1"/>
  <c r="R1902" i="1"/>
  <c r="S1902" i="1"/>
  <c r="T1902" i="1"/>
  <c r="U1902" i="1"/>
  <c r="V1902" i="1"/>
  <c r="AB1902" i="1"/>
  <c r="AI1902" i="1"/>
  <c r="AJ1902" i="1"/>
  <c r="AK1902" i="1"/>
  <c r="AP1902" i="1"/>
  <c r="AR1902" i="1"/>
  <c r="AY1902" i="1"/>
  <c r="BE1902" i="1"/>
  <c r="BF1902" i="1"/>
  <c r="C1903" i="1"/>
  <c r="E1903" i="1"/>
  <c r="F1903" i="1"/>
  <c r="G1903" i="1"/>
  <c r="H1903" i="1"/>
  <c r="L1903" i="1"/>
  <c r="M1903" i="1"/>
  <c r="N1903" i="1"/>
  <c r="O1903" i="1"/>
  <c r="P1903" i="1"/>
  <c r="Q1903" i="1"/>
  <c r="R1903" i="1"/>
  <c r="S1903" i="1"/>
  <c r="T1903" i="1"/>
  <c r="U1903" i="1"/>
  <c r="V1903" i="1"/>
  <c r="AB1903" i="1"/>
  <c r="AI1903" i="1"/>
  <c r="AJ1903" i="1"/>
  <c r="AK1903" i="1"/>
  <c r="AP1903" i="1"/>
  <c r="AR1903" i="1"/>
  <c r="AY1903" i="1"/>
  <c r="BE1903" i="1"/>
  <c r="BF1903" i="1"/>
  <c r="C1904" i="1"/>
  <c r="E1904" i="1"/>
  <c r="F1904" i="1"/>
  <c r="G1904" i="1"/>
  <c r="H1904" i="1"/>
  <c r="L1904" i="1"/>
  <c r="M1904" i="1"/>
  <c r="N1904" i="1"/>
  <c r="O1904" i="1"/>
  <c r="P1904" i="1"/>
  <c r="Q1904" i="1"/>
  <c r="R1904" i="1"/>
  <c r="S1904" i="1"/>
  <c r="T1904" i="1"/>
  <c r="U1904" i="1"/>
  <c r="V1904" i="1"/>
  <c r="AB1904" i="1"/>
  <c r="AI1904" i="1"/>
  <c r="AJ1904" i="1"/>
  <c r="AK1904" i="1"/>
  <c r="AP1904" i="1"/>
  <c r="AR1904" i="1"/>
  <c r="AY1904" i="1"/>
  <c r="BE1904" i="1"/>
  <c r="BF1904" i="1"/>
  <c r="C1905" i="1"/>
  <c r="E1905" i="1"/>
  <c r="F1905" i="1"/>
  <c r="G1905" i="1"/>
  <c r="H1905" i="1"/>
  <c r="L1905" i="1"/>
  <c r="M1905" i="1"/>
  <c r="N1905" i="1"/>
  <c r="O1905" i="1"/>
  <c r="P1905" i="1"/>
  <c r="Q1905" i="1"/>
  <c r="R1905" i="1"/>
  <c r="S1905" i="1"/>
  <c r="T1905" i="1"/>
  <c r="U1905" i="1"/>
  <c r="V1905" i="1"/>
  <c r="AB1905" i="1"/>
  <c r="AI1905" i="1"/>
  <c r="AJ1905" i="1"/>
  <c r="AK1905" i="1"/>
  <c r="AP1905" i="1"/>
  <c r="AR1905" i="1"/>
  <c r="AY1905" i="1"/>
  <c r="BE1905" i="1"/>
  <c r="BF1905" i="1"/>
  <c r="C1906" i="1"/>
  <c r="E1906" i="1"/>
  <c r="F1906" i="1"/>
  <c r="G1906" i="1"/>
  <c r="H1906" i="1"/>
  <c r="L1906" i="1"/>
  <c r="M1906" i="1"/>
  <c r="N1906" i="1"/>
  <c r="O1906" i="1"/>
  <c r="P1906" i="1"/>
  <c r="Q1906" i="1"/>
  <c r="R1906" i="1"/>
  <c r="S1906" i="1"/>
  <c r="T1906" i="1"/>
  <c r="U1906" i="1"/>
  <c r="V1906" i="1"/>
  <c r="AB1906" i="1"/>
  <c r="AI1906" i="1"/>
  <c r="AJ1906" i="1"/>
  <c r="AK1906" i="1"/>
  <c r="AP1906" i="1"/>
  <c r="AR1906" i="1"/>
  <c r="AY1906" i="1"/>
  <c r="BE1906" i="1"/>
  <c r="BF1906" i="1"/>
  <c r="C1907" i="1"/>
  <c r="E1907" i="1"/>
  <c r="F1907" i="1"/>
  <c r="G1907" i="1"/>
  <c r="H1907" i="1"/>
  <c r="L1907" i="1"/>
  <c r="M1907" i="1"/>
  <c r="N1907" i="1"/>
  <c r="O1907" i="1"/>
  <c r="P1907" i="1"/>
  <c r="Q1907" i="1"/>
  <c r="R1907" i="1"/>
  <c r="S1907" i="1"/>
  <c r="T1907" i="1"/>
  <c r="U1907" i="1"/>
  <c r="V1907" i="1"/>
  <c r="AB1907" i="1"/>
  <c r="AI1907" i="1"/>
  <c r="AJ1907" i="1"/>
  <c r="AK1907" i="1"/>
  <c r="AP1907" i="1"/>
  <c r="AR1907" i="1"/>
  <c r="AY1907" i="1"/>
  <c r="BE1907" i="1"/>
  <c r="BF1907" i="1"/>
  <c r="C1908" i="1"/>
  <c r="E1908" i="1"/>
  <c r="F1908" i="1"/>
  <c r="G1908" i="1"/>
  <c r="H1908" i="1"/>
  <c r="L1908" i="1"/>
  <c r="M1908" i="1"/>
  <c r="N1908" i="1"/>
  <c r="O1908" i="1"/>
  <c r="P1908" i="1"/>
  <c r="Q1908" i="1"/>
  <c r="R1908" i="1"/>
  <c r="S1908" i="1"/>
  <c r="T1908" i="1"/>
  <c r="U1908" i="1"/>
  <c r="V1908" i="1"/>
  <c r="AB1908" i="1"/>
  <c r="AI1908" i="1"/>
  <c r="AJ1908" i="1"/>
  <c r="AK1908" i="1"/>
  <c r="AP1908" i="1"/>
  <c r="AR1908" i="1"/>
  <c r="AY1908" i="1"/>
  <c r="BE1908" i="1"/>
  <c r="BF1908" i="1"/>
  <c r="C1909" i="1"/>
  <c r="E1909" i="1"/>
  <c r="F1909" i="1"/>
  <c r="G1909" i="1"/>
  <c r="H1909" i="1"/>
  <c r="L1909" i="1"/>
  <c r="M1909" i="1"/>
  <c r="N1909" i="1"/>
  <c r="O1909" i="1"/>
  <c r="P1909" i="1"/>
  <c r="Q1909" i="1"/>
  <c r="R1909" i="1"/>
  <c r="S1909" i="1"/>
  <c r="T1909" i="1"/>
  <c r="U1909" i="1"/>
  <c r="V1909" i="1"/>
  <c r="AB1909" i="1"/>
  <c r="AI1909" i="1"/>
  <c r="AJ1909" i="1"/>
  <c r="AK1909" i="1"/>
  <c r="AP1909" i="1"/>
  <c r="AR1909" i="1"/>
  <c r="AY1909" i="1"/>
  <c r="BE1909" i="1"/>
  <c r="BF1909" i="1"/>
  <c r="C1910" i="1"/>
  <c r="E1910" i="1"/>
  <c r="F1910" i="1"/>
  <c r="G1910" i="1"/>
  <c r="H1910" i="1"/>
  <c r="L1910" i="1"/>
  <c r="M1910" i="1"/>
  <c r="N1910" i="1"/>
  <c r="O1910" i="1"/>
  <c r="P1910" i="1"/>
  <c r="Q1910" i="1"/>
  <c r="R1910" i="1"/>
  <c r="S1910" i="1"/>
  <c r="T1910" i="1"/>
  <c r="U1910" i="1"/>
  <c r="V1910" i="1"/>
  <c r="AB1910" i="1"/>
  <c r="AI1910" i="1"/>
  <c r="AJ1910" i="1"/>
  <c r="AK1910" i="1"/>
  <c r="AP1910" i="1"/>
  <c r="AR1910" i="1"/>
  <c r="AY1910" i="1"/>
  <c r="BE1910" i="1"/>
  <c r="BF1910" i="1"/>
  <c r="C1911" i="1"/>
  <c r="E1911" i="1"/>
  <c r="F1911" i="1"/>
  <c r="G1911" i="1"/>
  <c r="H1911" i="1"/>
  <c r="L1911" i="1"/>
  <c r="M1911" i="1"/>
  <c r="N1911" i="1"/>
  <c r="O1911" i="1"/>
  <c r="P1911" i="1"/>
  <c r="Q1911" i="1"/>
  <c r="R1911" i="1"/>
  <c r="S1911" i="1"/>
  <c r="T1911" i="1"/>
  <c r="U1911" i="1"/>
  <c r="V1911" i="1"/>
  <c r="AB1911" i="1"/>
  <c r="AI1911" i="1"/>
  <c r="AJ1911" i="1"/>
  <c r="AK1911" i="1"/>
  <c r="AP1911" i="1"/>
  <c r="AR1911" i="1"/>
  <c r="AY1911" i="1"/>
  <c r="BE1911" i="1"/>
  <c r="BF1911" i="1"/>
  <c r="C1912" i="1"/>
  <c r="E1912" i="1"/>
  <c r="F1912" i="1"/>
  <c r="G1912" i="1"/>
  <c r="H1912" i="1"/>
  <c r="L1912" i="1"/>
  <c r="M1912" i="1"/>
  <c r="N1912" i="1"/>
  <c r="O1912" i="1"/>
  <c r="P1912" i="1"/>
  <c r="Q1912" i="1"/>
  <c r="R1912" i="1"/>
  <c r="S1912" i="1"/>
  <c r="T1912" i="1"/>
  <c r="U1912" i="1"/>
  <c r="V1912" i="1"/>
  <c r="AB1912" i="1"/>
  <c r="AI1912" i="1"/>
  <c r="AJ1912" i="1"/>
  <c r="AK1912" i="1"/>
  <c r="AP1912" i="1"/>
  <c r="AR1912" i="1"/>
  <c r="AY1912" i="1"/>
  <c r="BE1912" i="1"/>
  <c r="BF1912" i="1"/>
  <c r="C1913" i="1"/>
  <c r="E1913" i="1"/>
  <c r="F1913" i="1"/>
  <c r="G1913" i="1"/>
  <c r="H1913" i="1"/>
  <c r="L1913" i="1"/>
  <c r="M1913" i="1"/>
  <c r="N1913" i="1"/>
  <c r="O1913" i="1"/>
  <c r="P1913" i="1"/>
  <c r="Q1913" i="1"/>
  <c r="R1913" i="1"/>
  <c r="S1913" i="1"/>
  <c r="T1913" i="1"/>
  <c r="U1913" i="1"/>
  <c r="V1913" i="1"/>
  <c r="AB1913" i="1"/>
  <c r="AI1913" i="1"/>
  <c r="AJ1913" i="1"/>
  <c r="AK1913" i="1"/>
  <c r="AP1913" i="1"/>
  <c r="AR1913" i="1"/>
  <c r="AY1913" i="1"/>
  <c r="BE1913" i="1"/>
  <c r="BF1913" i="1"/>
  <c r="C1914" i="1"/>
  <c r="E1914" i="1"/>
  <c r="F1914" i="1"/>
  <c r="G1914" i="1"/>
  <c r="H1914" i="1"/>
  <c r="L1914" i="1"/>
  <c r="M1914" i="1"/>
  <c r="N1914" i="1"/>
  <c r="O1914" i="1"/>
  <c r="P1914" i="1"/>
  <c r="Q1914" i="1"/>
  <c r="R1914" i="1"/>
  <c r="S1914" i="1"/>
  <c r="T1914" i="1"/>
  <c r="U1914" i="1"/>
  <c r="V1914" i="1"/>
  <c r="AB1914" i="1"/>
  <c r="AI1914" i="1"/>
  <c r="AJ1914" i="1"/>
  <c r="AK1914" i="1"/>
  <c r="AP1914" i="1"/>
  <c r="AR1914" i="1"/>
  <c r="AY1914" i="1"/>
  <c r="BE1914" i="1"/>
  <c r="BF1914" i="1"/>
  <c r="C1915" i="1"/>
  <c r="E1915" i="1"/>
  <c r="F1915" i="1"/>
  <c r="G1915" i="1"/>
  <c r="H1915" i="1"/>
  <c r="L1915" i="1"/>
  <c r="M1915" i="1"/>
  <c r="N1915" i="1"/>
  <c r="O1915" i="1"/>
  <c r="P1915" i="1"/>
  <c r="Q1915" i="1"/>
  <c r="R1915" i="1"/>
  <c r="S1915" i="1"/>
  <c r="T1915" i="1"/>
  <c r="U1915" i="1"/>
  <c r="V1915" i="1"/>
  <c r="AB1915" i="1"/>
  <c r="AI1915" i="1"/>
  <c r="AJ1915" i="1"/>
  <c r="AK1915" i="1"/>
  <c r="AP1915" i="1"/>
  <c r="AR1915" i="1"/>
  <c r="AY1915" i="1"/>
  <c r="BE1915" i="1"/>
  <c r="BF1915" i="1"/>
  <c r="C1916" i="1"/>
  <c r="E1916" i="1"/>
  <c r="F1916" i="1"/>
  <c r="G1916" i="1"/>
  <c r="H1916" i="1"/>
  <c r="L1916" i="1"/>
  <c r="M1916" i="1"/>
  <c r="N1916" i="1"/>
  <c r="O1916" i="1"/>
  <c r="P1916" i="1"/>
  <c r="Q1916" i="1"/>
  <c r="R1916" i="1"/>
  <c r="S1916" i="1"/>
  <c r="T1916" i="1"/>
  <c r="U1916" i="1"/>
  <c r="V1916" i="1"/>
  <c r="AB1916" i="1"/>
  <c r="AI1916" i="1"/>
  <c r="AJ1916" i="1"/>
  <c r="AK1916" i="1"/>
  <c r="AP1916" i="1"/>
  <c r="AR1916" i="1"/>
  <c r="AY1916" i="1"/>
  <c r="BE1916" i="1"/>
  <c r="BF1916" i="1"/>
  <c r="C1917" i="1"/>
  <c r="E1917" i="1"/>
  <c r="F1917" i="1"/>
  <c r="G1917" i="1"/>
  <c r="H1917" i="1"/>
  <c r="L1917" i="1"/>
  <c r="M1917" i="1"/>
  <c r="N1917" i="1"/>
  <c r="O1917" i="1"/>
  <c r="P1917" i="1"/>
  <c r="Q1917" i="1"/>
  <c r="R1917" i="1"/>
  <c r="S1917" i="1"/>
  <c r="T1917" i="1"/>
  <c r="U1917" i="1"/>
  <c r="V1917" i="1"/>
  <c r="AB1917" i="1"/>
  <c r="AI1917" i="1"/>
  <c r="AJ1917" i="1"/>
  <c r="AK1917" i="1"/>
  <c r="AP1917" i="1"/>
  <c r="AR1917" i="1"/>
  <c r="AY1917" i="1"/>
  <c r="BE1917" i="1"/>
  <c r="BF1917" i="1"/>
  <c r="C1918" i="1"/>
  <c r="E1918" i="1"/>
  <c r="F1918" i="1"/>
  <c r="G1918" i="1"/>
  <c r="H1918" i="1"/>
  <c r="L1918" i="1"/>
  <c r="M1918" i="1"/>
  <c r="N1918" i="1"/>
  <c r="O1918" i="1"/>
  <c r="P1918" i="1"/>
  <c r="Q1918" i="1"/>
  <c r="R1918" i="1"/>
  <c r="S1918" i="1"/>
  <c r="T1918" i="1"/>
  <c r="U1918" i="1"/>
  <c r="V1918" i="1"/>
  <c r="AB1918" i="1"/>
  <c r="AI1918" i="1"/>
  <c r="AJ1918" i="1"/>
  <c r="AK1918" i="1"/>
  <c r="AP1918" i="1"/>
  <c r="AR1918" i="1"/>
  <c r="AY1918" i="1"/>
  <c r="BE1918" i="1"/>
  <c r="BF1918" i="1"/>
  <c r="C1919" i="1"/>
  <c r="E1919" i="1"/>
  <c r="F1919" i="1"/>
  <c r="G1919" i="1"/>
  <c r="H1919" i="1"/>
  <c r="L1919" i="1"/>
  <c r="M1919" i="1"/>
  <c r="N1919" i="1"/>
  <c r="O1919" i="1"/>
  <c r="P1919" i="1"/>
  <c r="Q1919" i="1"/>
  <c r="R1919" i="1"/>
  <c r="S1919" i="1"/>
  <c r="T1919" i="1"/>
  <c r="U1919" i="1"/>
  <c r="V1919" i="1"/>
  <c r="AB1919" i="1"/>
  <c r="AI1919" i="1"/>
  <c r="AJ1919" i="1"/>
  <c r="AK1919" i="1"/>
  <c r="AP1919" i="1"/>
  <c r="AR1919" i="1"/>
  <c r="AY1919" i="1"/>
  <c r="BE1919" i="1"/>
  <c r="BF1919" i="1"/>
  <c r="C1920" i="1"/>
  <c r="E1920" i="1"/>
  <c r="F1920" i="1"/>
  <c r="G1920" i="1"/>
  <c r="H1920" i="1"/>
  <c r="L1920" i="1"/>
  <c r="M1920" i="1"/>
  <c r="N1920" i="1"/>
  <c r="O1920" i="1"/>
  <c r="P1920" i="1"/>
  <c r="Q1920" i="1"/>
  <c r="R1920" i="1"/>
  <c r="S1920" i="1"/>
  <c r="T1920" i="1"/>
  <c r="U1920" i="1"/>
  <c r="V1920" i="1"/>
  <c r="AB1920" i="1"/>
  <c r="AI1920" i="1"/>
  <c r="AJ1920" i="1"/>
  <c r="AK1920" i="1"/>
  <c r="AP1920" i="1"/>
  <c r="AR1920" i="1"/>
  <c r="AY1920" i="1"/>
  <c r="BE1920" i="1"/>
  <c r="BF1920" i="1"/>
  <c r="C1921" i="1"/>
  <c r="E1921" i="1"/>
  <c r="F1921" i="1"/>
  <c r="G1921" i="1"/>
  <c r="H1921" i="1"/>
  <c r="L1921" i="1"/>
  <c r="M1921" i="1"/>
  <c r="N1921" i="1"/>
  <c r="O1921" i="1"/>
  <c r="P1921" i="1"/>
  <c r="Q1921" i="1"/>
  <c r="R1921" i="1"/>
  <c r="S1921" i="1"/>
  <c r="T1921" i="1"/>
  <c r="U1921" i="1"/>
  <c r="V1921" i="1"/>
  <c r="AB1921" i="1"/>
  <c r="AI1921" i="1"/>
  <c r="AJ1921" i="1"/>
  <c r="AK1921" i="1"/>
  <c r="AP1921" i="1"/>
  <c r="AR1921" i="1"/>
  <c r="AY1921" i="1"/>
  <c r="BE1921" i="1"/>
  <c r="BF1921" i="1"/>
  <c r="C1922" i="1"/>
  <c r="E1922" i="1"/>
  <c r="F1922" i="1"/>
  <c r="G1922" i="1"/>
  <c r="H1922" i="1"/>
  <c r="L1922" i="1"/>
  <c r="M1922" i="1"/>
  <c r="N1922" i="1"/>
  <c r="O1922" i="1"/>
  <c r="P1922" i="1"/>
  <c r="Q1922" i="1"/>
  <c r="R1922" i="1"/>
  <c r="S1922" i="1"/>
  <c r="T1922" i="1"/>
  <c r="U1922" i="1"/>
  <c r="V1922" i="1"/>
  <c r="AB1922" i="1"/>
  <c r="AI1922" i="1"/>
  <c r="AJ1922" i="1"/>
  <c r="AK1922" i="1"/>
  <c r="AP1922" i="1"/>
  <c r="AR1922" i="1"/>
  <c r="AY1922" i="1"/>
  <c r="BE1922" i="1"/>
  <c r="BF1922" i="1"/>
  <c r="C1923" i="1"/>
  <c r="E1923" i="1"/>
  <c r="F1923" i="1"/>
  <c r="G1923" i="1"/>
  <c r="H1923" i="1"/>
  <c r="L1923" i="1"/>
  <c r="M1923" i="1"/>
  <c r="N1923" i="1"/>
  <c r="O1923" i="1"/>
  <c r="P1923" i="1"/>
  <c r="Q1923" i="1"/>
  <c r="R1923" i="1"/>
  <c r="S1923" i="1"/>
  <c r="T1923" i="1"/>
  <c r="U1923" i="1"/>
  <c r="V1923" i="1"/>
  <c r="AB1923" i="1"/>
  <c r="AI1923" i="1"/>
  <c r="AJ1923" i="1"/>
  <c r="AK1923" i="1"/>
  <c r="AP1923" i="1"/>
  <c r="AR1923" i="1"/>
  <c r="AY1923" i="1"/>
  <c r="BE1923" i="1"/>
  <c r="BF1923" i="1"/>
  <c r="C1924" i="1"/>
  <c r="E1924" i="1"/>
  <c r="F1924" i="1"/>
  <c r="G1924" i="1"/>
  <c r="H1924" i="1"/>
  <c r="L1924" i="1"/>
  <c r="M1924" i="1"/>
  <c r="N1924" i="1"/>
  <c r="O1924" i="1"/>
  <c r="P1924" i="1"/>
  <c r="Q1924" i="1"/>
  <c r="R1924" i="1"/>
  <c r="S1924" i="1"/>
  <c r="T1924" i="1"/>
  <c r="U1924" i="1"/>
  <c r="V1924" i="1"/>
  <c r="AB1924" i="1"/>
  <c r="AI1924" i="1"/>
  <c r="AJ1924" i="1"/>
  <c r="AK1924" i="1"/>
  <c r="AP1924" i="1"/>
  <c r="AR1924" i="1"/>
  <c r="AY1924" i="1"/>
  <c r="BE1924" i="1"/>
  <c r="BF1924" i="1"/>
  <c r="C1925" i="1"/>
  <c r="E1925" i="1"/>
  <c r="F1925" i="1"/>
  <c r="G1925" i="1"/>
  <c r="H1925" i="1"/>
  <c r="L1925" i="1"/>
  <c r="M1925" i="1"/>
  <c r="N1925" i="1"/>
  <c r="O1925" i="1"/>
  <c r="P1925" i="1"/>
  <c r="Q1925" i="1"/>
  <c r="R1925" i="1"/>
  <c r="S1925" i="1"/>
  <c r="T1925" i="1"/>
  <c r="U1925" i="1"/>
  <c r="V1925" i="1"/>
  <c r="AB1925" i="1"/>
  <c r="AI1925" i="1"/>
  <c r="AJ1925" i="1"/>
  <c r="AK1925" i="1"/>
  <c r="AP1925" i="1"/>
  <c r="AR1925" i="1"/>
  <c r="AY1925" i="1"/>
  <c r="BE1925" i="1"/>
  <c r="BF1925" i="1"/>
  <c r="C1926" i="1"/>
  <c r="E1926" i="1"/>
  <c r="F1926" i="1"/>
  <c r="G1926" i="1"/>
  <c r="H1926" i="1"/>
  <c r="L1926" i="1"/>
  <c r="M1926" i="1"/>
  <c r="N1926" i="1"/>
  <c r="O1926" i="1"/>
  <c r="P1926" i="1"/>
  <c r="Q1926" i="1"/>
  <c r="R1926" i="1"/>
  <c r="S1926" i="1"/>
  <c r="T1926" i="1"/>
  <c r="U1926" i="1"/>
  <c r="V1926" i="1"/>
  <c r="AB1926" i="1"/>
  <c r="AI1926" i="1"/>
  <c r="AJ1926" i="1"/>
  <c r="AK1926" i="1"/>
  <c r="AP1926" i="1"/>
  <c r="AR1926" i="1"/>
  <c r="AY1926" i="1"/>
  <c r="BE1926" i="1"/>
  <c r="BF1926" i="1"/>
  <c r="C1927" i="1"/>
  <c r="E1927" i="1"/>
  <c r="F1927" i="1"/>
  <c r="G1927" i="1"/>
  <c r="H1927" i="1"/>
  <c r="L1927" i="1"/>
  <c r="M1927" i="1"/>
  <c r="N1927" i="1"/>
  <c r="O1927" i="1"/>
  <c r="P1927" i="1"/>
  <c r="Q1927" i="1"/>
  <c r="R1927" i="1"/>
  <c r="S1927" i="1"/>
  <c r="T1927" i="1"/>
  <c r="U1927" i="1"/>
  <c r="V1927" i="1"/>
  <c r="AB1927" i="1"/>
  <c r="AI1927" i="1"/>
  <c r="AJ1927" i="1"/>
  <c r="AK1927" i="1"/>
  <c r="AP1927" i="1"/>
  <c r="AR1927" i="1"/>
  <c r="AY1927" i="1"/>
  <c r="BE1927" i="1"/>
  <c r="BF1927" i="1"/>
  <c r="C1928" i="1"/>
  <c r="E1928" i="1"/>
  <c r="F1928" i="1"/>
  <c r="G1928" i="1"/>
  <c r="H1928" i="1"/>
  <c r="L1928" i="1"/>
  <c r="M1928" i="1"/>
  <c r="N1928" i="1"/>
  <c r="O1928" i="1"/>
  <c r="P1928" i="1"/>
  <c r="Q1928" i="1"/>
  <c r="R1928" i="1"/>
  <c r="S1928" i="1"/>
  <c r="T1928" i="1"/>
  <c r="U1928" i="1"/>
  <c r="V1928" i="1"/>
  <c r="AB1928" i="1"/>
  <c r="AI1928" i="1"/>
  <c r="AJ1928" i="1"/>
  <c r="AK1928" i="1"/>
  <c r="AP1928" i="1"/>
  <c r="AR1928" i="1"/>
  <c r="AY1928" i="1"/>
  <c r="BE1928" i="1"/>
  <c r="BF1928" i="1"/>
  <c r="C1929" i="1"/>
  <c r="E1929" i="1"/>
  <c r="F1929" i="1"/>
  <c r="G1929" i="1"/>
  <c r="H1929" i="1"/>
  <c r="L1929" i="1"/>
  <c r="M1929" i="1"/>
  <c r="N1929" i="1"/>
  <c r="O1929" i="1"/>
  <c r="P1929" i="1"/>
  <c r="Q1929" i="1"/>
  <c r="R1929" i="1"/>
  <c r="S1929" i="1"/>
  <c r="T1929" i="1"/>
  <c r="U1929" i="1"/>
  <c r="V1929" i="1"/>
  <c r="AB1929" i="1"/>
  <c r="AI1929" i="1"/>
  <c r="AJ1929" i="1"/>
  <c r="AK1929" i="1"/>
  <c r="AP1929" i="1"/>
  <c r="AR1929" i="1"/>
  <c r="AY1929" i="1"/>
  <c r="BE1929" i="1"/>
  <c r="BF1929" i="1"/>
  <c r="C1930" i="1"/>
  <c r="E1930" i="1"/>
  <c r="F1930" i="1"/>
  <c r="G1930" i="1"/>
  <c r="H1930" i="1"/>
  <c r="L1930" i="1"/>
  <c r="M1930" i="1"/>
  <c r="N1930" i="1"/>
  <c r="O1930" i="1"/>
  <c r="P1930" i="1"/>
  <c r="Q1930" i="1"/>
  <c r="R1930" i="1"/>
  <c r="S1930" i="1"/>
  <c r="T1930" i="1"/>
  <c r="U1930" i="1"/>
  <c r="V1930" i="1"/>
  <c r="AB1930" i="1"/>
  <c r="AI1930" i="1"/>
  <c r="AJ1930" i="1"/>
  <c r="AK1930" i="1"/>
  <c r="AP1930" i="1"/>
  <c r="AR1930" i="1"/>
  <c r="AY1930" i="1"/>
  <c r="BE1930" i="1"/>
  <c r="BF1930" i="1"/>
  <c r="C1931" i="1"/>
  <c r="E1931" i="1"/>
  <c r="F1931" i="1"/>
  <c r="G1931" i="1"/>
  <c r="H1931" i="1"/>
  <c r="L1931" i="1"/>
  <c r="M1931" i="1"/>
  <c r="N1931" i="1"/>
  <c r="O1931" i="1"/>
  <c r="P1931" i="1"/>
  <c r="Q1931" i="1"/>
  <c r="R1931" i="1"/>
  <c r="S1931" i="1"/>
  <c r="T1931" i="1"/>
  <c r="U1931" i="1"/>
  <c r="V1931" i="1"/>
  <c r="AB1931" i="1"/>
  <c r="AI1931" i="1"/>
  <c r="AJ1931" i="1"/>
  <c r="AK1931" i="1"/>
  <c r="AP1931" i="1"/>
  <c r="AR1931" i="1"/>
  <c r="AY1931" i="1"/>
  <c r="BE1931" i="1"/>
  <c r="BF1931" i="1"/>
  <c r="C1932" i="1"/>
  <c r="E1932" i="1"/>
  <c r="F1932" i="1"/>
  <c r="G1932" i="1"/>
  <c r="H1932" i="1"/>
  <c r="L1932" i="1"/>
  <c r="M1932" i="1"/>
  <c r="N1932" i="1"/>
  <c r="O1932" i="1"/>
  <c r="P1932" i="1"/>
  <c r="Q1932" i="1"/>
  <c r="R1932" i="1"/>
  <c r="S1932" i="1"/>
  <c r="T1932" i="1"/>
  <c r="U1932" i="1"/>
  <c r="V1932" i="1"/>
  <c r="AB1932" i="1"/>
  <c r="AI1932" i="1"/>
  <c r="AJ1932" i="1"/>
  <c r="AK1932" i="1"/>
  <c r="AP1932" i="1"/>
  <c r="AR1932" i="1"/>
  <c r="AY1932" i="1"/>
  <c r="BE1932" i="1"/>
  <c r="BF1932" i="1"/>
  <c r="C1933" i="1"/>
  <c r="E1933" i="1"/>
  <c r="F1933" i="1"/>
  <c r="G1933" i="1"/>
  <c r="H1933" i="1"/>
  <c r="L1933" i="1"/>
  <c r="M1933" i="1"/>
  <c r="N1933" i="1"/>
  <c r="O1933" i="1"/>
  <c r="P1933" i="1"/>
  <c r="Q1933" i="1"/>
  <c r="R1933" i="1"/>
  <c r="S1933" i="1"/>
  <c r="T1933" i="1"/>
  <c r="U1933" i="1"/>
  <c r="V1933" i="1"/>
  <c r="AB1933" i="1"/>
  <c r="AI1933" i="1"/>
  <c r="AJ1933" i="1"/>
  <c r="AK1933" i="1"/>
  <c r="AP1933" i="1"/>
  <c r="AR1933" i="1"/>
  <c r="AY1933" i="1"/>
  <c r="BE1933" i="1"/>
  <c r="BF1933" i="1"/>
  <c r="C1934" i="1"/>
  <c r="E1934" i="1"/>
  <c r="F1934" i="1"/>
  <c r="G1934" i="1"/>
  <c r="H1934" i="1"/>
  <c r="L1934" i="1"/>
  <c r="M1934" i="1"/>
  <c r="N1934" i="1"/>
  <c r="O1934" i="1"/>
  <c r="P1934" i="1"/>
  <c r="Q1934" i="1"/>
  <c r="R1934" i="1"/>
  <c r="S1934" i="1"/>
  <c r="T1934" i="1"/>
  <c r="U1934" i="1"/>
  <c r="V1934" i="1"/>
  <c r="AB1934" i="1"/>
  <c r="AI1934" i="1"/>
  <c r="AJ1934" i="1"/>
  <c r="AK1934" i="1"/>
  <c r="AP1934" i="1"/>
  <c r="AR1934" i="1"/>
  <c r="AY1934" i="1"/>
  <c r="BE1934" i="1"/>
  <c r="BF1934" i="1"/>
  <c r="C1935" i="1"/>
  <c r="E1935" i="1"/>
  <c r="F1935" i="1"/>
  <c r="G1935" i="1"/>
  <c r="H1935" i="1"/>
  <c r="L1935" i="1"/>
  <c r="M1935" i="1"/>
  <c r="N1935" i="1"/>
  <c r="O1935" i="1"/>
  <c r="P1935" i="1"/>
  <c r="Q1935" i="1"/>
  <c r="R1935" i="1"/>
  <c r="S1935" i="1"/>
  <c r="T1935" i="1"/>
  <c r="U1935" i="1"/>
  <c r="V1935" i="1"/>
  <c r="AB1935" i="1"/>
  <c r="AI1935" i="1"/>
  <c r="AJ1935" i="1"/>
  <c r="AK1935" i="1"/>
  <c r="AP1935" i="1"/>
  <c r="AR1935" i="1"/>
  <c r="AY1935" i="1"/>
  <c r="BE1935" i="1"/>
  <c r="BF1935" i="1"/>
  <c r="C1936" i="1"/>
  <c r="E1936" i="1"/>
  <c r="F1936" i="1"/>
  <c r="G1936" i="1"/>
  <c r="H1936" i="1"/>
  <c r="L1936" i="1"/>
  <c r="M1936" i="1"/>
  <c r="N1936" i="1"/>
  <c r="O1936" i="1"/>
  <c r="P1936" i="1"/>
  <c r="Q1936" i="1"/>
  <c r="R1936" i="1"/>
  <c r="S1936" i="1"/>
  <c r="T1936" i="1"/>
  <c r="U1936" i="1"/>
  <c r="V1936" i="1"/>
  <c r="AB1936" i="1"/>
  <c r="AI1936" i="1"/>
  <c r="AJ1936" i="1"/>
  <c r="AK1936" i="1"/>
  <c r="AP1936" i="1"/>
  <c r="AR1936" i="1"/>
  <c r="AY1936" i="1"/>
  <c r="BE1936" i="1"/>
  <c r="BF1936" i="1"/>
  <c r="C1937" i="1"/>
  <c r="E1937" i="1"/>
  <c r="F1937" i="1"/>
  <c r="G1937" i="1"/>
  <c r="H1937" i="1"/>
  <c r="L1937" i="1"/>
  <c r="M1937" i="1"/>
  <c r="N1937" i="1"/>
  <c r="O1937" i="1"/>
  <c r="P1937" i="1"/>
  <c r="Q1937" i="1"/>
  <c r="R1937" i="1"/>
  <c r="S1937" i="1"/>
  <c r="T1937" i="1"/>
  <c r="U1937" i="1"/>
  <c r="V1937" i="1"/>
  <c r="AB1937" i="1"/>
  <c r="AI1937" i="1"/>
  <c r="AJ1937" i="1"/>
  <c r="AK1937" i="1"/>
  <c r="AP1937" i="1"/>
  <c r="AR1937" i="1"/>
  <c r="AY1937" i="1"/>
  <c r="BE1937" i="1"/>
  <c r="BF1937" i="1"/>
  <c r="C1938" i="1"/>
  <c r="E1938" i="1"/>
  <c r="F1938" i="1"/>
  <c r="G1938" i="1"/>
  <c r="H1938" i="1"/>
  <c r="L1938" i="1"/>
  <c r="M1938" i="1"/>
  <c r="N1938" i="1"/>
  <c r="O1938" i="1"/>
  <c r="P1938" i="1"/>
  <c r="Q1938" i="1"/>
  <c r="R1938" i="1"/>
  <c r="S1938" i="1"/>
  <c r="T1938" i="1"/>
  <c r="U1938" i="1"/>
  <c r="V1938" i="1"/>
  <c r="AB1938" i="1"/>
  <c r="AI1938" i="1"/>
  <c r="AJ1938" i="1"/>
  <c r="AK1938" i="1"/>
  <c r="AP1938" i="1"/>
  <c r="AR1938" i="1"/>
  <c r="AY1938" i="1"/>
  <c r="BE1938" i="1"/>
  <c r="BF1938" i="1"/>
  <c r="C1939" i="1"/>
  <c r="E1939" i="1"/>
  <c r="F1939" i="1"/>
  <c r="G1939" i="1"/>
  <c r="H1939" i="1"/>
  <c r="L1939" i="1"/>
  <c r="M1939" i="1"/>
  <c r="N1939" i="1"/>
  <c r="O1939" i="1"/>
  <c r="P1939" i="1"/>
  <c r="Q1939" i="1"/>
  <c r="R1939" i="1"/>
  <c r="S1939" i="1"/>
  <c r="T1939" i="1"/>
  <c r="U1939" i="1"/>
  <c r="V1939" i="1"/>
  <c r="AB1939" i="1"/>
  <c r="AI1939" i="1"/>
  <c r="AJ1939" i="1"/>
  <c r="AK1939" i="1"/>
  <c r="AP1939" i="1"/>
  <c r="AR1939" i="1"/>
  <c r="AY1939" i="1"/>
  <c r="BE1939" i="1"/>
  <c r="BF1939" i="1"/>
  <c r="C1940" i="1"/>
  <c r="E1940" i="1"/>
  <c r="F1940" i="1"/>
  <c r="G1940" i="1"/>
  <c r="H1940" i="1"/>
  <c r="L1940" i="1"/>
  <c r="M1940" i="1"/>
  <c r="N1940" i="1"/>
  <c r="O1940" i="1"/>
  <c r="P1940" i="1"/>
  <c r="Q1940" i="1"/>
  <c r="R1940" i="1"/>
  <c r="S1940" i="1"/>
  <c r="T1940" i="1"/>
  <c r="U1940" i="1"/>
  <c r="V1940" i="1"/>
  <c r="AB1940" i="1"/>
  <c r="AI1940" i="1"/>
  <c r="AJ1940" i="1"/>
  <c r="AK1940" i="1"/>
  <c r="AP1940" i="1"/>
  <c r="AR1940" i="1"/>
  <c r="AY1940" i="1"/>
  <c r="BE1940" i="1"/>
  <c r="BF1940" i="1"/>
  <c r="C1941" i="1"/>
  <c r="E1941" i="1"/>
  <c r="F1941" i="1"/>
  <c r="G1941" i="1"/>
  <c r="H1941" i="1"/>
  <c r="L1941" i="1"/>
  <c r="M1941" i="1"/>
  <c r="N1941" i="1"/>
  <c r="O1941" i="1"/>
  <c r="P1941" i="1"/>
  <c r="Q1941" i="1"/>
  <c r="R1941" i="1"/>
  <c r="S1941" i="1"/>
  <c r="T1941" i="1"/>
  <c r="U1941" i="1"/>
  <c r="V1941" i="1"/>
  <c r="AB1941" i="1"/>
  <c r="AI1941" i="1"/>
  <c r="AJ1941" i="1"/>
  <c r="AK1941" i="1"/>
  <c r="AP1941" i="1"/>
  <c r="AR1941" i="1"/>
  <c r="AY1941" i="1"/>
  <c r="BE1941" i="1"/>
  <c r="BF1941" i="1"/>
  <c r="C1942" i="1"/>
  <c r="E1942" i="1"/>
  <c r="F1942" i="1"/>
  <c r="G1942" i="1"/>
  <c r="H1942" i="1"/>
  <c r="L1942" i="1"/>
  <c r="M1942" i="1"/>
  <c r="N1942" i="1"/>
  <c r="O1942" i="1"/>
  <c r="P1942" i="1"/>
  <c r="Q1942" i="1"/>
  <c r="R1942" i="1"/>
  <c r="S1942" i="1"/>
  <c r="T1942" i="1"/>
  <c r="U1942" i="1"/>
  <c r="V1942" i="1"/>
  <c r="AB1942" i="1"/>
  <c r="AI1942" i="1"/>
  <c r="AJ1942" i="1"/>
  <c r="AK1942" i="1"/>
  <c r="AP1942" i="1"/>
  <c r="AR1942" i="1"/>
  <c r="AY1942" i="1"/>
  <c r="BE1942" i="1"/>
  <c r="BF1942" i="1"/>
  <c r="C1943" i="1"/>
  <c r="E1943" i="1"/>
  <c r="F1943" i="1"/>
  <c r="G1943" i="1"/>
  <c r="H1943" i="1"/>
  <c r="L1943" i="1"/>
  <c r="M1943" i="1"/>
  <c r="N1943" i="1"/>
  <c r="O1943" i="1"/>
  <c r="P1943" i="1"/>
  <c r="Q1943" i="1"/>
  <c r="R1943" i="1"/>
  <c r="S1943" i="1"/>
  <c r="T1943" i="1"/>
  <c r="U1943" i="1"/>
  <c r="V1943" i="1"/>
  <c r="AB1943" i="1"/>
  <c r="AI1943" i="1"/>
  <c r="AJ1943" i="1"/>
  <c r="AK1943" i="1"/>
  <c r="AP1943" i="1"/>
  <c r="AR1943" i="1"/>
  <c r="AY1943" i="1"/>
  <c r="BE1943" i="1"/>
  <c r="BF1943" i="1"/>
  <c r="C1944" i="1"/>
  <c r="E1944" i="1"/>
  <c r="F1944" i="1"/>
  <c r="G1944" i="1"/>
  <c r="H1944" i="1"/>
  <c r="L1944" i="1"/>
  <c r="M1944" i="1"/>
  <c r="N1944" i="1"/>
  <c r="O1944" i="1"/>
  <c r="P1944" i="1"/>
  <c r="Q1944" i="1"/>
  <c r="R1944" i="1"/>
  <c r="S1944" i="1"/>
  <c r="T1944" i="1"/>
  <c r="U1944" i="1"/>
  <c r="V1944" i="1"/>
  <c r="AB1944" i="1"/>
  <c r="AI1944" i="1"/>
  <c r="AJ1944" i="1"/>
  <c r="AK1944" i="1"/>
  <c r="AP1944" i="1"/>
  <c r="AR1944" i="1"/>
  <c r="AY1944" i="1"/>
  <c r="BE1944" i="1"/>
  <c r="BF1944" i="1"/>
  <c r="C1945" i="1"/>
  <c r="E1945" i="1"/>
  <c r="F1945" i="1"/>
  <c r="G1945" i="1"/>
  <c r="H1945" i="1"/>
  <c r="L1945" i="1"/>
  <c r="M1945" i="1"/>
  <c r="N1945" i="1"/>
  <c r="O1945" i="1"/>
  <c r="P1945" i="1"/>
  <c r="Q1945" i="1"/>
  <c r="R1945" i="1"/>
  <c r="S1945" i="1"/>
  <c r="T1945" i="1"/>
  <c r="U1945" i="1"/>
  <c r="V1945" i="1"/>
  <c r="AB1945" i="1"/>
  <c r="AI1945" i="1"/>
  <c r="AJ1945" i="1"/>
  <c r="AK1945" i="1"/>
  <c r="AP1945" i="1"/>
  <c r="AR1945" i="1"/>
  <c r="AY1945" i="1"/>
  <c r="BE1945" i="1"/>
  <c r="BF1945" i="1"/>
  <c r="C1946" i="1"/>
  <c r="E1946" i="1"/>
  <c r="F1946" i="1"/>
  <c r="G1946" i="1"/>
  <c r="H1946" i="1"/>
  <c r="L1946" i="1"/>
  <c r="M1946" i="1"/>
  <c r="N1946" i="1"/>
  <c r="O1946" i="1"/>
  <c r="P1946" i="1"/>
  <c r="Q1946" i="1"/>
  <c r="R1946" i="1"/>
  <c r="S1946" i="1"/>
  <c r="T1946" i="1"/>
  <c r="U1946" i="1"/>
  <c r="V1946" i="1"/>
  <c r="AB1946" i="1"/>
  <c r="AI1946" i="1"/>
  <c r="AJ1946" i="1"/>
  <c r="AK1946" i="1"/>
  <c r="AP1946" i="1"/>
  <c r="AR1946" i="1"/>
  <c r="AY1946" i="1"/>
  <c r="BE1946" i="1"/>
  <c r="BF1946" i="1"/>
  <c r="C1947" i="1"/>
  <c r="E1947" i="1"/>
  <c r="F1947" i="1"/>
  <c r="G1947" i="1"/>
  <c r="H1947" i="1"/>
  <c r="L1947" i="1"/>
  <c r="M1947" i="1"/>
  <c r="N1947" i="1"/>
  <c r="O1947" i="1"/>
  <c r="P1947" i="1"/>
  <c r="Q1947" i="1"/>
  <c r="R1947" i="1"/>
  <c r="S1947" i="1"/>
  <c r="T1947" i="1"/>
  <c r="U1947" i="1"/>
  <c r="V1947" i="1"/>
  <c r="AB1947" i="1"/>
  <c r="AI1947" i="1"/>
  <c r="AJ1947" i="1"/>
  <c r="AK1947" i="1"/>
  <c r="AP1947" i="1"/>
  <c r="AR1947" i="1"/>
  <c r="AY1947" i="1"/>
  <c r="BE1947" i="1"/>
  <c r="BF1947" i="1"/>
  <c r="C1948" i="1"/>
  <c r="E1948" i="1"/>
  <c r="F1948" i="1"/>
  <c r="G1948" i="1"/>
  <c r="H1948" i="1"/>
  <c r="L1948" i="1"/>
  <c r="M1948" i="1"/>
  <c r="N1948" i="1"/>
  <c r="O1948" i="1"/>
  <c r="P1948" i="1"/>
  <c r="Q1948" i="1"/>
  <c r="R1948" i="1"/>
  <c r="S1948" i="1"/>
  <c r="T1948" i="1"/>
  <c r="U1948" i="1"/>
  <c r="V1948" i="1"/>
  <c r="AB1948" i="1"/>
  <c r="AI1948" i="1"/>
  <c r="AJ1948" i="1"/>
  <c r="AK1948" i="1"/>
  <c r="AP1948" i="1"/>
  <c r="AR1948" i="1"/>
  <c r="AY1948" i="1"/>
  <c r="BE1948" i="1"/>
  <c r="BF1948" i="1"/>
  <c r="C1949" i="1"/>
  <c r="E1949" i="1"/>
  <c r="F1949" i="1"/>
  <c r="G1949" i="1"/>
  <c r="H1949" i="1"/>
  <c r="L1949" i="1"/>
  <c r="M1949" i="1"/>
  <c r="N1949" i="1"/>
  <c r="O1949" i="1"/>
  <c r="P1949" i="1"/>
  <c r="Q1949" i="1"/>
  <c r="R1949" i="1"/>
  <c r="S1949" i="1"/>
  <c r="T1949" i="1"/>
  <c r="U1949" i="1"/>
  <c r="V1949" i="1"/>
  <c r="AB1949" i="1"/>
  <c r="AI1949" i="1"/>
  <c r="AJ1949" i="1"/>
  <c r="AK1949" i="1"/>
  <c r="AP1949" i="1"/>
  <c r="AR1949" i="1"/>
  <c r="AY1949" i="1"/>
  <c r="BE1949" i="1"/>
  <c r="BF1949" i="1"/>
  <c r="C1950" i="1"/>
  <c r="E1950" i="1"/>
  <c r="F1950" i="1"/>
  <c r="G1950" i="1"/>
  <c r="H1950" i="1"/>
  <c r="L1950" i="1"/>
  <c r="M1950" i="1"/>
  <c r="N1950" i="1"/>
  <c r="O1950" i="1"/>
  <c r="P1950" i="1"/>
  <c r="Q1950" i="1"/>
  <c r="R1950" i="1"/>
  <c r="S1950" i="1"/>
  <c r="T1950" i="1"/>
  <c r="U1950" i="1"/>
  <c r="V1950" i="1"/>
  <c r="AB1950" i="1"/>
  <c r="AI1950" i="1"/>
  <c r="AJ1950" i="1"/>
  <c r="AK1950" i="1"/>
  <c r="AP1950" i="1"/>
  <c r="AR1950" i="1"/>
  <c r="AY1950" i="1"/>
  <c r="BE1950" i="1"/>
  <c r="BF1950" i="1"/>
  <c r="C1951" i="1"/>
  <c r="E1951" i="1"/>
  <c r="F1951" i="1"/>
  <c r="G1951" i="1"/>
  <c r="H1951" i="1"/>
  <c r="L1951" i="1"/>
  <c r="M1951" i="1"/>
  <c r="N1951" i="1"/>
  <c r="O1951" i="1"/>
  <c r="P1951" i="1"/>
  <c r="Q1951" i="1"/>
  <c r="R1951" i="1"/>
  <c r="S1951" i="1"/>
  <c r="T1951" i="1"/>
  <c r="U1951" i="1"/>
  <c r="V1951" i="1"/>
  <c r="AB1951" i="1"/>
  <c r="AI1951" i="1"/>
  <c r="AJ1951" i="1"/>
  <c r="AK1951" i="1"/>
  <c r="AP1951" i="1"/>
  <c r="AR1951" i="1"/>
  <c r="AY1951" i="1"/>
  <c r="BE1951" i="1"/>
  <c r="BF1951" i="1"/>
  <c r="C1952" i="1"/>
  <c r="E1952" i="1"/>
  <c r="F1952" i="1"/>
  <c r="G1952" i="1"/>
  <c r="H1952" i="1"/>
  <c r="L1952" i="1"/>
  <c r="M1952" i="1"/>
  <c r="N1952" i="1"/>
  <c r="O1952" i="1"/>
  <c r="P1952" i="1"/>
  <c r="Q1952" i="1"/>
  <c r="R1952" i="1"/>
  <c r="S1952" i="1"/>
  <c r="T1952" i="1"/>
  <c r="U1952" i="1"/>
  <c r="V1952" i="1"/>
  <c r="AB1952" i="1"/>
  <c r="AI1952" i="1"/>
  <c r="AJ1952" i="1"/>
  <c r="AK1952" i="1"/>
  <c r="AP1952" i="1"/>
  <c r="AR1952" i="1"/>
  <c r="AY1952" i="1"/>
  <c r="BE1952" i="1"/>
  <c r="BF1952" i="1"/>
  <c r="C1953" i="1"/>
  <c r="E1953" i="1"/>
  <c r="F1953" i="1"/>
  <c r="G1953" i="1"/>
  <c r="H1953" i="1"/>
  <c r="L1953" i="1"/>
  <c r="M1953" i="1"/>
  <c r="N1953" i="1"/>
  <c r="O1953" i="1"/>
  <c r="P1953" i="1"/>
  <c r="Q1953" i="1"/>
  <c r="R1953" i="1"/>
  <c r="S1953" i="1"/>
  <c r="T1953" i="1"/>
  <c r="U1953" i="1"/>
  <c r="V1953" i="1"/>
  <c r="AB1953" i="1"/>
  <c r="AI1953" i="1"/>
  <c r="AJ1953" i="1"/>
  <c r="AK1953" i="1"/>
  <c r="AP1953" i="1"/>
  <c r="AR1953" i="1"/>
  <c r="AY1953" i="1"/>
  <c r="BE1953" i="1"/>
  <c r="BF1953" i="1"/>
  <c r="C1954" i="1"/>
  <c r="E1954" i="1"/>
  <c r="F1954" i="1"/>
  <c r="G1954" i="1"/>
  <c r="H1954" i="1"/>
  <c r="L1954" i="1"/>
  <c r="M1954" i="1"/>
  <c r="N1954" i="1"/>
  <c r="O1954" i="1"/>
  <c r="P1954" i="1"/>
  <c r="Q1954" i="1"/>
  <c r="R1954" i="1"/>
  <c r="S1954" i="1"/>
  <c r="T1954" i="1"/>
  <c r="U1954" i="1"/>
  <c r="V1954" i="1"/>
  <c r="AB1954" i="1"/>
  <c r="AI1954" i="1"/>
  <c r="AJ1954" i="1"/>
  <c r="AK1954" i="1"/>
  <c r="AP1954" i="1"/>
  <c r="AR1954" i="1"/>
  <c r="AY1954" i="1"/>
  <c r="BE1954" i="1"/>
  <c r="BF1954" i="1"/>
  <c r="C1955" i="1"/>
  <c r="E1955" i="1"/>
  <c r="F1955" i="1"/>
  <c r="G1955" i="1"/>
  <c r="H1955" i="1"/>
  <c r="L1955" i="1"/>
  <c r="M1955" i="1"/>
  <c r="N1955" i="1"/>
  <c r="O1955" i="1"/>
  <c r="P1955" i="1"/>
  <c r="Q1955" i="1"/>
  <c r="R1955" i="1"/>
  <c r="S1955" i="1"/>
  <c r="T1955" i="1"/>
  <c r="U1955" i="1"/>
  <c r="V1955" i="1"/>
  <c r="AB1955" i="1"/>
  <c r="AI1955" i="1"/>
  <c r="AJ1955" i="1"/>
  <c r="AK1955" i="1"/>
  <c r="AP1955" i="1"/>
  <c r="AR1955" i="1"/>
  <c r="AY1955" i="1"/>
  <c r="BE1955" i="1"/>
  <c r="BF1955" i="1"/>
  <c r="C1956" i="1"/>
  <c r="E1956" i="1"/>
  <c r="F1956" i="1"/>
  <c r="G1956" i="1"/>
  <c r="H1956" i="1"/>
  <c r="L1956" i="1"/>
  <c r="M1956" i="1"/>
  <c r="N1956" i="1"/>
  <c r="O1956" i="1"/>
  <c r="P1956" i="1"/>
  <c r="Q1956" i="1"/>
  <c r="R1956" i="1"/>
  <c r="S1956" i="1"/>
  <c r="T1956" i="1"/>
  <c r="U1956" i="1"/>
  <c r="V1956" i="1"/>
  <c r="AB1956" i="1"/>
  <c r="AI1956" i="1"/>
  <c r="AJ1956" i="1"/>
  <c r="AK1956" i="1"/>
  <c r="AP1956" i="1"/>
  <c r="AR1956" i="1"/>
  <c r="AY1956" i="1"/>
  <c r="BE1956" i="1"/>
  <c r="BF1956" i="1"/>
  <c r="C1957" i="1"/>
  <c r="E1957" i="1"/>
  <c r="F1957" i="1"/>
  <c r="G1957" i="1"/>
  <c r="H1957" i="1"/>
  <c r="L1957" i="1"/>
  <c r="M1957" i="1"/>
  <c r="N1957" i="1"/>
  <c r="O1957" i="1"/>
  <c r="P1957" i="1"/>
  <c r="Q1957" i="1"/>
  <c r="R1957" i="1"/>
  <c r="S1957" i="1"/>
  <c r="T1957" i="1"/>
  <c r="U1957" i="1"/>
  <c r="V1957" i="1"/>
  <c r="AB1957" i="1"/>
  <c r="AI1957" i="1"/>
  <c r="AJ1957" i="1"/>
  <c r="AK1957" i="1"/>
  <c r="AP1957" i="1"/>
  <c r="AR1957" i="1"/>
  <c r="AY1957" i="1"/>
  <c r="BE1957" i="1"/>
  <c r="BF1957" i="1"/>
  <c r="C1958" i="1"/>
  <c r="E1958" i="1"/>
  <c r="F1958" i="1"/>
  <c r="G1958" i="1"/>
  <c r="H1958" i="1"/>
  <c r="L1958" i="1"/>
  <c r="M1958" i="1"/>
  <c r="N1958" i="1"/>
  <c r="O1958" i="1"/>
  <c r="P1958" i="1"/>
  <c r="Q1958" i="1"/>
  <c r="R1958" i="1"/>
  <c r="S1958" i="1"/>
  <c r="T1958" i="1"/>
  <c r="U1958" i="1"/>
  <c r="V1958" i="1"/>
  <c r="AB1958" i="1"/>
  <c r="AI1958" i="1"/>
  <c r="AJ1958" i="1"/>
  <c r="AK1958" i="1"/>
  <c r="AP1958" i="1"/>
  <c r="AR1958" i="1"/>
  <c r="AY1958" i="1"/>
  <c r="BE1958" i="1"/>
  <c r="BF1958" i="1"/>
  <c r="C1959" i="1"/>
  <c r="E1959" i="1"/>
  <c r="F1959" i="1"/>
  <c r="G1959" i="1"/>
  <c r="H1959" i="1"/>
  <c r="L1959" i="1"/>
  <c r="M1959" i="1"/>
  <c r="N1959" i="1"/>
  <c r="O1959" i="1"/>
  <c r="P1959" i="1"/>
  <c r="Q1959" i="1"/>
  <c r="R1959" i="1"/>
  <c r="S1959" i="1"/>
  <c r="T1959" i="1"/>
  <c r="U1959" i="1"/>
  <c r="V1959" i="1"/>
  <c r="AB1959" i="1"/>
  <c r="AI1959" i="1"/>
  <c r="AJ1959" i="1"/>
  <c r="AK1959" i="1"/>
  <c r="AP1959" i="1"/>
  <c r="AR1959" i="1"/>
  <c r="AY1959" i="1"/>
  <c r="BE1959" i="1"/>
  <c r="BF1959" i="1"/>
  <c r="C1960" i="1"/>
  <c r="E1960" i="1"/>
  <c r="F1960" i="1"/>
  <c r="G1960" i="1"/>
  <c r="H1960" i="1"/>
  <c r="L1960" i="1"/>
  <c r="M1960" i="1"/>
  <c r="N1960" i="1"/>
  <c r="O1960" i="1"/>
  <c r="P1960" i="1"/>
  <c r="Q1960" i="1"/>
  <c r="R1960" i="1"/>
  <c r="S1960" i="1"/>
  <c r="T1960" i="1"/>
  <c r="U1960" i="1"/>
  <c r="V1960" i="1"/>
  <c r="AB1960" i="1"/>
  <c r="AI1960" i="1"/>
  <c r="AJ1960" i="1"/>
  <c r="AK1960" i="1"/>
  <c r="AP1960" i="1"/>
  <c r="AR1960" i="1"/>
  <c r="AY1960" i="1"/>
  <c r="BE1960" i="1"/>
  <c r="BF1960" i="1"/>
  <c r="C1961" i="1"/>
  <c r="E1961" i="1"/>
  <c r="F1961" i="1"/>
  <c r="G1961" i="1"/>
  <c r="H1961" i="1"/>
  <c r="L1961" i="1"/>
  <c r="M1961" i="1"/>
  <c r="N1961" i="1"/>
  <c r="O1961" i="1"/>
  <c r="P1961" i="1"/>
  <c r="Q1961" i="1"/>
  <c r="R1961" i="1"/>
  <c r="S1961" i="1"/>
  <c r="T1961" i="1"/>
  <c r="U1961" i="1"/>
  <c r="V1961" i="1"/>
  <c r="AB1961" i="1"/>
  <c r="AI1961" i="1"/>
  <c r="AJ1961" i="1"/>
  <c r="AK1961" i="1"/>
  <c r="AP1961" i="1"/>
  <c r="AR1961" i="1"/>
  <c r="AY1961" i="1"/>
  <c r="BE1961" i="1"/>
  <c r="BF1961" i="1"/>
  <c r="C1962" i="1"/>
  <c r="E1962" i="1"/>
  <c r="F1962" i="1"/>
  <c r="G1962" i="1"/>
  <c r="H1962" i="1"/>
  <c r="L1962" i="1"/>
  <c r="M1962" i="1"/>
  <c r="N1962" i="1"/>
  <c r="O1962" i="1"/>
  <c r="P1962" i="1"/>
  <c r="Q1962" i="1"/>
  <c r="R1962" i="1"/>
  <c r="S1962" i="1"/>
  <c r="T1962" i="1"/>
  <c r="U1962" i="1"/>
  <c r="V1962" i="1"/>
  <c r="AB1962" i="1"/>
  <c r="AI1962" i="1"/>
  <c r="AJ1962" i="1"/>
  <c r="AK1962" i="1"/>
  <c r="AP1962" i="1"/>
  <c r="AR1962" i="1"/>
  <c r="AY1962" i="1"/>
  <c r="BE1962" i="1"/>
  <c r="BF1962" i="1"/>
  <c r="C1963" i="1"/>
  <c r="E1963" i="1"/>
  <c r="F1963" i="1"/>
  <c r="G1963" i="1"/>
  <c r="H1963" i="1"/>
  <c r="L1963" i="1"/>
  <c r="M1963" i="1"/>
  <c r="N1963" i="1"/>
  <c r="O1963" i="1"/>
  <c r="P1963" i="1"/>
  <c r="Q1963" i="1"/>
  <c r="R1963" i="1"/>
  <c r="S1963" i="1"/>
  <c r="T1963" i="1"/>
  <c r="U1963" i="1"/>
  <c r="V1963" i="1"/>
  <c r="AB1963" i="1"/>
  <c r="AI1963" i="1"/>
  <c r="AJ1963" i="1"/>
  <c r="AK1963" i="1"/>
  <c r="AP1963" i="1"/>
  <c r="AR1963" i="1"/>
  <c r="AY1963" i="1"/>
  <c r="BE1963" i="1"/>
  <c r="BF1963" i="1"/>
  <c r="C1964" i="1"/>
  <c r="E1964" i="1"/>
  <c r="F1964" i="1"/>
  <c r="G1964" i="1"/>
  <c r="H1964" i="1"/>
  <c r="L1964" i="1"/>
  <c r="M1964" i="1"/>
  <c r="N1964" i="1"/>
  <c r="O1964" i="1"/>
  <c r="P1964" i="1"/>
  <c r="Q1964" i="1"/>
  <c r="R1964" i="1"/>
  <c r="S1964" i="1"/>
  <c r="T1964" i="1"/>
  <c r="U1964" i="1"/>
  <c r="V1964" i="1"/>
  <c r="AB1964" i="1"/>
  <c r="AI1964" i="1"/>
  <c r="AJ1964" i="1"/>
  <c r="AK1964" i="1"/>
  <c r="AP1964" i="1"/>
  <c r="AR1964" i="1"/>
  <c r="AY1964" i="1"/>
  <c r="BE1964" i="1"/>
  <c r="BF1964" i="1"/>
  <c r="C1965" i="1"/>
  <c r="E1965" i="1"/>
  <c r="F1965" i="1"/>
  <c r="G1965" i="1"/>
  <c r="H1965" i="1"/>
  <c r="L1965" i="1"/>
  <c r="M1965" i="1"/>
  <c r="N1965" i="1"/>
  <c r="O1965" i="1"/>
  <c r="P1965" i="1"/>
  <c r="Q1965" i="1"/>
  <c r="R1965" i="1"/>
  <c r="S1965" i="1"/>
  <c r="T1965" i="1"/>
  <c r="U1965" i="1"/>
  <c r="V1965" i="1"/>
  <c r="AB1965" i="1"/>
  <c r="AI1965" i="1"/>
  <c r="AJ1965" i="1"/>
  <c r="AK1965" i="1"/>
  <c r="AP1965" i="1"/>
  <c r="AR1965" i="1"/>
  <c r="AY1965" i="1"/>
  <c r="BE1965" i="1"/>
  <c r="BF1965" i="1"/>
  <c r="C1966" i="1"/>
  <c r="E1966" i="1"/>
  <c r="F1966" i="1"/>
  <c r="G1966" i="1"/>
  <c r="H1966" i="1"/>
  <c r="L1966" i="1"/>
  <c r="M1966" i="1"/>
  <c r="N1966" i="1"/>
  <c r="O1966" i="1"/>
  <c r="P1966" i="1"/>
  <c r="Q1966" i="1"/>
  <c r="R1966" i="1"/>
  <c r="S1966" i="1"/>
  <c r="T1966" i="1"/>
  <c r="U1966" i="1"/>
  <c r="V1966" i="1"/>
  <c r="AB1966" i="1"/>
  <c r="AI1966" i="1"/>
  <c r="AJ1966" i="1"/>
  <c r="AK1966" i="1"/>
  <c r="AP1966" i="1"/>
  <c r="AR1966" i="1"/>
  <c r="AY1966" i="1"/>
  <c r="BE1966" i="1"/>
  <c r="BF1966" i="1"/>
  <c r="C1967" i="1"/>
  <c r="E1967" i="1"/>
  <c r="F1967" i="1"/>
  <c r="G1967" i="1"/>
  <c r="H1967" i="1"/>
  <c r="L1967" i="1"/>
  <c r="M1967" i="1"/>
  <c r="N1967" i="1"/>
  <c r="O1967" i="1"/>
  <c r="P1967" i="1"/>
  <c r="Q1967" i="1"/>
  <c r="R1967" i="1"/>
  <c r="S1967" i="1"/>
  <c r="T1967" i="1"/>
  <c r="U1967" i="1"/>
  <c r="V1967" i="1"/>
  <c r="AB1967" i="1"/>
  <c r="AI1967" i="1"/>
  <c r="AJ1967" i="1"/>
  <c r="AK1967" i="1"/>
  <c r="AP1967" i="1"/>
  <c r="AR1967" i="1"/>
  <c r="AY1967" i="1"/>
  <c r="BE1967" i="1"/>
  <c r="BF1967" i="1"/>
  <c r="C1968" i="1"/>
  <c r="E1968" i="1"/>
  <c r="F1968" i="1"/>
  <c r="G1968" i="1"/>
  <c r="H1968" i="1"/>
  <c r="L1968" i="1"/>
  <c r="M1968" i="1"/>
  <c r="N1968" i="1"/>
  <c r="O1968" i="1"/>
  <c r="P1968" i="1"/>
  <c r="Q1968" i="1"/>
  <c r="R1968" i="1"/>
  <c r="S1968" i="1"/>
  <c r="T1968" i="1"/>
  <c r="U1968" i="1"/>
  <c r="V1968" i="1"/>
  <c r="AB1968" i="1"/>
  <c r="AI1968" i="1"/>
  <c r="AJ1968" i="1"/>
  <c r="AK1968" i="1"/>
  <c r="AP1968" i="1"/>
  <c r="AR1968" i="1"/>
  <c r="AY1968" i="1"/>
  <c r="BE1968" i="1"/>
  <c r="BF1968" i="1"/>
  <c r="C1969" i="1"/>
  <c r="E1969" i="1"/>
  <c r="F1969" i="1"/>
  <c r="G1969" i="1"/>
  <c r="H1969" i="1"/>
  <c r="L1969" i="1"/>
  <c r="M1969" i="1"/>
  <c r="N1969" i="1"/>
  <c r="O1969" i="1"/>
  <c r="P1969" i="1"/>
  <c r="Q1969" i="1"/>
  <c r="R1969" i="1"/>
  <c r="S1969" i="1"/>
  <c r="T1969" i="1"/>
  <c r="U1969" i="1"/>
  <c r="V1969" i="1"/>
  <c r="AB1969" i="1"/>
  <c r="AI1969" i="1"/>
  <c r="AJ1969" i="1"/>
  <c r="AK1969" i="1"/>
  <c r="AP1969" i="1"/>
  <c r="AR1969" i="1"/>
  <c r="AY1969" i="1"/>
  <c r="BE1969" i="1"/>
  <c r="BF1969" i="1"/>
  <c r="C1970" i="1"/>
  <c r="E1970" i="1"/>
  <c r="F1970" i="1"/>
  <c r="G1970" i="1"/>
  <c r="H1970" i="1"/>
  <c r="L1970" i="1"/>
  <c r="M1970" i="1"/>
  <c r="N1970" i="1"/>
  <c r="O1970" i="1"/>
  <c r="P1970" i="1"/>
  <c r="Q1970" i="1"/>
  <c r="R1970" i="1"/>
  <c r="S1970" i="1"/>
  <c r="T1970" i="1"/>
  <c r="U1970" i="1"/>
  <c r="V1970" i="1"/>
  <c r="AB1970" i="1"/>
  <c r="AI1970" i="1"/>
  <c r="AJ1970" i="1"/>
  <c r="AK1970" i="1"/>
  <c r="AP1970" i="1"/>
  <c r="AR1970" i="1"/>
  <c r="AY1970" i="1"/>
  <c r="BE1970" i="1"/>
  <c r="BF1970" i="1"/>
  <c r="C1971" i="1"/>
  <c r="E1971" i="1"/>
  <c r="F1971" i="1"/>
  <c r="G1971" i="1"/>
  <c r="H1971" i="1"/>
  <c r="L1971" i="1"/>
  <c r="M1971" i="1"/>
  <c r="N1971" i="1"/>
  <c r="O1971" i="1"/>
  <c r="P1971" i="1"/>
  <c r="Q1971" i="1"/>
  <c r="R1971" i="1"/>
  <c r="S1971" i="1"/>
  <c r="T1971" i="1"/>
  <c r="U1971" i="1"/>
  <c r="V1971" i="1"/>
  <c r="AB1971" i="1"/>
  <c r="AI1971" i="1"/>
  <c r="AJ1971" i="1"/>
  <c r="AK1971" i="1"/>
  <c r="AP1971" i="1"/>
  <c r="AR1971" i="1"/>
  <c r="AY1971" i="1"/>
  <c r="BE1971" i="1"/>
  <c r="BF1971" i="1"/>
  <c r="C1972" i="1"/>
  <c r="E1972" i="1"/>
  <c r="F1972" i="1"/>
  <c r="G1972" i="1"/>
  <c r="H1972" i="1"/>
  <c r="L1972" i="1"/>
  <c r="M1972" i="1"/>
  <c r="N1972" i="1"/>
  <c r="O1972" i="1"/>
  <c r="P1972" i="1"/>
  <c r="Q1972" i="1"/>
  <c r="R1972" i="1"/>
  <c r="S1972" i="1"/>
  <c r="T1972" i="1"/>
  <c r="U1972" i="1"/>
  <c r="V1972" i="1"/>
  <c r="AB1972" i="1"/>
  <c r="AI1972" i="1"/>
  <c r="AJ1972" i="1"/>
  <c r="AK1972" i="1"/>
  <c r="AP1972" i="1"/>
  <c r="AR1972" i="1"/>
  <c r="AY1972" i="1"/>
  <c r="BE1972" i="1"/>
  <c r="BF1972" i="1"/>
  <c r="C1973" i="1"/>
  <c r="E1973" i="1"/>
  <c r="F1973" i="1"/>
  <c r="G1973" i="1"/>
  <c r="H1973" i="1"/>
  <c r="L1973" i="1"/>
  <c r="M1973" i="1"/>
  <c r="N1973" i="1"/>
  <c r="O1973" i="1"/>
  <c r="P1973" i="1"/>
  <c r="Q1973" i="1"/>
  <c r="R1973" i="1"/>
  <c r="S1973" i="1"/>
  <c r="T1973" i="1"/>
  <c r="U1973" i="1"/>
  <c r="V1973" i="1"/>
  <c r="AB1973" i="1"/>
  <c r="AI1973" i="1"/>
  <c r="AJ1973" i="1"/>
  <c r="AK1973" i="1"/>
  <c r="AP1973" i="1"/>
  <c r="AR1973" i="1"/>
  <c r="AY1973" i="1"/>
  <c r="BE1973" i="1"/>
  <c r="BF1973" i="1"/>
  <c r="C1974" i="1"/>
  <c r="E1974" i="1"/>
  <c r="F1974" i="1"/>
  <c r="G1974" i="1"/>
  <c r="H1974" i="1"/>
  <c r="L1974" i="1"/>
  <c r="M1974" i="1"/>
  <c r="N1974" i="1"/>
  <c r="O1974" i="1"/>
  <c r="P1974" i="1"/>
  <c r="Q1974" i="1"/>
  <c r="R1974" i="1"/>
  <c r="S1974" i="1"/>
  <c r="T1974" i="1"/>
  <c r="U1974" i="1"/>
  <c r="V1974" i="1"/>
  <c r="AB1974" i="1"/>
  <c r="AI1974" i="1"/>
  <c r="AJ1974" i="1"/>
  <c r="AK1974" i="1"/>
  <c r="AP1974" i="1"/>
  <c r="AR1974" i="1"/>
  <c r="AY1974" i="1"/>
  <c r="BE1974" i="1"/>
  <c r="BF1974" i="1"/>
  <c r="C1975" i="1"/>
  <c r="E1975" i="1"/>
  <c r="F1975" i="1"/>
  <c r="G1975" i="1"/>
  <c r="H1975" i="1"/>
  <c r="L1975" i="1"/>
  <c r="M1975" i="1"/>
  <c r="N1975" i="1"/>
  <c r="O1975" i="1"/>
  <c r="P1975" i="1"/>
  <c r="Q1975" i="1"/>
  <c r="R1975" i="1"/>
  <c r="S1975" i="1"/>
  <c r="T1975" i="1"/>
  <c r="U1975" i="1"/>
  <c r="V1975" i="1"/>
  <c r="AB1975" i="1"/>
  <c r="AI1975" i="1"/>
  <c r="AJ1975" i="1"/>
  <c r="AK1975" i="1"/>
  <c r="AP1975" i="1"/>
  <c r="AR1975" i="1"/>
  <c r="AY1975" i="1"/>
  <c r="BE1975" i="1"/>
  <c r="BF1975" i="1"/>
  <c r="C1976" i="1"/>
  <c r="E1976" i="1"/>
  <c r="F1976" i="1"/>
  <c r="G1976" i="1"/>
  <c r="H1976" i="1"/>
  <c r="L1976" i="1"/>
  <c r="M1976" i="1"/>
  <c r="N1976" i="1"/>
  <c r="O1976" i="1"/>
  <c r="P1976" i="1"/>
  <c r="Q1976" i="1"/>
  <c r="R1976" i="1"/>
  <c r="S1976" i="1"/>
  <c r="T1976" i="1"/>
  <c r="U1976" i="1"/>
  <c r="V1976" i="1"/>
  <c r="AB1976" i="1"/>
  <c r="AI1976" i="1"/>
  <c r="AJ1976" i="1"/>
  <c r="AK1976" i="1"/>
  <c r="AP1976" i="1"/>
  <c r="AR1976" i="1"/>
  <c r="AY1976" i="1"/>
  <c r="BE1976" i="1"/>
  <c r="BF1976" i="1"/>
  <c r="C1977" i="1"/>
  <c r="E1977" i="1"/>
  <c r="F1977" i="1"/>
  <c r="G1977" i="1"/>
  <c r="H1977" i="1"/>
  <c r="L1977" i="1"/>
  <c r="M1977" i="1"/>
  <c r="N1977" i="1"/>
  <c r="O1977" i="1"/>
  <c r="P1977" i="1"/>
  <c r="Q1977" i="1"/>
  <c r="R1977" i="1"/>
  <c r="S1977" i="1"/>
  <c r="T1977" i="1"/>
  <c r="U1977" i="1"/>
  <c r="V1977" i="1"/>
  <c r="AB1977" i="1"/>
  <c r="AI1977" i="1"/>
  <c r="AJ1977" i="1"/>
  <c r="AK1977" i="1"/>
  <c r="AP1977" i="1"/>
  <c r="AR1977" i="1"/>
  <c r="AY1977" i="1"/>
  <c r="BE1977" i="1"/>
  <c r="BF1977" i="1"/>
  <c r="C1978" i="1"/>
  <c r="E1978" i="1"/>
  <c r="F1978" i="1"/>
  <c r="G1978" i="1"/>
  <c r="H1978" i="1"/>
  <c r="L1978" i="1"/>
  <c r="M1978" i="1"/>
  <c r="N1978" i="1"/>
  <c r="O1978" i="1"/>
  <c r="P1978" i="1"/>
  <c r="Q1978" i="1"/>
  <c r="R1978" i="1"/>
  <c r="S1978" i="1"/>
  <c r="T1978" i="1"/>
  <c r="U1978" i="1"/>
  <c r="V1978" i="1"/>
  <c r="AB1978" i="1"/>
  <c r="AI1978" i="1"/>
  <c r="AJ1978" i="1"/>
  <c r="AK1978" i="1"/>
  <c r="AP1978" i="1"/>
  <c r="AR1978" i="1"/>
  <c r="AY1978" i="1"/>
  <c r="BE1978" i="1"/>
  <c r="BF1978" i="1"/>
  <c r="C1979" i="1"/>
  <c r="E1979" i="1"/>
  <c r="F1979" i="1"/>
  <c r="G1979" i="1"/>
  <c r="H1979" i="1"/>
  <c r="L1979" i="1"/>
  <c r="M1979" i="1"/>
  <c r="N1979" i="1"/>
  <c r="O1979" i="1"/>
  <c r="P1979" i="1"/>
  <c r="Q1979" i="1"/>
  <c r="R1979" i="1"/>
  <c r="S1979" i="1"/>
  <c r="T1979" i="1"/>
  <c r="U1979" i="1"/>
  <c r="V1979" i="1"/>
  <c r="AB1979" i="1"/>
  <c r="AI1979" i="1"/>
  <c r="AJ1979" i="1"/>
  <c r="AK1979" i="1"/>
  <c r="AP1979" i="1"/>
  <c r="AR1979" i="1"/>
  <c r="AY1979" i="1"/>
  <c r="BE1979" i="1"/>
  <c r="BF1979" i="1"/>
  <c r="C1980" i="1"/>
  <c r="E1980" i="1"/>
  <c r="F1980" i="1"/>
  <c r="G1980" i="1"/>
  <c r="H1980" i="1"/>
  <c r="L1980" i="1"/>
  <c r="M1980" i="1"/>
  <c r="N1980" i="1"/>
  <c r="O1980" i="1"/>
  <c r="P1980" i="1"/>
  <c r="Q1980" i="1"/>
  <c r="R1980" i="1"/>
  <c r="S1980" i="1"/>
  <c r="T1980" i="1"/>
  <c r="U1980" i="1"/>
  <c r="V1980" i="1"/>
  <c r="AB1980" i="1"/>
  <c r="AI1980" i="1"/>
  <c r="AJ1980" i="1"/>
  <c r="AK1980" i="1"/>
  <c r="AP1980" i="1"/>
  <c r="AR1980" i="1"/>
  <c r="AY1980" i="1"/>
  <c r="BE1980" i="1"/>
  <c r="BF1980" i="1"/>
  <c r="C1981" i="1"/>
  <c r="E1981" i="1"/>
  <c r="F1981" i="1"/>
  <c r="G1981" i="1"/>
  <c r="H1981" i="1"/>
  <c r="L1981" i="1"/>
  <c r="M1981" i="1"/>
  <c r="N1981" i="1"/>
  <c r="O1981" i="1"/>
  <c r="P1981" i="1"/>
  <c r="Q1981" i="1"/>
  <c r="R1981" i="1"/>
  <c r="S1981" i="1"/>
  <c r="T1981" i="1"/>
  <c r="U1981" i="1"/>
  <c r="V1981" i="1"/>
  <c r="AB1981" i="1"/>
  <c r="AI1981" i="1"/>
  <c r="AJ1981" i="1"/>
  <c r="AK1981" i="1"/>
  <c r="AP1981" i="1"/>
  <c r="AR1981" i="1"/>
  <c r="AY1981" i="1"/>
  <c r="BE1981" i="1"/>
  <c r="BF1981" i="1"/>
  <c r="C1982" i="1"/>
  <c r="E1982" i="1"/>
  <c r="F1982" i="1"/>
  <c r="G1982" i="1"/>
  <c r="H1982" i="1"/>
  <c r="L1982" i="1"/>
  <c r="M1982" i="1"/>
  <c r="N1982" i="1"/>
  <c r="O1982" i="1"/>
  <c r="P1982" i="1"/>
  <c r="Q1982" i="1"/>
  <c r="R1982" i="1"/>
  <c r="S1982" i="1"/>
  <c r="T1982" i="1"/>
  <c r="U1982" i="1"/>
  <c r="V1982" i="1"/>
  <c r="AB1982" i="1"/>
  <c r="AI1982" i="1"/>
  <c r="AJ1982" i="1"/>
  <c r="AK1982" i="1"/>
  <c r="AP1982" i="1"/>
  <c r="AR1982" i="1"/>
  <c r="AY1982" i="1"/>
  <c r="BE1982" i="1"/>
  <c r="BF1982" i="1"/>
  <c r="C1983" i="1"/>
  <c r="E1983" i="1"/>
  <c r="F1983" i="1"/>
  <c r="G1983" i="1"/>
  <c r="H1983" i="1"/>
  <c r="L1983" i="1"/>
  <c r="M1983" i="1"/>
  <c r="N1983" i="1"/>
  <c r="O1983" i="1"/>
  <c r="P1983" i="1"/>
  <c r="Q1983" i="1"/>
  <c r="R1983" i="1"/>
  <c r="S1983" i="1"/>
  <c r="T1983" i="1"/>
  <c r="U1983" i="1"/>
  <c r="V1983" i="1"/>
  <c r="AB1983" i="1"/>
  <c r="AI1983" i="1"/>
  <c r="AJ1983" i="1"/>
  <c r="AK1983" i="1"/>
  <c r="AP1983" i="1"/>
  <c r="AR1983" i="1"/>
  <c r="AY1983" i="1"/>
  <c r="BE1983" i="1"/>
  <c r="BF1983" i="1"/>
  <c r="C1984" i="1"/>
  <c r="E1984" i="1"/>
  <c r="F1984" i="1"/>
  <c r="G1984" i="1"/>
  <c r="H1984" i="1"/>
  <c r="L1984" i="1"/>
  <c r="M1984" i="1"/>
  <c r="N1984" i="1"/>
  <c r="O1984" i="1"/>
  <c r="P1984" i="1"/>
  <c r="Q1984" i="1"/>
  <c r="R1984" i="1"/>
  <c r="S1984" i="1"/>
  <c r="T1984" i="1"/>
  <c r="U1984" i="1"/>
  <c r="V1984" i="1"/>
  <c r="AB1984" i="1"/>
  <c r="AI1984" i="1"/>
  <c r="AJ1984" i="1"/>
  <c r="AK1984" i="1"/>
  <c r="AP1984" i="1"/>
  <c r="AR1984" i="1"/>
  <c r="AY1984" i="1"/>
  <c r="BE1984" i="1"/>
  <c r="BF1984" i="1"/>
  <c r="C1985" i="1"/>
  <c r="E1985" i="1"/>
  <c r="F1985" i="1"/>
  <c r="G1985" i="1"/>
  <c r="H1985" i="1"/>
  <c r="L1985" i="1"/>
  <c r="M1985" i="1"/>
  <c r="N1985" i="1"/>
  <c r="O1985" i="1"/>
  <c r="P1985" i="1"/>
  <c r="Q1985" i="1"/>
  <c r="R1985" i="1"/>
  <c r="S1985" i="1"/>
  <c r="T1985" i="1"/>
  <c r="U1985" i="1"/>
  <c r="V1985" i="1"/>
  <c r="AB1985" i="1"/>
  <c r="AI1985" i="1"/>
  <c r="AJ1985" i="1"/>
  <c r="AK1985" i="1"/>
  <c r="AP1985" i="1"/>
  <c r="AR1985" i="1"/>
  <c r="AY1985" i="1"/>
  <c r="BE1985" i="1"/>
  <c r="BF1985" i="1"/>
  <c r="C1986" i="1"/>
  <c r="E1986" i="1"/>
  <c r="F1986" i="1"/>
  <c r="G1986" i="1"/>
  <c r="H1986" i="1"/>
  <c r="L1986" i="1"/>
  <c r="M1986" i="1"/>
  <c r="N1986" i="1"/>
  <c r="O1986" i="1"/>
  <c r="P1986" i="1"/>
  <c r="Q1986" i="1"/>
  <c r="R1986" i="1"/>
  <c r="S1986" i="1"/>
  <c r="T1986" i="1"/>
  <c r="U1986" i="1"/>
  <c r="V1986" i="1"/>
  <c r="AB1986" i="1"/>
  <c r="AI1986" i="1"/>
  <c r="AJ1986" i="1"/>
  <c r="AK1986" i="1"/>
  <c r="AP1986" i="1"/>
  <c r="AR1986" i="1"/>
  <c r="AY1986" i="1"/>
  <c r="BE1986" i="1"/>
  <c r="BF1986" i="1"/>
  <c r="C1987" i="1"/>
  <c r="E1987" i="1"/>
  <c r="F1987" i="1"/>
  <c r="G1987" i="1"/>
  <c r="H1987" i="1"/>
  <c r="L1987" i="1"/>
  <c r="M1987" i="1"/>
  <c r="N1987" i="1"/>
  <c r="O1987" i="1"/>
  <c r="P1987" i="1"/>
  <c r="Q1987" i="1"/>
  <c r="R1987" i="1"/>
  <c r="S1987" i="1"/>
  <c r="T1987" i="1"/>
  <c r="U1987" i="1"/>
  <c r="V1987" i="1"/>
  <c r="AB1987" i="1"/>
  <c r="AI1987" i="1"/>
  <c r="AJ1987" i="1"/>
  <c r="AK1987" i="1"/>
  <c r="AP1987" i="1"/>
  <c r="AR1987" i="1"/>
  <c r="AY1987" i="1"/>
  <c r="BE1987" i="1"/>
  <c r="BF1987" i="1"/>
  <c r="C1988" i="1"/>
  <c r="E1988" i="1"/>
  <c r="F1988" i="1"/>
  <c r="G1988" i="1"/>
  <c r="H1988" i="1"/>
  <c r="L1988" i="1"/>
  <c r="M1988" i="1"/>
  <c r="N1988" i="1"/>
  <c r="O1988" i="1"/>
  <c r="P1988" i="1"/>
  <c r="Q1988" i="1"/>
  <c r="R1988" i="1"/>
  <c r="S1988" i="1"/>
  <c r="T1988" i="1"/>
  <c r="U1988" i="1"/>
  <c r="V1988" i="1"/>
  <c r="AB1988" i="1"/>
  <c r="AI1988" i="1"/>
  <c r="AJ1988" i="1"/>
  <c r="AK1988" i="1"/>
  <c r="AP1988" i="1"/>
  <c r="AR1988" i="1"/>
  <c r="AY1988" i="1"/>
  <c r="BE1988" i="1"/>
  <c r="BF1988" i="1"/>
  <c r="C1989" i="1"/>
  <c r="E1989" i="1"/>
  <c r="F1989" i="1"/>
  <c r="G1989" i="1"/>
  <c r="H1989" i="1"/>
  <c r="L1989" i="1"/>
  <c r="M1989" i="1"/>
  <c r="N1989" i="1"/>
  <c r="O1989" i="1"/>
  <c r="P1989" i="1"/>
  <c r="Q1989" i="1"/>
  <c r="R1989" i="1"/>
  <c r="S1989" i="1"/>
  <c r="T1989" i="1"/>
  <c r="U1989" i="1"/>
  <c r="V1989" i="1"/>
  <c r="AB1989" i="1"/>
  <c r="AI1989" i="1"/>
  <c r="AJ1989" i="1"/>
  <c r="AK1989" i="1"/>
  <c r="AP1989" i="1"/>
  <c r="AR1989" i="1"/>
  <c r="AY1989" i="1"/>
  <c r="BE1989" i="1"/>
  <c r="BF1989" i="1"/>
  <c r="C1990" i="1"/>
  <c r="E1990" i="1"/>
  <c r="F1990" i="1"/>
  <c r="G1990" i="1"/>
  <c r="H1990" i="1"/>
  <c r="L1990" i="1"/>
  <c r="M1990" i="1"/>
  <c r="N1990" i="1"/>
  <c r="O1990" i="1"/>
  <c r="P1990" i="1"/>
  <c r="Q1990" i="1"/>
  <c r="R1990" i="1"/>
  <c r="S1990" i="1"/>
  <c r="T1990" i="1"/>
  <c r="U1990" i="1"/>
  <c r="V1990" i="1"/>
  <c r="AB1990" i="1"/>
  <c r="AI1990" i="1"/>
  <c r="AJ1990" i="1"/>
  <c r="AK1990" i="1"/>
  <c r="AP1990" i="1"/>
  <c r="AR1990" i="1"/>
  <c r="AY1990" i="1"/>
  <c r="BE1990" i="1"/>
  <c r="BF1990" i="1"/>
  <c r="C1991" i="1"/>
  <c r="E1991" i="1"/>
  <c r="F1991" i="1"/>
  <c r="G1991" i="1"/>
  <c r="H1991" i="1"/>
  <c r="L1991" i="1"/>
  <c r="M1991" i="1"/>
  <c r="N1991" i="1"/>
  <c r="O1991" i="1"/>
  <c r="P1991" i="1"/>
  <c r="Q1991" i="1"/>
  <c r="R1991" i="1"/>
  <c r="S1991" i="1"/>
  <c r="T1991" i="1"/>
  <c r="U1991" i="1"/>
  <c r="V1991" i="1"/>
  <c r="AB1991" i="1"/>
  <c r="AI1991" i="1"/>
  <c r="AJ1991" i="1"/>
  <c r="AK1991" i="1"/>
  <c r="AP1991" i="1"/>
  <c r="AR1991" i="1"/>
  <c r="AY1991" i="1"/>
  <c r="BE1991" i="1"/>
  <c r="BF1991" i="1"/>
  <c r="C1992" i="1"/>
  <c r="E1992" i="1"/>
  <c r="F1992" i="1"/>
  <c r="G1992" i="1"/>
  <c r="H1992" i="1"/>
  <c r="L1992" i="1"/>
  <c r="M1992" i="1"/>
  <c r="N1992" i="1"/>
  <c r="O1992" i="1"/>
  <c r="P1992" i="1"/>
  <c r="Q1992" i="1"/>
  <c r="R1992" i="1"/>
  <c r="S1992" i="1"/>
  <c r="T1992" i="1"/>
  <c r="U1992" i="1"/>
  <c r="V1992" i="1"/>
  <c r="AB1992" i="1"/>
  <c r="AI1992" i="1"/>
  <c r="AJ1992" i="1"/>
  <c r="AK1992" i="1"/>
  <c r="AP1992" i="1"/>
  <c r="AR1992" i="1"/>
  <c r="AY1992" i="1"/>
  <c r="BE1992" i="1"/>
  <c r="BF1992" i="1"/>
  <c r="C1993" i="1"/>
  <c r="E1993" i="1"/>
  <c r="F1993" i="1"/>
  <c r="G1993" i="1"/>
  <c r="H1993" i="1"/>
  <c r="L1993" i="1"/>
  <c r="M1993" i="1"/>
  <c r="N1993" i="1"/>
  <c r="O1993" i="1"/>
  <c r="P1993" i="1"/>
  <c r="Q1993" i="1"/>
  <c r="R1993" i="1"/>
  <c r="S1993" i="1"/>
  <c r="T1993" i="1"/>
  <c r="U1993" i="1"/>
  <c r="V1993" i="1"/>
  <c r="AB1993" i="1"/>
  <c r="AI1993" i="1"/>
  <c r="AJ1993" i="1"/>
  <c r="AK1993" i="1"/>
  <c r="AP1993" i="1"/>
  <c r="AR1993" i="1"/>
  <c r="AY1993" i="1"/>
  <c r="BE1993" i="1"/>
  <c r="BF1993" i="1"/>
  <c r="C1994" i="1"/>
  <c r="E1994" i="1"/>
  <c r="F1994" i="1"/>
  <c r="G1994" i="1"/>
  <c r="H1994" i="1"/>
  <c r="L1994" i="1"/>
  <c r="M1994" i="1"/>
  <c r="N1994" i="1"/>
  <c r="O1994" i="1"/>
  <c r="P1994" i="1"/>
  <c r="Q1994" i="1"/>
  <c r="R1994" i="1"/>
  <c r="S1994" i="1"/>
  <c r="T1994" i="1"/>
  <c r="U1994" i="1"/>
  <c r="V1994" i="1"/>
  <c r="AB1994" i="1"/>
  <c r="AI1994" i="1"/>
  <c r="AJ1994" i="1"/>
  <c r="AK1994" i="1"/>
  <c r="AP1994" i="1"/>
  <c r="AR1994" i="1"/>
  <c r="AY1994" i="1"/>
  <c r="BE1994" i="1"/>
  <c r="BF1994" i="1"/>
  <c r="C1995" i="1"/>
  <c r="E1995" i="1"/>
  <c r="F1995" i="1"/>
  <c r="G1995" i="1"/>
  <c r="H1995" i="1"/>
  <c r="L1995" i="1"/>
  <c r="M1995" i="1"/>
  <c r="N1995" i="1"/>
  <c r="O1995" i="1"/>
  <c r="P1995" i="1"/>
  <c r="Q1995" i="1"/>
  <c r="R1995" i="1"/>
  <c r="S1995" i="1"/>
  <c r="T1995" i="1"/>
  <c r="U1995" i="1"/>
  <c r="V1995" i="1"/>
  <c r="AB1995" i="1"/>
  <c r="AI1995" i="1"/>
  <c r="AJ1995" i="1"/>
  <c r="AK1995" i="1"/>
  <c r="AP1995" i="1"/>
  <c r="AR1995" i="1"/>
  <c r="AY1995" i="1"/>
  <c r="BE1995" i="1"/>
  <c r="BF1995" i="1"/>
  <c r="C1996" i="1"/>
  <c r="E1996" i="1"/>
  <c r="F1996" i="1"/>
  <c r="G1996" i="1"/>
  <c r="H1996" i="1"/>
  <c r="L1996" i="1"/>
  <c r="M1996" i="1"/>
  <c r="N1996" i="1"/>
  <c r="O1996" i="1"/>
  <c r="P1996" i="1"/>
  <c r="Q1996" i="1"/>
  <c r="R1996" i="1"/>
  <c r="S1996" i="1"/>
  <c r="T1996" i="1"/>
  <c r="U1996" i="1"/>
  <c r="V1996" i="1"/>
  <c r="AB1996" i="1"/>
  <c r="AI1996" i="1"/>
  <c r="AJ1996" i="1"/>
  <c r="AK1996" i="1"/>
  <c r="AP1996" i="1"/>
  <c r="AR1996" i="1"/>
  <c r="AY1996" i="1"/>
  <c r="BE1996" i="1"/>
  <c r="BF1996" i="1"/>
  <c r="C1997" i="1"/>
  <c r="E1997" i="1"/>
  <c r="F1997" i="1"/>
  <c r="G1997" i="1"/>
  <c r="H1997" i="1"/>
  <c r="L1997" i="1"/>
  <c r="M1997" i="1"/>
  <c r="N1997" i="1"/>
  <c r="O1997" i="1"/>
  <c r="P1997" i="1"/>
  <c r="Q1997" i="1"/>
  <c r="R1997" i="1"/>
  <c r="S1997" i="1"/>
  <c r="T1997" i="1"/>
  <c r="U1997" i="1"/>
  <c r="V1997" i="1"/>
  <c r="AB1997" i="1"/>
  <c r="AI1997" i="1"/>
  <c r="AJ1997" i="1"/>
  <c r="AK1997" i="1"/>
  <c r="AP1997" i="1"/>
  <c r="AR1997" i="1"/>
  <c r="AY1997" i="1"/>
  <c r="BE1997" i="1"/>
  <c r="BF1997" i="1"/>
  <c r="C1998" i="1"/>
  <c r="E1998" i="1"/>
  <c r="F1998" i="1"/>
  <c r="G1998" i="1"/>
  <c r="H1998" i="1"/>
  <c r="L1998" i="1"/>
  <c r="M1998" i="1"/>
  <c r="N1998" i="1"/>
  <c r="O1998" i="1"/>
  <c r="P1998" i="1"/>
  <c r="Q1998" i="1"/>
  <c r="R1998" i="1"/>
  <c r="S1998" i="1"/>
  <c r="T1998" i="1"/>
  <c r="U1998" i="1"/>
  <c r="V1998" i="1"/>
  <c r="AB1998" i="1"/>
  <c r="AI1998" i="1"/>
  <c r="AJ1998" i="1"/>
  <c r="AK1998" i="1"/>
  <c r="AP1998" i="1"/>
  <c r="AR1998" i="1"/>
  <c r="AY1998" i="1"/>
  <c r="BE1998" i="1"/>
  <c r="BF1998" i="1"/>
  <c r="C1999" i="1"/>
  <c r="E1999" i="1"/>
  <c r="F1999" i="1"/>
  <c r="G1999" i="1"/>
  <c r="H1999" i="1"/>
  <c r="L1999" i="1"/>
  <c r="M1999" i="1"/>
  <c r="N1999" i="1"/>
  <c r="O1999" i="1"/>
  <c r="P1999" i="1"/>
  <c r="Q1999" i="1"/>
  <c r="R1999" i="1"/>
  <c r="S1999" i="1"/>
  <c r="T1999" i="1"/>
  <c r="U1999" i="1"/>
  <c r="V1999" i="1"/>
  <c r="AB1999" i="1"/>
  <c r="AI1999" i="1"/>
  <c r="AJ1999" i="1"/>
  <c r="AK1999" i="1"/>
  <c r="AP1999" i="1"/>
  <c r="AR1999" i="1"/>
  <c r="AY1999" i="1"/>
  <c r="BE1999" i="1"/>
  <c r="BF1999" i="1"/>
  <c r="C2000" i="1"/>
  <c r="E2000" i="1"/>
  <c r="F2000" i="1"/>
  <c r="G2000" i="1"/>
  <c r="H2000" i="1"/>
  <c r="L2000" i="1"/>
  <c r="M2000" i="1"/>
  <c r="N2000" i="1"/>
  <c r="O2000" i="1"/>
  <c r="P2000" i="1"/>
  <c r="Q2000" i="1"/>
  <c r="R2000" i="1"/>
  <c r="S2000" i="1"/>
  <c r="T2000" i="1"/>
  <c r="U2000" i="1"/>
  <c r="V2000" i="1"/>
  <c r="AB2000" i="1"/>
  <c r="AI2000" i="1"/>
  <c r="AJ2000" i="1"/>
  <c r="AK2000" i="1"/>
  <c r="AP2000" i="1"/>
  <c r="AR2000" i="1"/>
  <c r="AY2000" i="1"/>
  <c r="BE2000" i="1"/>
  <c r="BF2000" i="1"/>
  <c r="C2001" i="1"/>
  <c r="E2001" i="1"/>
  <c r="F2001" i="1"/>
  <c r="G2001" i="1"/>
  <c r="H2001" i="1"/>
  <c r="L2001" i="1"/>
  <c r="M2001" i="1"/>
  <c r="N2001" i="1"/>
  <c r="O2001" i="1"/>
  <c r="P2001" i="1"/>
  <c r="Q2001" i="1"/>
  <c r="R2001" i="1"/>
  <c r="S2001" i="1"/>
  <c r="T2001" i="1"/>
  <c r="U2001" i="1"/>
  <c r="V2001" i="1"/>
  <c r="AB2001" i="1"/>
  <c r="AI2001" i="1"/>
  <c r="AJ2001" i="1"/>
  <c r="AK2001" i="1"/>
  <c r="AP2001" i="1"/>
  <c r="AR2001" i="1"/>
  <c r="AY2001" i="1"/>
  <c r="BE2001" i="1"/>
  <c r="BF2001" i="1"/>
  <c r="C2002" i="1"/>
  <c r="E2002" i="1"/>
  <c r="F2002" i="1"/>
  <c r="G2002" i="1"/>
  <c r="H2002" i="1"/>
  <c r="L2002" i="1"/>
  <c r="M2002" i="1"/>
  <c r="N2002" i="1"/>
  <c r="O2002" i="1"/>
  <c r="P2002" i="1"/>
  <c r="Q2002" i="1"/>
  <c r="R2002" i="1"/>
  <c r="S2002" i="1"/>
  <c r="T2002" i="1"/>
  <c r="U2002" i="1"/>
  <c r="V2002" i="1"/>
  <c r="AB2002" i="1"/>
  <c r="AI2002" i="1"/>
  <c r="AJ2002" i="1"/>
  <c r="AK2002" i="1"/>
  <c r="AP2002" i="1"/>
  <c r="AR2002" i="1"/>
  <c r="AY2002" i="1"/>
  <c r="BE2002" i="1"/>
  <c r="BF2002" i="1"/>
  <c r="C2003" i="1"/>
  <c r="E2003" i="1"/>
  <c r="F2003" i="1"/>
  <c r="G2003" i="1"/>
  <c r="H2003" i="1"/>
  <c r="L2003" i="1"/>
  <c r="M2003" i="1"/>
  <c r="N2003" i="1"/>
  <c r="O2003" i="1"/>
  <c r="P2003" i="1"/>
  <c r="Q2003" i="1"/>
  <c r="R2003" i="1"/>
  <c r="S2003" i="1"/>
  <c r="T2003" i="1"/>
  <c r="U2003" i="1"/>
  <c r="V2003" i="1"/>
  <c r="AB2003" i="1"/>
  <c r="AI2003" i="1"/>
  <c r="AJ2003" i="1"/>
  <c r="AK2003" i="1"/>
  <c r="AP2003" i="1"/>
  <c r="AR2003" i="1"/>
  <c r="AY2003" i="1"/>
  <c r="BE2003" i="1"/>
  <c r="BF2003" i="1"/>
  <c r="C2004" i="1"/>
  <c r="E2004" i="1"/>
  <c r="F2004" i="1"/>
  <c r="G2004" i="1"/>
  <c r="H2004" i="1"/>
  <c r="L2004" i="1"/>
  <c r="M2004" i="1"/>
  <c r="N2004" i="1"/>
  <c r="O2004" i="1"/>
  <c r="P2004" i="1"/>
  <c r="Q2004" i="1"/>
  <c r="R2004" i="1"/>
  <c r="S2004" i="1"/>
  <c r="T2004" i="1"/>
  <c r="U2004" i="1"/>
  <c r="V2004" i="1"/>
  <c r="AB2004" i="1"/>
  <c r="AI2004" i="1"/>
  <c r="AJ2004" i="1"/>
  <c r="AK2004" i="1"/>
  <c r="AP2004" i="1"/>
  <c r="AR2004" i="1"/>
  <c r="AY2004" i="1"/>
  <c r="BE2004" i="1"/>
  <c r="BF2004" i="1"/>
  <c r="C2005" i="1"/>
  <c r="E2005" i="1"/>
  <c r="F2005" i="1"/>
  <c r="G2005" i="1"/>
  <c r="H2005" i="1"/>
  <c r="L2005" i="1"/>
  <c r="M2005" i="1"/>
  <c r="N2005" i="1"/>
  <c r="O2005" i="1"/>
  <c r="P2005" i="1"/>
  <c r="Q2005" i="1"/>
  <c r="R2005" i="1"/>
  <c r="S2005" i="1"/>
  <c r="T2005" i="1"/>
  <c r="U2005" i="1"/>
  <c r="V2005" i="1"/>
  <c r="AB2005" i="1"/>
  <c r="AI2005" i="1"/>
  <c r="AJ2005" i="1"/>
  <c r="AK2005" i="1"/>
  <c r="AP2005" i="1"/>
  <c r="AR2005" i="1"/>
  <c r="AY2005" i="1"/>
  <c r="BE2005" i="1"/>
  <c r="BF2005" i="1"/>
  <c r="C2006" i="1"/>
  <c r="E2006" i="1"/>
  <c r="F2006" i="1"/>
  <c r="G2006" i="1"/>
  <c r="H2006" i="1"/>
  <c r="L2006" i="1"/>
  <c r="M2006" i="1"/>
  <c r="N2006" i="1"/>
  <c r="O2006" i="1"/>
  <c r="P2006" i="1"/>
  <c r="Q2006" i="1"/>
  <c r="R2006" i="1"/>
  <c r="S2006" i="1"/>
  <c r="T2006" i="1"/>
  <c r="U2006" i="1"/>
  <c r="V2006" i="1"/>
  <c r="AB2006" i="1"/>
  <c r="AI2006" i="1"/>
  <c r="AJ2006" i="1"/>
  <c r="AK2006" i="1"/>
  <c r="AP2006" i="1"/>
  <c r="AR2006" i="1"/>
  <c r="AY2006" i="1"/>
  <c r="BE2006" i="1"/>
  <c r="BF2006" i="1"/>
  <c r="C2007" i="1"/>
  <c r="E2007" i="1"/>
  <c r="F2007" i="1"/>
  <c r="G2007" i="1"/>
  <c r="H2007" i="1"/>
  <c r="L2007" i="1"/>
  <c r="M2007" i="1"/>
  <c r="N2007" i="1"/>
  <c r="O2007" i="1"/>
  <c r="P2007" i="1"/>
  <c r="Q2007" i="1"/>
  <c r="R2007" i="1"/>
  <c r="S2007" i="1"/>
  <c r="T2007" i="1"/>
  <c r="U2007" i="1"/>
  <c r="V2007" i="1"/>
  <c r="AB2007" i="1"/>
  <c r="AI2007" i="1"/>
  <c r="AJ2007" i="1"/>
  <c r="AK2007" i="1"/>
  <c r="AP2007" i="1"/>
  <c r="AR2007" i="1"/>
  <c r="AY2007" i="1"/>
  <c r="BE2007" i="1"/>
  <c r="BF2007" i="1"/>
  <c r="C2008" i="1"/>
  <c r="E2008" i="1"/>
  <c r="F2008" i="1"/>
  <c r="G2008" i="1"/>
  <c r="H2008" i="1"/>
  <c r="L2008" i="1"/>
  <c r="M2008" i="1"/>
  <c r="N2008" i="1"/>
  <c r="O2008" i="1"/>
  <c r="P2008" i="1"/>
  <c r="Q2008" i="1"/>
  <c r="R2008" i="1"/>
  <c r="S2008" i="1"/>
  <c r="T2008" i="1"/>
  <c r="U2008" i="1"/>
  <c r="V2008" i="1"/>
  <c r="AB2008" i="1"/>
  <c r="AI2008" i="1"/>
  <c r="AJ2008" i="1"/>
  <c r="AK2008" i="1"/>
  <c r="AP2008" i="1"/>
  <c r="AR2008" i="1"/>
  <c r="AY2008" i="1"/>
  <c r="BE2008" i="1"/>
  <c r="BF2008" i="1"/>
  <c r="C2009" i="1"/>
  <c r="E2009" i="1"/>
  <c r="F2009" i="1"/>
  <c r="G2009" i="1"/>
  <c r="H2009" i="1"/>
  <c r="L2009" i="1"/>
  <c r="M2009" i="1"/>
  <c r="N2009" i="1"/>
  <c r="O2009" i="1"/>
  <c r="P2009" i="1"/>
  <c r="Q2009" i="1"/>
  <c r="R2009" i="1"/>
  <c r="S2009" i="1"/>
  <c r="T2009" i="1"/>
  <c r="U2009" i="1"/>
  <c r="V2009" i="1"/>
  <c r="AB2009" i="1"/>
  <c r="AI2009" i="1"/>
  <c r="AJ2009" i="1"/>
  <c r="AK2009" i="1"/>
  <c r="AP2009" i="1"/>
  <c r="AR2009" i="1"/>
  <c r="AY2009" i="1"/>
  <c r="BE2009" i="1"/>
  <c r="BF2009" i="1"/>
  <c r="C2010" i="1"/>
  <c r="E2010" i="1"/>
  <c r="F2010" i="1"/>
  <c r="G2010" i="1"/>
  <c r="H2010" i="1"/>
  <c r="L2010" i="1"/>
  <c r="M2010" i="1"/>
  <c r="N2010" i="1"/>
  <c r="O2010" i="1"/>
  <c r="P2010" i="1"/>
  <c r="Q2010" i="1"/>
  <c r="R2010" i="1"/>
  <c r="S2010" i="1"/>
  <c r="T2010" i="1"/>
  <c r="U2010" i="1"/>
  <c r="V2010" i="1"/>
  <c r="AB2010" i="1"/>
  <c r="AI2010" i="1"/>
  <c r="AJ2010" i="1"/>
  <c r="AK2010" i="1"/>
  <c r="AP2010" i="1"/>
  <c r="AR2010" i="1"/>
  <c r="AY2010" i="1"/>
  <c r="BE2010" i="1"/>
  <c r="BF2010" i="1"/>
  <c r="C2011" i="1"/>
  <c r="E2011" i="1"/>
  <c r="F2011" i="1"/>
  <c r="G2011" i="1"/>
  <c r="H2011" i="1"/>
  <c r="L2011" i="1"/>
  <c r="M2011" i="1"/>
  <c r="N2011" i="1"/>
  <c r="O2011" i="1"/>
  <c r="P2011" i="1"/>
  <c r="Q2011" i="1"/>
  <c r="R2011" i="1"/>
  <c r="S2011" i="1"/>
  <c r="T2011" i="1"/>
  <c r="U2011" i="1"/>
  <c r="V2011" i="1"/>
  <c r="AB2011" i="1"/>
  <c r="AI2011" i="1"/>
  <c r="AJ2011" i="1"/>
  <c r="AK2011" i="1"/>
  <c r="AP2011" i="1"/>
  <c r="AR2011" i="1"/>
  <c r="AY2011" i="1"/>
  <c r="BE2011" i="1"/>
  <c r="BF2011" i="1"/>
  <c r="C2012" i="1"/>
  <c r="E2012" i="1"/>
  <c r="F2012" i="1"/>
  <c r="G2012" i="1"/>
  <c r="H2012" i="1"/>
  <c r="L2012" i="1"/>
  <c r="M2012" i="1"/>
  <c r="N2012" i="1"/>
  <c r="O2012" i="1"/>
  <c r="P2012" i="1"/>
  <c r="Q2012" i="1"/>
  <c r="R2012" i="1"/>
  <c r="S2012" i="1"/>
  <c r="T2012" i="1"/>
  <c r="U2012" i="1"/>
  <c r="V2012" i="1"/>
  <c r="AB2012" i="1"/>
  <c r="AI2012" i="1"/>
  <c r="AJ2012" i="1"/>
  <c r="AK2012" i="1"/>
  <c r="AP2012" i="1"/>
  <c r="AR2012" i="1"/>
  <c r="AY2012" i="1"/>
  <c r="BE2012" i="1"/>
  <c r="BF2012" i="1"/>
  <c r="C2013" i="1"/>
  <c r="E2013" i="1"/>
  <c r="F2013" i="1"/>
  <c r="G2013" i="1"/>
  <c r="H2013" i="1"/>
  <c r="L2013" i="1"/>
  <c r="M2013" i="1"/>
  <c r="N2013" i="1"/>
  <c r="O2013" i="1"/>
  <c r="P2013" i="1"/>
  <c r="Q2013" i="1"/>
  <c r="R2013" i="1"/>
  <c r="S2013" i="1"/>
  <c r="T2013" i="1"/>
  <c r="U2013" i="1"/>
  <c r="V2013" i="1"/>
  <c r="AB2013" i="1"/>
  <c r="AI2013" i="1"/>
  <c r="AJ2013" i="1"/>
  <c r="AK2013" i="1"/>
  <c r="AP2013" i="1"/>
  <c r="AR2013" i="1"/>
  <c r="AY2013" i="1"/>
  <c r="BE2013" i="1"/>
  <c r="BF2013" i="1"/>
  <c r="C2014" i="1"/>
  <c r="E2014" i="1"/>
  <c r="F2014" i="1"/>
  <c r="G2014" i="1"/>
  <c r="H2014" i="1"/>
  <c r="L2014" i="1"/>
  <c r="M2014" i="1"/>
  <c r="N2014" i="1"/>
  <c r="O2014" i="1"/>
  <c r="P2014" i="1"/>
  <c r="Q2014" i="1"/>
  <c r="R2014" i="1"/>
  <c r="S2014" i="1"/>
  <c r="T2014" i="1"/>
  <c r="U2014" i="1"/>
  <c r="V2014" i="1"/>
  <c r="AB2014" i="1"/>
  <c r="AI2014" i="1"/>
  <c r="AJ2014" i="1"/>
  <c r="AK2014" i="1"/>
  <c r="AP2014" i="1"/>
  <c r="AR2014" i="1"/>
  <c r="AY2014" i="1"/>
  <c r="BE2014" i="1"/>
  <c r="BF2014" i="1"/>
  <c r="C2015" i="1"/>
  <c r="E2015" i="1"/>
  <c r="F2015" i="1"/>
  <c r="G2015" i="1"/>
  <c r="H2015" i="1"/>
  <c r="L2015" i="1"/>
  <c r="M2015" i="1"/>
  <c r="N2015" i="1"/>
  <c r="O2015" i="1"/>
  <c r="P2015" i="1"/>
  <c r="Q2015" i="1"/>
  <c r="R2015" i="1"/>
  <c r="S2015" i="1"/>
  <c r="T2015" i="1"/>
  <c r="U2015" i="1"/>
  <c r="V2015" i="1"/>
  <c r="AB2015" i="1"/>
  <c r="AI2015" i="1"/>
  <c r="AJ2015" i="1"/>
  <c r="AK2015" i="1"/>
  <c r="AP2015" i="1"/>
  <c r="AR2015" i="1"/>
  <c r="AY2015" i="1"/>
  <c r="BE2015" i="1"/>
  <c r="BF2015" i="1"/>
  <c r="C2016" i="1"/>
  <c r="E2016" i="1"/>
  <c r="F2016" i="1"/>
  <c r="G2016" i="1"/>
  <c r="H2016" i="1"/>
  <c r="L2016" i="1"/>
  <c r="M2016" i="1"/>
  <c r="N2016" i="1"/>
  <c r="O2016" i="1"/>
  <c r="P2016" i="1"/>
  <c r="Q2016" i="1"/>
  <c r="R2016" i="1"/>
  <c r="S2016" i="1"/>
  <c r="T2016" i="1"/>
  <c r="U2016" i="1"/>
  <c r="V2016" i="1"/>
  <c r="AB2016" i="1"/>
  <c r="AI2016" i="1"/>
  <c r="AJ2016" i="1"/>
  <c r="AK2016" i="1"/>
  <c r="AP2016" i="1"/>
  <c r="AR2016" i="1"/>
  <c r="AY2016" i="1"/>
  <c r="BE2016" i="1"/>
  <c r="BF2016" i="1"/>
  <c r="C2017" i="1"/>
  <c r="E2017" i="1"/>
  <c r="F2017" i="1"/>
  <c r="G2017" i="1"/>
  <c r="H2017" i="1"/>
  <c r="L2017" i="1"/>
  <c r="M2017" i="1"/>
  <c r="N2017" i="1"/>
  <c r="O2017" i="1"/>
  <c r="P2017" i="1"/>
  <c r="Q2017" i="1"/>
  <c r="R2017" i="1"/>
  <c r="S2017" i="1"/>
  <c r="T2017" i="1"/>
  <c r="U2017" i="1"/>
  <c r="V2017" i="1"/>
  <c r="AB2017" i="1"/>
  <c r="AI2017" i="1"/>
  <c r="AJ2017" i="1"/>
  <c r="AK2017" i="1"/>
  <c r="AP2017" i="1"/>
  <c r="AR2017" i="1"/>
  <c r="AY2017" i="1"/>
  <c r="BE2017" i="1"/>
  <c r="BF2017" i="1"/>
  <c r="C2018" i="1"/>
  <c r="E2018" i="1"/>
  <c r="F2018" i="1"/>
  <c r="G2018" i="1"/>
  <c r="H2018" i="1"/>
  <c r="L2018" i="1"/>
  <c r="M2018" i="1"/>
  <c r="N2018" i="1"/>
  <c r="O2018" i="1"/>
  <c r="P2018" i="1"/>
  <c r="Q2018" i="1"/>
  <c r="R2018" i="1"/>
  <c r="S2018" i="1"/>
  <c r="T2018" i="1"/>
  <c r="U2018" i="1"/>
  <c r="V2018" i="1"/>
  <c r="AB2018" i="1"/>
  <c r="AI2018" i="1"/>
  <c r="AJ2018" i="1"/>
  <c r="AK2018" i="1"/>
  <c r="AP2018" i="1"/>
  <c r="AR2018" i="1"/>
  <c r="AY2018" i="1"/>
  <c r="BE2018" i="1"/>
  <c r="BF2018" i="1"/>
  <c r="C2019" i="1"/>
  <c r="E2019" i="1"/>
  <c r="F2019" i="1"/>
  <c r="G2019" i="1"/>
  <c r="H2019" i="1"/>
  <c r="L2019" i="1"/>
  <c r="M2019" i="1"/>
  <c r="N2019" i="1"/>
  <c r="O2019" i="1"/>
  <c r="P2019" i="1"/>
  <c r="Q2019" i="1"/>
  <c r="R2019" i="1"/>
  <c r="S2019" i="1"/>
  <c r="T2019" i="1"/>
  <c r="U2019" i="1"/>
  <c r="V2019" i="1"/>
  <c r="AB2019" i="1"/>
  <c r="AI2019" i="1"/>
  <c r="AJ2019" i="1"/>
  <c r="AK2019" i="1"/>
  <c r="AP2019" i="1"/>
  <c r="AR2019" i="1"/>
  <c r="AY2019" i="1"/>
  <c r="BE2019" i="1"/>
  <c r="BF2019" i="1"/>
  <c r="C2020" i="1"/>
  <c r="E2020" i="1"/>
  <c r="F2020" i="1"/>
  <c r="G2020" i="1"/>
  <c r="H2020" i="1"/>
  <c r="L2020" i="1"/>
  <c r="M2020" i="1"/>
  <c r="N2020" i="1"/>
  <c r="O2020" i="1"/>
  <c r="P2020" i="1"/>
  <c r="Q2020" i="1"/>
  <c r="R2020" i="1"/>
  <c r="S2020" i="1"/>
  <c r="T2020" i="1"/>
  <c r="U2020" i="1"/>
  <c r="V2020" i="1"/>
  <c r="AB2020" i="1"/>
  <c r="AI2020" i="1"/>
  <c r="AJ2020" i="1"/>
  <c r="AK2020" i="1"/>
  <c r="AP2020" i="1"/>
  <c r="AR2020" i="1"/>
  <c r="AY2020" i="1"/>
  <c r="BE2020" i="1"/>
  <c r="BF2020" i="1"/>
  <c r="C2021" i="1"/>
  <c r="E2021" i="1"/>
  <c r="F2021" i="1"/>
  <c r="G2021" i="1"/>
  <c r="H2021" i="1"/>
  <c r="L2021" i="1"/>
  <c r="M2021" i="1"/>
  <c r="N2021" i="1"/>
  <c r="O2021" i="1"/>
  <c r="P2021" i="1"/>
  <c r="Q2021" i="1"/>
  <c r="R2021" i="1"/>
  <c r="S2021" i="1"/>
  <c r="T2021" i="1"/>
  <c r="U2021" i="1"/>
  <c r="V2021" i="1"/>
  <c r="AB2021" i="1"/>
  <c r="AI2021" i="1"/>
  <c r="AJ2021" i="1"/>
  <c r="AK2021" i="1"/>
  <c r="AP2021" i="1"/>
  <c r="AR2021" i="1"/>
  <c r="AY2021" i="1"/>
  <c r="BE2021" i="1"/>
  <c r="BF2021" i="1"/>
  <c r="C2022" i="1"/>
  <c r="E2022" i="1"/>
  <c r="F2022" i="1"/>
  <c r="G2022" i="1"/>
  <c r="H2022" i="1"/>
  <c r="L2022" i="1"/>
  <c r="M2022" i="1"/>
  <c r="N2022" i="1"/>
  <c r="O2022" i="1"/>
  <c r="P2022" i="1"/>
  <c r="Q2022" i="1"/>
  <c r="R2022" i="1"/>
  <c r="S2022" i="1"/>
  <c r="T2022" i="1"/>
  <c r="U2022" i="1"/>
  <c r="V2022" i="1"/>
  <c r="AB2022" i="1"/>
  <c r="AI2022" i="1"/>
  <c r="AJ2022" i="1"/>
  <c r="AK2022" i="1"/>
  <c r="AP2022" i="1"/>
  <c r="AR2022" i="1"/>
  <c r="AY2022" i="1"/>
  <c r="BE2022" i="1"/>
  <c r="BF2022" i="1"/>
  <c r="C2023" i="1"/>
  <c r="E2023" i="1"/>
  <c r="F2023" i="1"/>
  <c r="G2023" i="1"/>
  <c r="H2023" i="1"/>
  <c r="L2023" i="1"/>
  <c r="M2023" i="1"/>
  <c r="N2023" i="1"/>
  <c r="O2023" i="1"/>
  <c r="P2023" i="1"/>
  <c r="Q2023" i="1"/>
  <c r="R2023" i="1"/>
  <c r="S2023" i="1"/>
  <c r="T2023" i="1"/>
  <c r="U2023" i="1"/>
  <c r="V2023" i="1"/>
  <c r="AB2023" i="1"/>
  <c r="AI2023" i="1"/>
  <c r="AJ2023" i="1"/>
  <c r="AK2023" i="1"/>
  <c r="AP2023" i="1"/>
  <c r="AR2023" i="1"/>
  <c r="AY2023" i="1"/>
  <c r="BE2023" i="1"/>
  <c r="BF2023" i="1"/>
  <c r="C2024" i="1"/>
  <c r="E2024" i="1"/>
  <c r="F2024" i="1"/>
  <c r="G2024" i="1"/>
  <c r="H2024" i="1"/>
  <c r="L2024" i="1"/>
  <c r="M2024" i="1"/>
  <c r="N2024" i="1"/>
  <c r="O2024" i="1"/>
  <c r="P2024" i="1"/>
  <c r="Q2024" i="1"/>
  <c r="R2024" i="1"/>
  <c r="S2024" i="1"/>
  <c r="T2024" i="1"/>
  <c r="U2024" i="1"/>
  <c r="V2024" i="1"/>
  <c r="AB2024" i="1"/>
  <c r="AI2024" i="1"/>
  <c r="AJ2024" i="1"/>
  <c r="AK2024" i="1"/>
  <c r="AP2024" i="1"/>
  <c r="AR2024" i="1"/>
  <c r="AY2024" i="1"/>
  <c r="BE2024" i="1"/>
  <c r="BF2024" i="1"/>
  <c r="C2025" i="1"/>
  <c r="E2025" i="1"/>
  <c r="F2025" i="1"/>
  <c r="G2025" i="1"/>
  <c r="H2025" i="1"/>
  <c r="L2025" i="1"/>
  <c r="M2025" i="1"/>
  <c r="N2025" i="1"/>
  <c r="O2025" i="1"/>
  <c r="P2025" i="1"/>
  <c r="Q2025" i="1"/>
  <c r="R2025" i="1"/>
  <c r="S2025" i="1"/>
  <c r="T2025" i="1"/>
  <c r="U2025" i="1"/>
  <c r="V2025" i="1"/>
  <c r="AB2025" i="1"/>
  <c r="AI2025" i="1"/>
  <c r="AJ2025" i="1"/>
  <c r="AK2025" i="1"/>
  <c r="AP2025" i="1"/>
  <c r="AR2025" i="1"/>
  <c r="AY2025" i="1"/>
  <c r="BE2025" i="1"/>
  <c r="BF2025" i="1"/>
  <c r="C2026" i="1"/>
  <c r="E2026" i="1"/>
  <c r="F2026" i="1"/>
  <c r="G2026" i="1"/>
  <c r="H2026" i="1"/>
  <c r="L2026" i="1"/>
  <c r="M2026" i="1"/>
  <c r="N2026" i="1"/>
  <c r="O2026" i="1"/>
  <c r="P2026" i="1"/>
  <c r="Q2026" i="1"/>
  <c r="R2026" i="1"/>
  <c r="S2026" i="1"/>
  <c r="T2026" i="1"/>
  <c r="U2026" i="1"/>
  <c r="V2026" i="1"/>
  <c r="AB2026" i="1"/>
  <c r="AI2026" i="1"/>
  <c r="AJ2026" i="1"/>
  <c r="AK2026" i="1"/>
  <c r="AP2026" i="1"/>
  <c r="AR2026" i="1"/>
  <c r="AY2026" i="1"/>
  <c r="BE2026" i="1"/>
  <c r="BF2026" i="1"/>
  <c r="C2027" i="1"/>
  <c r="E2027" i="1"/>
  <c r="F2027" i="1"/>
  <c r="G2027" i="1"/>
  <c r="H2027" i="1"/>
  <c r="L2027" i="1"/>
  <c r="M2027" i="1"/>
  <c r="N2027" i="1"/>
  <c r="O2027" i="1"/>
  <c r="P2027" i="1"/>
  <c r="Q2027" i="1"/>
  <c r="R2027" i="1"/>
  <c r="S2027" i="1"/>
  <c r="T2027" i="1"/>
  <c r="U2027" i="1"/>
  <c r="V2027" i="1"/>
  <c r="AB2027" i="1"/>
  <c r="AI2027" i="1"/>
  <c r="AJ2027" i="1"/>
  <c r="AK2027" i="1"/>
  <c r="AP2027" i="1"/>
  <c r="AR2027" i="1"/>
  <c r="AY2027" i="1"/>
  <c r="BE2027" i="1"/>
  <c r="BF2027" i="1"/>
  <c r="C2028" i="1"/>
  <c r="E2028" i="1"/>
  <c r="F2028" i="1"/>
  <c r="G2028" i="1"/>
  <c r="H2028" i="1"/>
  <c r="L2028" i="1"/>
  <c r="M2028" i="1"/>
  <c r="N2028" i="1"/>
  <c r="O2028" i="1"/>
  <c r="P2028" i="1"/>
  <c r="Q2028" i="1"/>
  <c r="R2028" i="1"/>
  <c r="S2028" i="1"/>
  <c r="T2028" i="1"/>
  <c r="U2028" i="1"/>
  <c r="V2028" i="1"/>
  <c r="AB2028" i="1"/>
  <c r="AI2028" i="1"/>
  <c r="AJ2028" i="1"/>
  <c r="AK2028" i="1"/>
  <c r="AP2028" i="1"/>
  <c r="AR2028" i="1"/>
  <c r="AY2028" i="1"/>
  <c r="BE2028" i="1"/>
  <c r="BF2028" i="1"/>
  <c r="C2029" i="1"/>
  <c r="E2029" i="1"/>
  <c r="F2029" i="1"/>
  <c r="G2029" i="1"/>
  <c r="H2029" i="1"/>
  <c r="L2029" i="1"/>
  <c r="M2029" i="1"/>
  <c r="N2029" i="1"/>
  <c r="O2029" i="1"/>
  <c r="P2029" i="1"/>
  <c r="Q2029" i="1"/>
  <c r="R2029" i="1"/>
  <c r="S2029" i="1"/>
  <c r="T2029" i="1"/>
  <c r="U2029" i="1"/>
  <c r="V2029" i="1"/>
  <c r="AB2029" i="1"/>
  <c r="AI2029" i="1"/>
  <c r="AJ2029" i="1"/>
  <c r="AK2029" i="1"/>
  <c r="AP2029" i="1"/>
  <c r="AR2029" i="1"/>
  <c r="AY2029" i="1"/>
  <c r="BE2029" i="1"/>
  <c r="BF2029" i="1"/>
  <c r="C2030" i="1"/>
  <c r="E2030" i="1"/>
  <c r="F2030" i="1"/>
  <c r="G2030" i="1"/>
  <c r="H2030" i="1"/>
  <c r="L2030" i="1"/>
  <c r="M2030" i="1"/>
  <c r="N2030" i="1"/>
  <c r="O2030" i="1"/>
  <c r="P2030" i="1"/>
  <c r="Q2030" i="1"/>
  <c r="R2030" i="1"/>
  <c r="S2030" i="1"/>
  <c r="T2030" i="1"/>
  <c r="U2030" i="1"/>
  <c r="V2030" i="1"/>
  <c r="AB2030" i="1"/>
  <c r="AI2030" i="1"/>
  <c r="AJ2030" i="1"/>
  <c r="AK2030" i="1"/>
  <c r="AP2030" i="1"/>
  <c r="AR2030" i="1"/>
  <c r="AY2030" i="1"/>
  <c r="BE2030" i="1"/>
  <c r="BF2030" i="1"/>
  <c r="C2031" i="1"/>
  <c r="E2031" i="1"/>
  <c r="F2031" i="1"/>
  <c r="G2031" i="1"/>
  <c r="H2031" i="1"/>
  <c r="L2031" i="1"/>
  <c r="M2031" i="1"/>
  <c r="N2031" i="1"/>
  <c r="O2031" i="1"/>
  <c r="P2031" i="1"/>
  <c r="Q2031" i="1"/>
  <c r="R2031" i="1"/>
  <c r="S2031" i="1"/>
  <c r="T2031" i="1"/>
  <c r="U2031" i="1"/>
  <c r="V2031" i="1"/>
  <c r="AB2031" i="1"/>
  <c r="AI2031" i="1"/>
  <c r="AJ2031" i="1"/>
  <c r="AK2031" i="1"/>
  <c r="AP2031" i="1"/>
  <c r="AR2031" i="1"/>
  <c r="AY2031" i="1"/>
  <c r="BE2031" i="1"/>
  <c r="BF2031" i="1"/>
  <c r="C2032" i="1"/>
  <c r="E2032" i="1"/>
  <c r="F2032" i="1"/>
  <c r="G2032" i="1"/>
  <c r="H2032" i="1"/>
  <c r="L2032" i="1"/>
  <c r="M2032" i="1"/>
  <c r="N2032" i="1"/>
  <c r="O2032" i="1"/>
  <c r="P2032" i="1"/>
  <c r="Q2032" i="1"/>
  <c r="R2032" i="1"/>
  <c r="S2032" i="1"/>
  <c r="T2032" i="1"/>
  <c r="U2032" i="1"/>
  <c r="V2032" i="1"/>
  <c r="AB2032" i="1"/>
  <c r="AI2032" i="1"/>
  <c r="AJ2032" i="1"/>
  <c r="AK2032" i="1"/>
  <c r="AP2032" i="1"/>
  <c r="AR2032" i="1"/>
  <c r="AY2032" i="1"/>
  <c r="BE2032" i="1"/>
  <c r="BF2032" i="1"/>
  <c r="C2033" i="1"/>
  <c r="E2033" i="1"/>
  <c r="F2033" i="1"/>
  <c r="G2033" i="1"/>
  <c r="H2033" i="1"/>
  <c r="L2033" i="1"/>
  <c r="M2033" i="1"/>
  <c r="N2033" i="1"/>
  <c r="O2033" i="1"/>
  <c r="P2033" i="1"/>
  <c r="Q2033" i="1"/>
  <c r="R2033" i="1"/>
  <c r="S2033" i="1"/>
  <c r="T2033" i="1"/>
  <c r="U2033" i="1"/>
  <c r="V2033" i="1"/>
  <c r="AB2033" i="1"/>
  <c r="AI2033" i="1"/>
  <c r="AJ2033" i="1"/>
  <c r="AK2033" i="1"/>
  <c r="AP2033" i="1"/>
  <c r="AR2033" i="1"/>
  <c r="AY2033" i="1"/>
  <c r="BE2033" i="1"/>
  <c r="BF2033" i="1"/>
  <c r="C2034" i="1"/>
  <c r="E2034" i="1"/>
  <c r="F2034" i="1"/>
  <c r="G2034" i="1"/>
  <c r="H2034" i="1"/>
  <c r="L2034" i="1"/>
  <c r="M2034" i="1"/>
  <c r="N2034" i="1"/>
  <c r="O2034" i="1"/>
  <c r="P2034" i="1"/>
  <c r="Q2034" i="1"/>
  <c r="R2034" i="1"/>
  <c r="S2034" i="1"/>
  <c r="T2034" i="1"/>
  <c r="U2034" i="1"/>
  <c r="V2034" i="1"/>
  <c r="AB2034" i="1"/>
  <c r="AI2034" i="1"/>
  <c r="AJ2034" i="1"/>
  <c r="AK2034" i="1"/>
  <c r="AP2034" i="1"/>
  <c r="AR2034" i="1"/>
  <c r="AY2034" i="1"/>
  <c r="BE2034" i="1"/>
  <c r="BF2034" i="1"/>
  <c r="C2035" i="1"/>
  <c r="E2035" i="1"/>
  <c r="F2035" i="1"/>
  <c r="G2035" i="1"/>
  <c r="H2035" i="1"/>
  <c r="L2035" i="1"/>
  <c r="M2035" i="1"/>
  <c r="N2035" i="1"/>
  <c r="O2035" i="1"/>
  <c r="P2035" i="1"/>
  <c r="Q2035" i="1"/>
  <c r="R2035" i="1"/>
  <c r="S2035" i="1"/>
  <c r="T2035" i="1"/>
  <c r="U2035" i="1"/>
  <c r="V2035" i="1"/>
  <c r="AB2035" i="1"/>
  <c r="AI2035" i="1"/>
  <c r="AJ2035" i="1"/>
  <c r="AK2035" i="1"/>
  <c r="AP2035" i="1"/>
  <c r="AR2035" i="1"/>
  <c r="AY2035" i="1"/>
  <c r="BE2035" i="1"/>
  <c r="BF2035" i="1"/>
  <c r="C2036" i="1"/>
  <c r="E2036" i="1"/>
  <c r="F2036" i="1"/>
  <c r="G2036" i="1"/>
  <c r="H2036" i="1"/>
  <c r="L2036" i="1"/>
  <c r="M2036" i="1"/>
  <c r="N2036" i="1"/>
  <c r="O2036" i="1"/>
  <c r="P2036" i="1"/>
  <c r="Q2036" i="1"/>
  <c r="R2036" i="1"/>
  <c r="S2036" i="1"/>
  <c r="T2036" i="1"/>
  <c r="U2036" i="1"/>
  <c r="V2036" i="1"/>
  <c r="AB2036" i="1"/>
  <c r="AI2036" i="1"/>
  <c r="AJ2036" i="1"/>
  <c r="AK2036" i="1"/>
  <c r="AP2036" i="1"/>
  <c r="AR2036" i="1"/>
  <c r="AY2036" i="1"/>
  <c r="BE2036" i="1"/>
  <c r="BF2036" i="1"/>
  <c r="C2037" i="1"/>
  <c r="E2037" i="1"/>
  <c r="F2037" i="1"/>
  <c r="G2037" i="1"/>
  <c r="H2037" i="1"/>
  <c r="L2037" i="1"/>
  <c r="M2037" i="1"/>
  <c r="N2037" i="1"/>
  <c r="O2037" i="1"/>
  <c r="P2037" i="1"/>
  <c r="Q2037" i="1"/>
  <c r="R2037" i="1"/>
  <c r="S2037" i="1"/>
  <c r="T2037" i="1"/>
  <c r="U2037" i="1"/>
  <c r="V2037" i="1"/>
  <c r="AB2037" i="1"/>
  <c r="AI2037" i="1"/>
  <c r="AJ2037" i="1"/>
  <c r="AK2037" i="1"/>
  <c r="AP2037" i="1"/>
  <c r="AR2037" i="1"/>
  <c r="AY2037" i="1"/>
  <c r="BE2037" i="1"/>
  <c r="BF2037" i="1"/>
  <c r="C2038" i="1"/>
  <c r="E2038" i="1"/>
  <c r="F2038" i="1"/>
  <c r="G2038" i="1"/>
  <c r="H2038" i="1"/>
  <c r="L2038" i="1"/>
  <c r="M2038" i="1"/>
  <c r="N2038" i="1"/>
  <c r="O2038" i="1"/>
  <c r="P2038" i="1"/>
  <c r="Q2038" i="1"/>
  <c r="R2038" i="1"/>
  <c r="S2038" i="1"/>
  <c r="T2038" i="1"/>
  <c r="U2038" i="1"/>
  <c r="V2038" i="1"/>
  <c r="AB2038" i="1"/>
  <c r="AI2038" i="1"/>
  <c r="AJ2038" i="1"/>
  <c r="AK2038" i="1"/>
  <c r="AP2038" i="1"/>
  <c r="AR2038" i="1"/>
  <c r="AY2038" i="1"/>
  <c r="BE2038" i="1"/>
  <c r="BF2038" i="1"/>
  <c r="C2039" i="1"/>
  <c r="E2039" i="1"/>
  <c r="F2039" i="1"/>
  <c r="G2039" i="1"/>
  <c r="H2039" i="1"/>
  <c r="L2039" i="1"/>
  <c r="M2039" i="1"/>
  <c r="N2039" i="1"/>
  <c r="O2039" i="1"/>
  <c r="P2039" i="1"/>
  <c r="Q2039" i="1"/>
  <c r="R2039" i="1"/>
  <c r="S2039" i="1"/>
  <c r="T2039" i="1"/>
  <c r="U2039" i="1"/>
  <c r="V2039" i="1"/>
  <c r="AB2039" i="1"/>
  <c r="AI2039" i="1"/>
  <c r="AJ2039" i="1"/>
  <c r="AK2039" i="1"/>
  <c r="AP2039" i="1"/>
  <c r="AR2039" i="1"/>
  <c r="AY2039" i="1"/>
  <c r="BE2039" i="1"/>
  <c r="BF2039" i="1"/>
  <c r="C2040" i="1"/>
  <c r="E2040" i="1"/>
  <c r="F2040" i="1"/>
  <c r="G2040" i="1"/>
  <c r="H2040" i="1"/>
  <c r="L2040" i="1"/>
  <c r="M2040" i="1"/>
  <c r="N2040" i="1"/>
  <c r="O2040" i="1"/>
  <c r="P2040" i="1"/>
  <c r="Q2040" i="1"/>
  <c r="R2040" i="1"/>
  <c r="S2040" i="1"/>
  <c r="T2040" i="1"/>
  <c r="U2040" i="1"/>
  <c r="V2040" i="1"/>
  <c r="AB2040" i="1"/>
  <c r="AI2040" i="1"/>
  <c r="AJ2040" i="1"/>
  <c r="AK2040" i="1"/>
  <c r="AP2040" i="1"/>
  <c r="AR2040" i="1"/>
  <c r="AY2040" i="1"/>
  <c r="BE2040" i="1"/>
  <c r="BF2040" i="1"/>
  <c r="C2041" i="1"/>
  <c r="E2041" i="1"/>
  <c r="F2041" i="1"/>
  <c r="G2041" i="1"/>
  <c r="H2041" i="1"/>
  <c r="L2041" i="1"/>
  <c r="M2041" i="1"/>
  <c r="N2041" i="1"/>
  <c r="O2041" i="1"/>
  <c r="P2041" i="1"/>
  <c r="Q2041" i="1"/>
  <c r="R2041" i="1"/>
  <c r="S2041" i="1"/>
  <c r="T2041" i="1"/>
  <c r="U2041" i="1"/>
  <c r="V2041" i="1"/>
  <c r="AB2041" i="1"/>
  <c r="AI2041" i="1"/>
  <c r="AJ2041" i="1"/>
  <c r="AK2041" i="1"/>
  <c r="AP2041" i="1"/>
  <c r="AR2041" i="1"/>
  <c r="AY2041" i="1"/>
  <c r="BE2041" i="1"/>
  <c r="BF2041" i="1"/>
  <c r="C2042" i="1"/>
  <c r="E2042" i="1"/>
  <c r="F2042" i="1"/>
  <c r="G2042" i="1"/>
  <c r="H2042" i="1"/>
  <c r="L2042" i="1"/>
  <c r="M2042" i="1"/>
  <c r="N2042" i="1"/>
  <c r="O2042" i="1"/>
  <c r="P2042" i="1"/>
  <c r="Q2042" i="1"/>
  <c r="R2042" i="1"/>
  <c r="S2042" i="1"/>
  <c r="T2042" i="1"/>
  <c r="U2042" i="1"/>
  <c r="V2042" i="1"/>
  <c r="AB2042" i="1"/>
  <c r="AI2042" i="1"/>
  <c r="AJ2042" i="1"/>
  <c r="AK2042" i="1"/>
  <c r="AP2042" i="1"/>
  <c r="AR2042" i="1"/>
  <c r="AY2042" i="1"/>
  <c r="BE2042" i="1"/>
  <c r="BF2042" i="1"/>
  <c r="C2043" i="1"/>
  <c r="E2043" i="1"/>
  <c r="F2043" i="1"/>
  <c r="G2043" i="1"/>
  <c r="H2043" i="1"/>
  <c r="L2043" i="1"/>
  <c r="M2043" i="1"/>
  <c r="N2043" i="1"/>
  <c r="O2043" i="1"/>
  <c r="P2043" i="1"/>
  <c r="Q2043" i="1"/>
  <c r="R2043" i="1"/>
  <c r="S2043" i="1"/>
  <c r="T2043" i="1"/>
  <c r="U2043" i="1"/>
  <c r="V2043" i="1"/>
  <c r="AB2043" i="1"/>
  <c r="AI2043" i="1"/>
  <c r="AJ2043" i="1"/>
  <c r="AK2043" i="1"/>
  <c r="AP2043" i="1"/>
  <c r="AR2043" i="1"/>
  <c r="AY2043" i="1"/>
  <c r="BE2043" i="1"/>
  <c r="BF2043" i="1"/>
  <c r="C2044" i="1"/>
  <c r="E2044" i="1"/>
  <c r="F2044" i="1"/>
  <c r="G2044" i="1"/>
  <c r="H2044" i="1"/>
  <c r="L2044" i="1"/>
  <c r="M2044" i="1"/>
  <c r="N2044" i="1"/>
  <c r="O2044" i="1"/>
  <c r="P2044" i="1"/>
  <c r="Q2044" i="1"/>
  <c r="R2044" i="1"/>
  <c r="S2044" i="1"/>
  <c r="T2044" i="1"/>
  <c r="U2044" i="1"/>
  <c r="V2044" i="1"/>
  <c r="AB2044" i="1"/>
  <c r="AI2044" i="1"/>
  <c r="AJ2044" i="1"/>
  <c r="AK2044" i="1"/>
  <c r="AP2044" i="1"/>
  <c r="AR2044" i="1"/>
  <c r="AY2044" i="1"/>
  <c r="BE2044" i="1"/>
  <c r="BF2044" i="1"/>
  <c r="C2045" i="1"/>
  <c r="E2045" i="1"/>
  <c r="F2045" i="1"/>
  <c r="G2045" i="1"/>
  <c r="H2045" i="1"/>
  <c r="L2045" i="1"/>
  <c r="M2045" i="1"/>
  <c r="N2045" i="1"/>
  <c r="O2045" i="1"/>
  <c r="P2045" i="1"/>
  <c r="Q2045" i="1"/>
  <c r="R2045" i="1"/>
  <c r="S2045" i="1"/>
  <c r="T2045" i="1"/>
  <c r="U2045" i="1"/>
  <c r="V2045" i="1"/>
  <c r="AB2045" i="1"/>
  <c r="AI2045" i="1"/>
  <c r="AJ2045" i="1"/>
  <c r="AK2045" i="1"/>
  <c r="AP2045" i="1"/>
  <c r="AR2045" i="1"/>
  <c r="AY2045" i="1"/>
  <c r="BE2045" i="1"/>
  <c r="BF2045" i="1"/>
  <c r="C2046" i="1"/>
  <c r="E2046" i="1"/>
  <c r="F2046" i="1"/>
  <c r="G2046" i="1"/>
  <c r="H2046" i="1"/>
  <c r="L2046" i="1"/>
  <c r="M2046" i="1"/>
  <c r="N2046" i="1"/>
  <c r="O2046" i="1"/>
  <c r="P2046" i="1"/>
  <c r="Q2046" i="1"/>
  <c r="R2046" i="1"/>
  <c r="S2046" i="1"/>
  <c r="T2046" i="1"/>
  <c r="U2046" i="1"/>
  <c r="V2046" i="1"/>
  <c r="AB2046" i="1"/>
  <c r="AI2046" i="1"/>
  <c r="AJ2046" i="1"/>
  <c r="AK2046" i="1"/>
  <c r="AP2046" i="1"/>
  <c r="AR2046" i="1"/>
  <c r="AY2046" i="1"/>
  <c r="BE2046" i="1"/>
  <c r="BF2046" i="1"/>
  <c r="C2047" i="1"/>
  <c r="E2047" i="1"/>
  <c r="F2047" i="1"/>
  <c r="G2047" i="1"/>
  <c r="H2047" i="1"/>
  <c r="L2047" i="1"/>
  <c r="M2047" i="1"/>
  <c r="N2047" i="1"/>
  <c r="O2047" i="1"/>
  <c r="P2047" i="1"/>
  <c r="Q2047" i="1"/>
  <c r="R2047" i="1"/>
  <c r="S2047" i="1"/>
  <c r="T2047" i="1"/>
  <c r="U2047" i="1"/>
  <c r="V2047" i="1"/>
  <c r="AB2047" i="1"/>
  <c r="AI2047" i="1"/>
  <c r="AJ2047" i="1"/>
  <c r="AK2047" i="1"/>
  <c r="AP2047" i="1"/>
  <c r="AR2047" i="1"/>
  <c r="AY2047" i="1"/>
  <c r="BE2047" i="1"/>
  <c r="BF2047" i="1"/>
  <c r="C2048" i="1"/>
  <c r="E2048" i="1"/>
  <c r="F2048" i="1"/>
  <c r="G2048" i="1"/>
  <c r="H2048" i="1"/>
  <c r="L2048" i="1"/>
  <c r="M2048" i="1"/>
  <c r="N2048" i="1"/>
  <c r="O2048" i="1"/>
  <c r="P2048" i="1"/>
  <c r="Q2048" i="1"/>
  <c r="R2048" i="1"/>
  <c r="S2048" i="1"/>
  <c r="T2048" i="1"/>
  <c r="U2048" i="1"/>
  <c r="V2048" i="1"/>
  <c r="AB2048" i="1"/>
  <c r="AI2048" i="1"/>
  <c r="AJ2048" i="1"/>
  <c r="AK2048" i="1"/>
  <c r="AP2048" i="1"/>
  <c r="AR2048" i="1"/>
  <c r="AY2048" i="1"/>
  <c r="BE2048" i="1"/>
  <c r="BF2048" i="1"/>
  <c r="C2049" i="1"/>
  <c r="E2049" i="1"/>
  <c r="F2049" i="1"/>
  <c r="G2049" i="1"/>
  <c r="H2049" i="1"/>
  <c r="L2049" i="1"/>
  <c r="M2049" i="1"/>
  <c r="N2049" i="1"/>
  <c r="O2049" i="1"/>
  <c r="P2049" i="1"/>
  <c r="Q2049" i="1"/>
  <c r="R2049" i="1"/>
  <c r="S2049" i="1"/>
  <c r="T2049" i="1"/>
  <c r="U2049" i="1"/>
  <c r="V2049" i="1"/>
  <c r="AB2049" i="1"/>
  <c r="AI2049" i="1"/>
  <c r="AJ2049" i="1"/>
  <c r="AK2049" i="1"/>
  <c r="AP2049" i="1"/>
  <c r="AR2049" i="1"/>
  <c r="AY2049" i="1"/>
  <c r="BE2049" i="1"/>
  <c r="BF2049" i="1"/>
  <c r="C2050" i="1"/>
  <c r="E2050" i="1"/>
  <c r="F2050" i="1"/>
  <c r="G2050" i="1"/>
  <c r="H2050" i="1"/>
  <c r="L2050" i="1"/>
  <c r="M2050" i="1"/>
  <c r="N2050" i="1"/>
  <c r="O2050" i="1"/>
  <c r="P2050" i="1"/>
  <c r="Q2050" i="1"/>
  <c r="R2050" i="1"/>
  <c r="S2050" i="1"/>
  <c r="T2050" i="1"/>
  <c r="U2050" i="1"/>
  <c r="V2050" i="1"/>
  <c r="AB2050" i="1"/>
  <c r="AI2050" i="1"/>
  <c r="AJ2050" i="1"/>
  <c r="AK2050" i="1"/>
  <c r="AP2050" i="1"/>
  <c r="AR2050" i="1"/>
  <c r="AY2050" i="1"/>
  <c r="BE2050" i="1"/>
  <c r="BF2050" i="1"/>
  <c r="C2051" i="1"/>
  <c r="E2051" i="1"/>
  <c r="F2051" i="1"/>
  <c r="G2051" i="1"/>
  <c r="H2051" i="1"/>
  <c r="L2051" i="1"/>
  <c r="M2051" i="1"/>
  <c r="N2051" i="1"/>
  <c r="O2051" i="1"/>
  <c r="P2051" i="1"/>
  <c r="Q2051" i="1"/>
  <c r="R2051" i="1"/>
  <c r="S2051" i="1"/>
  <c r="T2051" i="1"/>
  <c r="U2051" i="1"/>
  <c r="V2051" i="1"/>
  <c r="AB2051" i="1"/>
  <c r="AI2051" i="1"/>
  <c r="AJ2051" i="1"/>
  <c r="AK2051" i="1"/>
  <c r="AP2051" i="1"/>
  <c r="AR2051" i="1"/>
  <c r="AY2051" i="1"/>
  <c r="BE2051" i="1"/>
  <c r="BF2051" i="1"/>
  <c r="C2052" i="1"/>
  <c r="E2052" i="1"/>
  <c r="F2052" i="1"/>
  <c r="G2052" i="1"/>
  <c r="H2052" i="1"/>
  <c r="L2052" i="1"/>
  <c r="M2052" i="1"/>
  <c r="N2052" i="1"/>
  <c r="O2052" i="1"/>
  <c r="P2052" i="1"/>
  <c r="Q2052" i="1"/>
  <c r="R2052" i="1"/>
  <c r="S2052" i="1"/>
  <c r="T2052" i="1"/>
  <c r="U2052" i="1"/>
  <c r="V2052" i="1"/>
  <c r="AB2052" i="1"/>
  <c r="AI2052" i="1"/>
  <c r="AJ2052" i="1"/>
  <c r="AK2052" i="1"/>
  <c r="AP2052" i="1"/>
  <c r="AR2052" i="1"/>
  <c r="AY2052" i="1"/>
  <c r="BE2052" i="1"/>
  <c r="BF2052" i="1"/>
  <c r="C2053" i="1"/>
  <c r="E2053" i="1"/>
  <c r="F2053" i="1"/>
  <c r="G2053" i="1"/>
  <c r="H2053" i="1"/>
  <c r="L2053" i="1"/>
  <c r="M2053" i="1"/>
  <c r="N2053" i="1"/>
  <c r="O2053" i="1"/>
  <c r="P2053" i="1"/>
  <c r="Q2053" i="1"/>
  <c r="R2053" i="1"/>
  <c r="S2053" i="1"/>
  <c r="T2053" i="1"/>
  <c r="U2053" i="1"/>
  <c r="V2053" i="1"/>
  <c r="AB2053" i="1"/>
  <c r="AI2053" i="1"/>
  <c r="AJ2053" i="1"/>
  <c r="AK2053" i="1"/>
  <c r="AP2053" i="1"/>
  <c r="AR2053" i="1"/>
  <c r="AY2053" i="1"/>
  <c r="BE2053" i="1"/>
  <c r="BF2053" i="1"/>
  <c r="C2054" i="1"/>
  <c r="E2054" i="1"/>
  <c r="F2054" i="1"/>
  <c r="G2054" i="1"/>
  <c r="H2054" i="1"/>
  <c r="L2054" i="1"/>
  <c r="M2054" i="1"/>
  <c r="N2054" i="1"/>
  <c r="O2054" i="1"/>
  <c r="P2054" i="1"/>
  <c r="Q2054" i="1"/>
  <c r="R2054" i="1"/>
  <c r="S2054" i="1"/>
  <c r="T2054" i="1"/>
  <c r="U2054" i="1"/>
  <c r="V2054" i="1"/>
  <c r="AB2054" i="1"/>
  <c r="AI2054" i="1"/>
  <c r="AJ2054" i="1"/>
  <c r="AK2054" i="1"/>
  <c r="AP2054" i="1"/>
  <c r="AR2054" i="1"/>
  <c r="AY2054" i="1"/>
  <c r="BE2054" i="1"/>
  <c r="BF2054" i="1"/>
  <c r="C2055" i="1"/>
  <c r="E2055" i="1"/>
  <c r="F2055" i="1"/>
  <c r="G2055" i="1"/>
  <c r="H2055" i="1"/>
  <c r="L2055" i="1"/>
  <c r="M2055" i="1"/>
  <c r="N2055" i="1"/>
  <c r="O2055" i="1"/>
  <c r="P2055" i="1"/>
  <c r="Q2055" i="1"/>
  <c r="R2055" i="1"/>
  <c r="S2055" i="1"/>
  <c r="T2055" i="1"/>
  <c r="U2055" i="1"/>
  <c r="V2055" i="1"/>
  <c r="AB2055" i="1"/>
  <c r="AI2055" i="1"/>
  <c r="AJ2055" i="1"/>
  <c r="AK2055" i="1"/>
  <c r="AP2055" i="1"/>
  <c r="AR2055" i="1"/>
  <c r="AY2055" i="1"/>
  <c r="BE2055" i="1"/>
  <c r="BF2055" i="1"/>
  <c r="C2056" i="1"/>
  <c r="E2056" i="1"/>
  <c r="F2056" i="1"/>
  <c r="G2056" i="1"/>
  <c r="H2056" i="1"/>
  <c r="L2056" i="1"/>
  <c r="M2056" i="1"/>
  <c r="N2056" i="1"/>
  <c r="O2056" i="1"/>
  <c r="P2056" i="1"/>
  <c r="Q2056" i="1"/>
  <c r="R2056" i="1"/>
  <c r="S2056" i="1"/>
  <c r="T2056" i="1"/>
  <c r="U2056" i="1"/>
  <c r="V2056" i="1"/>
  <c r="AB2056" i="1"/>
  <c r="AI2056" i="1"/>
  <c r="AJ2056" i="1"/>
  <c r="AK2056" i="1"/>
  <c r="AP2056" i="1"/>
  <c r="AR2056" i="1"/>
  <c r="AY2056" i="1"/>
  <c r="BE2056" i="1"/>
  <c r="BF2056" i="1"/>
  <c r="C2057" i="1"/>
  <c r="E2057" i="1"/>
  <c r="F2057" i="1"/>
  <c r="G2057" i="1"/>
  <c r="H2057" i="1"/>
  <c r="L2057" i="1"/>
  <c r="M2057" i="1"/>
  <c r="N2057" i="1"/>
  <c r="O2057" i="1"/>
  <c r="P2057" i="1"/>
  <c r="Q2057" i="1"/>
  <c r="R2057" i="1"/>
  <c r="S2057" i="1"/>
  <c r="T2057" i="1"/>
  <c r="U2057" i="1"/>
  <c r="V2057" i="1"/>
  <c r="AB2057" i="1"/>
  <c r="AI2057" i="1"/>
  <c r="AJ2057" i="1"/>
  <c r="AK2057" i="1"/>
  <c r="AP2057" i="1"/>
  <c r="AR2057" i="1"/>
  <c r="AY2057" i="1"/>
  <c r="BE2057" i="1"/>
  <c r="BF2057" i="1"/>
  <c r="C2058" i="1"/>
  <c r="E2058" i="1"/>
  <c r="F2058" i="1"/>
  <c r="G2058" i="1"/>
  <c r="H2058" i="1"/>
  <c r="L2058" i="1"/>
  <c r="M2058" i="1"/>
  <c r="N2058" i="1"/>
  <c r="O2058" i="1"/>
  <c r="P2058" i="1"/>
  <c r="Q2058" i="1"/>
  <c r="R2058" i="1"/>
  <c r="S2058" i="1"/>
  <c r="T2058" i="1"/>
  <c r="U2058" i="1"/>
  <c r="V2058" i="1"/>
  <c r="AB2058" i="1"/>
  <c r="AI2058" i="1"/>
  <c r="AJ2058" i="1"/>
  <c r="AK2058" i="1"/>
  <c r="AP2058" i="1"/>
  <c r="AR2058" i="1"/>
  <c r="AY2058" i="1"/>
  <c r="BE2058" i="1"/>
  <c r="BF2058" i="1"/>
  <c r="C2059" i="1"/>
  <c r="E2059" i="1"/>
  <c r="F2059" i="1"/>
  <c r="G2059" i="1"/>
  <c r="H2059" i="1"/>
  <c r="L2059" i="1"/>
  <c r="M2059" i="1"/>
  <c r="N2059" i="1"/>
  <c r="O2059" i="1"/>
  <c r="P2059" i="1"/>
  <c r="Q2059" i="1"/>
  <c r="R2059" i="1"/>
  <c r="S2059" i="1"/>
  <c r="T2059" i="1"/>
  <c r="U2059" i="1"/>
  <c r="V2059" i="1"/>
  <c r="AB2059" i="1"/>
  <c r="AI2059" i="1"/>
  <c r="AJ2059" i="1"/>
  <c r="AK2059" i="1"/>
  <c r="AP2059" i="1"/>
  <c r="AR2059" i="1"/>
  <c r="AY2059" i="1"/>
  <c r="BE2059" i="1"/>
  <c r="BF2059" i="1"/>
  <c r="C2060" i="1"/>
  <c r="E2060" i="1"/>
  <c r="F2060" i="1"/>
  <c r="G2060" i="1"/>
  <c r="H2060" i="1"/>
  <c r="L2060" i="1"/>
  <c r="M2060" i="1"/>
  <c r="N2060" i="1"/>
  <c r="O2060" i="1"/>
  <c r="P2060" i="1"/>
  <c r="Q2060" i="1"/>
  <c r="R2060" i="1"/>
  <c r="S2060" i="1"/>
  <c r="T2060" i="1"/>
  <c r="U2060" i="1"/>
  <c r="V2060" i="1"/>
  <c r="AB2060" i="1"/>
  <c r="AI2060" i="1"/>
  <c r="AJ2060" i="1"/>
  <c r="AK2060" i="1"/>
  <c r="AP2060" i="1"/>
  <c r="AR2060" i="1"/>
  <c r="AY2060" i="1"/>
  <c r="BE2060" i="1"/>
  <c r="BF2060" i="1"/>
  <c r="C2061" i="1"/>
  <c r="E2061" i="1"/>
  <c r="F2061" i="1"/>
  <c r="G2061" i="1"/>
  <c r="H2061" i="1"/>
  <c r="L2061" i="1"/>
  <c r="M2061" i="1"/>
  <c r="N2061" i="1"/>
  <c r="O2061" i="1"/>
  <c r="P2061" i="1"/>
  <c r="Q2061" i="1"/>
  <c r="R2061" i="1"/>
  <c r="S2061" i="1"/>
  <c r="T2061" i="1"/>
  <c r="U2061" i="1"/>
  <c r="V2061" i="1"/>
  <c r="AB2061" i="1"/>
  <c r="AI2061" i="1"/>
  <c r="AJ2061" i="1"/>
  <c r="AK2061" i="1"/>
  <c r="AP2061" i="1"/>
  <c r="AR2061" i="1"/>
  <c r="AY2061" i="1"/>
  <c r="BE2061" i="1"/>
  <c r="BF2061" i="1"/>
  <c r="C2062" i="1"/>
  <c r="E2062" i="1"/>
  <c r="F2062" i="1"/>
  <c r="G2062" i="1"/>
  <c r="H2062" i="1"/>
  <c r="L2062" i="1"/>
  <c r="M2062" i="1"/>
  <c r="N2062" i="1"/>
  <c r="O2062" i="1"/>
  <c r="P2062" i="1"/>
  <c r="Q2062" i="1"/>
  <c r="R2062" i="1"/>
  <c r="S2062" i="1"/>
  <c r="T2062" i="1"/>
  <c r="U2062" i="1"/>
  <c r="V2062" i="1"/>
  <c r="AB2062" i="1"/>
  <c r="AI2062" i="1"/>
  <c r="AJ2062" i="1"/>
  <c r="AK2062" i="1"/>
  <c r="AP2062" i="1"/>
  <c r="AR2062" i="1"/>
  <c r="AY2062" i="1"/>
  <c r="BE2062" i="1"/>
  <c r="BF2062" i="1"/>
  <c r="C2063" i="1"/>
  <c r="E2063" i="1"/>
  <c r="F2063" i="1"/>
  <c r="G2063" i="1"/>
  <c r="H2063" i="1"/>
  <c r="L2063" i="1"/>
  <c r="M2063" i="1"/>
  <c r="N2063" i="1"/>
  <c r="O2063" i="1"/>
  <c r="P2063" i="1"/>
  <c r="Q2063" i="1"/>
  <c r="R2063" i="1"/>
  <c r="S2063" i="1"/>
  <c r="T2063" i="1"/>
  <c r="U2063" i="1"/>
  <c r="V2063" i="1"/>
  <c r="AB2063" i="1"/>
  <c r="AI2063" i="1"/>
  <c r="AJ2063" i="1"/>
  <c r="AK2063" i="1"/>
  <c r="AP2063" i="1"/>
  <c r="AR2063" i="1"/>
  <c r="AY2063" i="1"/>
  <c r="BE2063" i="1"/>
  <c r="BF2063" i="1"/>
  <c r="C2064" i="1"/>
  <c r="E2064" i="1"/>
  <c r="F2064" i="1"/>
  <c r="G2064" i="1"/>
  <c r="H2064" i="1"/>
  <c r="L2064" i="1"/>
  <c r="M2064" i="1"/>
  <c r="N2064" i="1"/>
  <c r="O2064" i="1"/>
  <c r="P2064" i="1"/>
  <c r="Q2064" i="1"/>
  <c r="R2064" i="1"/>
  <c r="S2064" i="1"/>
  <c r="T2064" i="1"/>
  <c r="U2064" i="1"/>
  <c r="V2064" i="1"/>
  <c r="AB2064" i="1"/>
  <c r="AI2064" i="1"/>
  <c r="AJ2064" i="1"/>
  <c r="AK2064" i="1"/>
  <c r="AP2064" i="1"/>
  <c r="AR2064" i="1"/>
  <c r="AY2064" i="1"/>
  <c r="BE2064" i="1"/>
  <c r="BF2064" i="1"/>
  <c r="C2065" i="1"/>
  <c r="E2065" i="1"/>
  <c r="F2065" i="1"/>
  <c r="G2065" i="1"/>
  <c r="H2065" i="1"/>
  <c r="L2065" i="1"/>
  <c r="M2065" i="1"/>
  <c r="N2065" i="1"/>
  <c r="O2065" i="1"/>
  <c r="P2065" i="1"/>
  <c r="Q2065" i="1"/>
  <c r="R2065" i="1"/>
  <c r="S2065" i="1"/>
  <c r="T2065" i="1"/>
  <c r="U2065" i="1"/>
  <c r="V2065" i="1"/>
  <c r="AB2065" i="1"/>
  <c r="AI2065" i="1"/>
  <c r="AJ2065" i="1"/>
  <c r="AK2065" i="1"/>
  <c r="AP2065" i="1"/>
  <c r="AR2065" i="1"/>
  <c r="AY2065" i="1"/>
  <c r="BE2065" i="1"/>
  <c r="BF2065" i="1"/>
  <c r="C2066" i="1"/>
  <c r="E2066" i="1"/>
  <c r="F2066" i="1"/>
  <c r="G2066" i="1"/>
  <c r="H2066" i="1"/>
  <c r="L2066" i="1"/>
  <c r="M2066" i="1"/>
  <c r="N2066" i="1"/>
  <c r="O2066" i="1"/>
  <c r="P2066" i="1"/>
  <c r="Q2066" i="1"/>
  <c r="R2066" i="1"/>
  <c r="S2066" i="1"/>
  <c r="T2066" i="1"/>
  <c r="U2066" i="1"/>
  <c r="V2066" i="1"/>
  <c r="AB2066" i="1"/>
  <c r="AI2066" i="1"/>
  <c r="AJ2066" i="1"/>
  <c r="AK2066" i="1"/>
  <c r="AP2066" i="1"/>
  <c r="AR2066" i="1"/>
  <c r="AY2066" i="1"/>
  <c r="BE2066" i="1"/>
  <c r="BF2066" i="1"/>
  <c r="C2067" i="1"/>
  <c r="E2067" i="1"/>
  <c r="F2067" i="1"/>
  <c r="G2067" i="1"/>
  <c r="H2067" i="1"/>
  <c r="L2067" i="1"/>
  <c r="M2067" i="1"/>
  <c r="N2067" i="1"/>
  <c r="O2067" i="1"/>
  <c r="P2067" i="1"/>
  <c r="Q2067" i="1"/>
  <c r="R2067" i="1"/>
  <c r="S2067" i="1"/>
  <c r="T2067" i="1"/>
  <c r="U2067" i="1"/>
  <c r="V2067" i="1"/>
  <c r="AB2067" i="1"/>
  <c r="AI2067" i="1"/>
  <c r="AJ2067" i="1"/>
  <c r="AK2067" i="1"/>
  <c r="AP2067" i="1"/>
  <c r="AR2067" i="1"/>
  <c r="AY2067" i="1"/>
  <c r="BE2067" i="1"/>
  <c r="BF2067" i="1"/>
  <c r="C2068" i="1"/>
  <c r="E2068" i="1"/>
  <c r="F2068" i="1"/>
  <c r="G2068" i="1"/>
  <c r="H2068" i="1"/>
  <c r="L2068" i="1"/>
  <c r="M2068" i="1"/>
  <c r="N2068" i="1"/>
  <c r="O2068" i="1"/>
  <c r="P2068" i="1"/>
  <c r="Q2068" i="1"/>
  <c r="R2068" i="1"/>
  <c r="S2068" i="1"/>
  <c r="T2068" i="1"/>
  <c r="U2068" i="1"/>
  <c r="V2068" i="1"/>
  <c r="AB2068" i="1"/>
  <c r="AI2068" i="1"/>
  <c r="AJ2068" i="1"/>
  <c r="AK2068" i="1"/>
  <c r="AP2068" i="1"/>
  <c r="AR2068" i="1"/>
  <c r="AY2068" i="1"/>
  <c r="BE2068" i="1"/>
  <c r="BF2068" i="1"/>
  <c r="C2069" i="1"/>
  <c r="E2069" i="1"/>
  <c r="F2069" i="1"/>
  <c r="G2069" i="1"/>
  <c r="H2069" i="1"/>
  <c r="L2069" i="1"/>
  <c r="M2069" i="1"/>
  <c r="N2069" i="1"/>
  <c r="O2069" i="1"/>
  <c r="P2069" i="1"/>
  <c r="Q2069" i="1"/>
  <c r="R2069" i="1"/>
  <c r="S2069" i="1"/>
  <c r="T2069" i="1"/>
  <c r="U2069" i="1"/>
  <c r="V2069" i="1"/>
  <c r="AB2069" i="1"/>
  <c r="AI2069" i="1"/>
  <c r="AJ2069" i="1"/>
  <c r="AK2069" i="1"/>
  <c r="AP2069" i="1"/>
  <c r="AR2069" i="1"/>
  <c r="AY2069" i="1"/>
  <c r="BE2069" i="1"/>
  <c r="BF2069" i="1"/>
  <c r="C2070" i="1"/>
  <c r="E2070" i="1"/>
  <c r="F2070" i="1"/>
  <c r="G2070" i="1"/>
  <c r="H2070" i="1"/>
  <c r="L2070" i="1"/>
  <c r="M2070" i="1"/>
  <c r="N2070" i="1"/>
  <c r="O2070" i="1"/>
  <c r="P2070" i="1"/>
  <c r="Q2070" i="1"/>
  <c r="R2070" i="1"/>
  <c r="S2070" i="1"/>
  <c r="T2070" i="1"/>
  <c r="U2070" i="1"/>
  <c r="V2070" i="1"/>
  <c r="AB2070" i="1"/>
  <c r="AI2070" i="1"/>
  <c r="AJ2070" i="1"/>
  <c r="AK2070" i="1"/>
  <c r="AP2070" i="1"/>
  <c r="AR2070" i="1"/>
  <c r="AY2070" i="1"/>
  <c r="BE2070" i="1"/>
  <c r="BF2070" i="1"/>
  <c r="C2071" i="1"/>
  <c r="E2071" i="1"/>
  <c r="F2071" i="1"/>
  <c r="G2071" i="1"/>
  <c r="H2071" i="1"/>
  <c r="L2071" i="1"/>
  <c r="M2071" i="1"/>
  <c r="N2071" i="1"/>
  <c r="O2071" i="1"/>
  <c r="P2071" i="1"/>
  <c r="Q2071" i="1"/>
  <c r="R2071" i="1"/>
  <c r="S2071" i="1"/>
  <c r="T2071" i="1"/>
  <c r="U2071" i="1"/>
  <c r="V2071" i="1"/>
  <c r="AB2071" i="1"/>
  <c r="AI2071" i="1"/>
  <c r="AJ2071" i="1"/>
  <c r="AK2071" i="1"/>
  <c r="AP2071" i="1"/>
  <c r="AR2071" i="1"/>
  <c r="AY2071" i="1"/>
  <c r="BE2071" i="1"/>
  <c r="BF2071" i="1"/>
  <c r="C2072" i="1"/>
  <c r="E2072" i="1"/>
  <c r="F2072" i="1"/>
  <c r="G2072" i="1"/>
  <c r="H2072" i="1"/>
  <c r="L2072" i="1"/>
  <c r="M2072" i="1"/>
  <c r="N2072" i="1"/>
  <c r="O2072" i="1"/>
  <c r="P2072" i="1"/>
  <c r="Q2072" i="1"/>
  <c r="R2072" i="1"/>
  <c r="S2072" i="1"/>
  <c r="T2072" i="1"/>
  <c r="U2072" i="1"/>
  <c r="V2072" i="1"/>
  <c r="AB2072" i="1"/>
  <c r="AI2072" i="1"/>
  <c r="AJ2072" i="1"/>
  <c r="AK2072" i="1"/>
  <c r="AP2072" i="1"/>
  <c r="AR2072" i="1"/>
  <c r="AY2072" i="1"/>
  <c r="BE2072" i="1"/>
  <c r="BF2072" i="1"/>
  <c r="C2073" i="1"/>
  <c r="E2073" i="1"/>
  <c r="F2073" i="1"/>
  <c r="G2073" i="1"/>
  <c r="H2073" i="1"/>
  <c r="L2073" i="1"/>
  <c r="M2073" i="1"/>
  <c r="N2073" i="1"/>
  <c r="O2073" i="1"/>
  <c r="P2073" i="1"/>
  <c r="Q2073" i="1"/>
  <c r="R2073" i="1"/>
  <c r="S2073" i="1"/>
  <c r="T2073" i="1"/>
  <c r="U2073" i="1"/>
  <c r="V2073" i="1"/>
  <c r="AB2073" i="1"/>
  <c r="AI2073" i="1"/>
  <c r="AJ2073" i="1"/>
  <c r="AK2073" i="1"/>
  <c r="AP2073" i="1"/>
  <c r="AR2073" i="1"/>
  <c r="AY2073" i="1"/>
  <c r="BE2073" i="1"/>
  <c r="BF2073" i="1"/>
  <c r="C2074" i="1"/>
  <c r="E2074" i="1"/>
  <c r="F2074" i="1"/>
  <c r="G2074" i="1"/>
  <c r="H2074" i="1"/>
  <c r="L2074" i="1"/>
  <c r="M2074" i="1"/>
  <c r="N2074" i="1"/>
  <c r="O2074" i="1"/>
  <c r="P2074" i="1"/>
  <c r="Q2074" i="1"/>
  <c r="R2074" i="1"/>
  <c r="S2074" i="1"/>
  <c r="T2074" i="1"/>
  <c r="U2074" i="1"/>
  <c r="V2074" i="1"/>
  <c r="AB2074" i="1"/>
  <c r="AI2074" i="1"/>
  <c r="AJ2074" i="1"/>
  <c r="AK2074" i="1"/>
  <c r="AP2074" i="1"/>
  <c r="AR2074" i="1"/>
  <c r="AY2074" i="1"/>
  <c r="BE2074" i="1"/>
  <c r="BF2074" i="1"/>
  <c r="C2075" i="1"/>
  <c r="E2075" i="1"/>
  <c r="F2075" i="1"/>
  <c r="G2075" i="1"/>
  <c r="H2075" i="1"/>
  <c r="L2075" i="1"/>
  <c r="M2075" i="1"/>
  <c r="N2075" i="1"/>
  <c r="O2075" i="1"/>
  <c r="P2075" i="1"/>
  <c r="Q2075" i="1"/>
  <c r="R2075" i="1"/>
  <c r="S2075" i="1"/>
  <c r="T2075" i="1"/>
  <c r="U2075" i="1"/>
  <c r="V2075" i="1"/>
  <c r="AB2075" i="1"/>
  <c r="AI2075" i="1"/>
  <c r="AJ2075" i="1"/>
  <c r="AK2075" i="1"/>
  <c r="AP2075" i="1"/>
  <c r="AR2075" i="1"/>
  <c r="AY2075" i="1"/>
  <c r="BE2075" i="1"/>
  <c r="BF2075" i="1"/>
  <c r="C2076" i="1"/>
  <c r="E2076" i="1"/>
  <c r="F2076" i="1"/>
  <c r="G2076" i="1"/>
  <c r="H2076" i="1"/>
  <c r="L2076" i="1"/>
  <c r="M2076" i="1"/>
  <c r="N2076" i="1"/>
  <c r="O2076" i="1"/>
  <c r="P2076" i="1"/>
  <c r="Q2076" i="1"/>
  <c r="R2076" i="1"/>
  <c r="S2076" i="1"/>
  <c r="T2076" i="1"/>
  <c r="U2076" i="1"/>
  <c r="V2076" i="1"/>
  <c r="AB2076" i="1"/>
  <c r="AI2076" i="1"/>
  <c r="AJ2076" i="1"/>
  <c r="AK2076" i="1"/>
  <c r="AP2076" i="1"/>
  <c r="AR2076" i="1"/>
  <c r="AY2076" i="1"/>
  <c r="BE2076" i="1"/>
  <c r="BF2076" i="1"/>
  <c r="C2077" i="1"/>
  <c r="E2077" i="1"/>
  <c r="F2077" i="1"/>
  <c r="G2077" i="1"/>
  <c r="H2077" i="1"/>
  <c r="L2077" i="1"/>
  <c r="M2077" i="1"/>
  <c r="N2077" i="1"/>
  <c r="O2077" i="1"/>
  <c r="P2077" i="1"/>
  <c r="Q2077" i="1"/>
  <c r="R2077" i="1"/>
  <c r="S2077" i="1"/>
  <c r="T2077" i="1"/>
  <c r="U2077" i="1"/>
  <c r="V2077" i="1"/>
  <c r="AB2077" i="1"/>
  <c r="AI2077" i="1"/>
  <c r="AJ2077" i="1"/>
  <c r="AK2077" i="1"/>
  <c r="AP2077" i="1"/>
  <c r="AR2077" i="1"/>
  <c r="AY2077" i="1"/>
  <c r="BE2077" i="1"/>
  <c r="BF2077" i="1"/>
  <c r="C2078" i="1"/>
  <c r="E2078" i="1"/>
  <c r="F2078" i="1"/>
  <c r="G2078" i="1"/>
  <c r="H2078" i="1"/>
  <c r="L2078" i="1"/>
  <c r="M2078" i="1"/>
  <c r="N2078" i="1"/>
  <c r="O2078" i="1"/>
  <c r="P2078" i="1"/>
  <c r="Q2078" i="1"/>
  <c r="R2078" i="1"/>
  <c r="S2078" i="1"/>
  <c r="T2078" i="1"/>
  <c r="U2078" i="1"/>
  <c r="V2078" i="1"/>
  <c r="AB2078" i="1"/>
  <c r="AI2078" i="1"/>
  <c r="AJ2078" i="1"/>
  <c r="AK2078" i="1"/>
  <c r="AP2078" i="1"/>
  <c r="AR2078" i="1"/>
  <c r="AY2078" i="1"/>
  <c r="BE2078" i="1"/>
  <c r="BF2078" i="1"/>
  <c r="C2079" i="1"/>
  <c r="E2079" i="1"/>
  <c r="F2079" i="1"/>
  <c r="G2079" i="1"/>
  <c r="H2079" i="1"/>
  <c r="L2079" i="1"/>
  <c r="M2079" i="1"/>
  <c r="N2079" i="1"/>
  <c r="O2079" i="1"/>
  <c r="P2079" i="1"/>
  <c r="Q2079" i="1"/>
  <c r="R2079" i="1"/>
  <c r="S2079" i="1"/>
  <c r="T2079" i="1"/>
  <c r="U2079" i="1"/>
  <c r="V2079" i="1"/>
  <c r="AB2079" i="1"/>
  <c r="AI2079" i="1"/>
  <c r="AJ2079" i="1"/>
  <c r="AK2079" i="1"/>
  <c r="AP2079" i="1"/>
  <c r="AR2079" i="1"/>
  <c r="AY2079" i="1"/>
  <c r="BE2079" i="1"/>
  <c r="BF2079" i="1"/>
  <c r="C2080" i="1"/>
  <c r="E2080" i="1"/>
  <c r="F2080" i="1"/>
  <c r="G2080" i="1"/>
  <c r="H2080" i="1"/>
  <c r="L2080" i="1"/>
  <c r="M2080" i="1"/>
  <c r="N2080" i="1"/>
  <c r="O2080" i="1"/>
  <c r="P2080" i="1"/>
  <c r="Q2080" i="1"/>
  <c r="R2080" i="1"/>
  <c r="S2080" i="1"/>
  <c r="T2080" i="1"/>
  <c r="U2080" i="1"/>
  <c r="V2080" i="1"/>
  <c r="AB2080" i="1"/>
  <c r="AI2080" i="1"/>
  <c r="AJ2080" i="1"/>
  <c r="AK2080" i="1"/>
  <c r="AP2080" i="1"/>
  <c r="AR2080" i="1"/>
  <c r="AY2080" i="1"/>
  <c r="BE2080" i="1"/>
  <c r="BF2080" i="1"/>
  <c r="C2081" i="1"/>
  <c r="E2081" i="1"/>
  <c r="F2081" i="1"/>
  <c r="G2081" i="1"/>
  <c r="H2081" i="1"/>
  <c r="L2081" i="1"/>
  <c r="M2081" i="1"/>
  <c r="N2081" i="1"/>
  <c r="O2081" i="1"/>
  <c r="P2081" i="1"/>
  <c r="Q2081" i="1"/>
  <c r="R2081" i="1"/>
  <c r="S2081" i="1"/>
  <c r="T2081" i="1"/>
  <c r="U2081" i="1"/>
  <c r="V2081" i="1"/>
  <c r="AB2081" i="1"/>
  <c r="AI2081" i="1"/>
  <c r="AJ2081" i="1"/>
  <c r="AK2081" i="1"/>
  <c r="AP2081" i="1"/>
  <c r="AR2081" i="1"/>
  <c r="AY2081" i="1"/>
  <c r="BE2081" i="1"/>
  <c r="BF2081" i="1"/>
  <c r="C2082" i="1"/>
  <c r="E2082" i="1"/>
  <c r="F2082" i="1"/>
  <c r="G2082" i="1"/>
  <c r="H2082" i="1"/>
  <c r="L2082" i="1"/>
  <c r="M2082" i="1"/>
  <c r="N2082" i="1"/>
  <c r="O2082" i="1"/>
  <c r="P2082" i="1"/>
  <c r="Q2082" i="1"/>
  <c r="R2082" i="1"/>
  <c r="S2082" i="1"/>
  <c r="T2082" i="1"/>
  <c r="U2082" i="1"/>
  <c r="V2082" i="1"/>
  <c r="AB2082" i="1"/>
  <c r="AI2082" i="1"/>
  <c r="AJ2082" i="1"/>
  <c r="AK2082" i="1"/>
  <c r="AP2082" i="1"/>
  <c r="AR2082" i="1"/>
  <c r="AY2082" i="1"/>
  <c r="BE2082" i="1"/>
  <c r="BF2082" i="1"/>
  <c r="C2083" i="1"/>
  <c r="E2083" i="1"/>
  <c r="F2083" i="1"/>
  <c r="G2083" i="1"/>
  <c r="H2083" i="1"/>
  <c r="L2083" i="1"/>
  <c r="M2083" i="1"/>
  <c r="N2083" i="1"/>
  <c r="O2083" i="1"/>
  <c r="P2083" i="1"/>
  <c r="Q2083" i="1"/>
  <c r="R2083" i="1"/>
  <c r="S2083" i="1"/>
  <c r="T2083" i="1"/>
  <c r="U2083" i="1"/>
  <c r="V2083" i="1"/>
  <c r="AB2083" i="1"/>
  <c r="AI2083" i="1"/>
  <c r="AJ2083" i="1"/>
  <c r="AK2083" i="1"/>
  <c r="AP2083" i="1"/>
  <c r="AR2083" i="1"/>
  <c r="AY2083" i="1"/>
  <c r="BE2083" i="1"/>
  <c r="BF2083" i="1"/>
  <c r="C2084" i="1"/>
  <c r="E2084" i="1"/>
  <c r="F2084" i="1"/>
  <c r="G2084" i="1"/>
  <c r="H2084" i="1"/>
  <c r="L2084" i="1"/>
  <c r="M2084" i="1"/>
  <c r="N2084" i="1"/>
  <c r="O2084" i="1"/>
  <c r="P2084" i="1"/>
  <c r="Q2084" i="1"/>
  <c r="R2084" i="1"/>
  <c r="S2084" i="1"/>
  <c r="T2084" i="1"/>
  <c r="U2084" i="1"/>
  <c r="V2084" i="1"/>
  <c r="AB2084" i="1"/>
  <c r="AI2084" i="1"/>
  <c r="AJ2084" i="1"/>
  <c r="AK2084" i="1"/>
  <c r="AP2084" i="1"/>
  <c r="AR2084" i="1"/>
  <c r="AY2084" i="1"/>
  <c r="BE2084" i="1"/>
  <c r="BF2084" i="1"/>
  <c r="C2085" i="1"/>
  <c r="E2085" i="1"/>
  <c r="F2085" i="1"/>
  <c r="G2085" i="1"/>
  <c r="H2085" i="1"/>
  <c r="L2085" i="1"/>
  <c r="M2085" i="1"/>
  <c r="N2085" i="1"/>
  <c r="O2085" i="1"/>
  <c r="P2085" i="1"/>
  <c r="Q2085" i="1"/>
  <c r="R2085" i="1"/>
  <c r="S2085" i="1"/>
  <c r="T2085" i="1"/>
  <c r="U2085" i="1"/>
  <c r="V2085" i="1"/>
  <c r="AB2085" i="1"/>
  <c r="AI2085" i="1"/>
  <c r="AJ2085" i="1"/>
  <c r="AK2085" i="1"/>
  <c r="AP2085" i="1"/>
  <c r="AR2085" i="1"/>
  <c r="AY2085" i="1"/>
  <c r="BE2085" i="1"/>
  <c r="BF2085" i="1"/>
  <c r="C2086" i="1"/>
  <c r="E2086" i="1"/>
  <c r="F2086" i="1"/>
  <c r="G2086" i="1"/>
  <c r="H2086" i="1"/>
  <c r="L2086" i="1"/>
  <c r="M2086" i="1"/>
  <c r="N2086" i="1"/>
  <c r="O2086" i="1"/>
  <c r="P2086" i="1"/>
  <c r="Q2086" i="1"/>
  <c r="R2086" i="1"/>
  <c r="S2086" i="1"/>
  <c r="T2086" i="1"/>
  <c r="U2086" i="1"/>
  <c r="V2086" i="1"/>
  <c r="AB2086" i="1"/>
  <c r="AI2086" i="1"/>
  <c r="AJ2086" i="1"/>
  <c r="AK2086" i="1"/>
  <c r="AP2086" i="1"/>
  <c r="AR2086" i="1"/>
  <c r="AY2086" i="1"/>
  <c r="BE2086" i="1"/>
  <c r="BF2086" i="1"/>
  <c r="C2087" i="1"/>
  <c r="E2087" i="1"/>
  <c r="F2087" i="1"/>
  <c r="G2087" i="1"/>
  <c r="H2087" i="1"/>
  <c r="L2087" i="1"/>
  <c r="M2087" i="1"/>
  <c r="N2087" i="1"/>
  <c r="O2087" i="1"/>
  <c r="P2087" i="1"/>
  <c r="Q2087" i="1"/>
  <c r="R2087" i="1"/>
  <c r="S2087" i="1"/>
  <c r="T2087" i="1"/>
  <c r="U2087" i="1"/>
  <c r="V2087" i="1"/>
  <c r="AB2087" i="1"/>
  <c r="AI2087" i="1"/>
  <c r="AJ2087" i="1"/>
  <c r="AK2087" i="1"/>
  <c r="AP2087" i="1"/>
  <c r="AR2087" i="1"/>
  <c r="AY2087" i="1"/>
  <c r="BE2087" i="1"/>
  <c r="BF2087" i="1"/>
  <c r="C2088" i="1"/>
  <c r="E2088" i="1"/>
  <c r="F2088" i="1"/>
  <c r="G2088" i="1"/>
  <c r="H2088" i="1"/>
  <c r="L2088" i="1"/>
  <c r="M2088" i="1"/>
  <c r="N2088" i="1"/>
  <c r="O2088" i="1"/>
  <c r="P2088" i="1"/>
  <c r="Q2088" i="1"/>
  <c r="R2088" i="1"/>
  <c r="S2088" i="1"/>
  <c r="T2088" i="1"/>
  <c r="U2088" i="1"/>
  <c r="V2088" i="1"/>
  <c r="AB2088" i="1"/>
  <c r="AI2088" i="1"/>
  <c r="AJ2088" i="1"/>
  <c r="AK2088" i="1"/>
  <c r="AP2088" i="1"/>
  <c r="AR2088" i="1"/>
  <c r="AY2088" i="1"/>
  <c r="BE2088" i="1"/>
  <c r="BF2088" i="1"/>
  <c r="C2089" i="1"/>
  <c r="E2089" i="1"/>
  <c r="F2089" i="1"/>
  <c r="G2089" i="1"/>
  <c r="H2089" i="1"/>
  <c r="L2089" i="1"/>
  <c r="M2089" i="1"/>
  <c r="N2089" i="1"/>
  <c r="O2089" i="1"/>
  <c r="P2089" i="1"/>
  <c r="Q2089" i="1"/>
  <c r="R2089" i="1"/>
  <c r="S2089" i="1"/>
  <c r="T2089" i="1"/>
  <c r="U2089" i="1"/>
  <c r="V2089" i="1"/>
  <c r="AB2089" i="1"/>
  <c r="AI2089" i="1"/>
  <c r="AJ2089" i="1"/>
  <c r="AK2089" i="1"/>
  <c r="AP2089" i="1"/>
  <c r="AR2089" i="1"/>
  <c r="AY2089" i="1"/>
  <c r="BE2089" i="1"/>
  <c r="BF2089" i="1"/>
  <c r="C2090" i="1"/>
  <c r="E2090" i="1"/>
  <c r="F2090" i="1"/>
  <c r="G2090" i="1"/>
  <c r="H2090" i="1"/>
  <c r="L2090" i="1"/>
  <c r="M2090" i="1"/>
  <c r="N2090" i="1"/>
  <c r="O2090" i="1"/>
  <c r="P2090" i="1"/>
  <c r="Q2090" i="1"/>
  <c r="R2090" i="1"/>
  <c r="S2090" i="1"/>
  <c r="T2090" i="1"/>
  <c r="U2090" i="1"/>
  <c r="V2090" i="1"/>
  <c r="AB2090" i="1"/>
  <c r="AI2090" i="1"/>
  <c r="AJ2090" i="1"/>
  <c r="AK2090" i="1"/>
  <c r="AP2090" i="1"/>
  <c r="AR2090" i="1"/>
  <c r="AY2090" i="1"/>
  <c r="BE2090" i="1"/>
  <c r="BF2090" i="1"/>
  <c r="C2091" i="1"/>
  <c r="E2091" i="1"/>
  <c r="F2091" i="1"/>
  <c r="G2091" i="1"/>
  <c r="H2091" i="1"/>
  <c r="L2091" i="1"/>
  <c r="M2091" i="1"/>
  <c r="N2091" i="1"/>
  <c r="O2091" i="1"/>
  <c r="P2091" i="1"/>
  <c r="Q2091" i="1"/>
  <c r="R2091" i="1"/>
  <c r="S2091" i="1"/>
  <c r="T2091" i="1"/>
  <c r="U2091" i="1"/>
  <c r="V2091" i="1"/>
  <c r="AB2091" i="1"/>
  <c r="AI2091" i="1"/>
  <c r="AJ2091" i="1"/>
  <c r="AK2091" i="1"/>
  <c r="AP2091" i="1"/>
  <c r="AR2091" i="1"/>
  <c r="AY2091" i="1"/>
  <c r="BE2091" i="1"/>
  <c r="BF2091" i="1"/>
  <c r="C2092" i="1"/>
  <c r="E2092" i="1"/>
  <c r="F2092" i="1"/>
  <c r="G2092" i="1"/>
  <c r="H2092" i="1"/>
  <c r="L2092" i="1"/>
  <c r="M2092" i="1"/>
  <c r="N2092" i="1"/>
  <c r="O2092" i="1"/>
  <c r="P2092" i="1"/>
  <c r="Q2092" i="1"/>
  <c r="R2092" i="1"/>
  <c r="S2092" i="1"/>
  <c r="T2092" i="1"/>
  <c r="U2092" i="1"/>
  <c r="V2092" i="1"/>
  <c r="AB2092" i="1"/>
  <c r="AI2092" i="1"/>
  <c r="AJ2092" i="1"/>
  <c r="AK2092" i="1"/>
  <c r="AP2092" i="1"/>
  <c r="AR2092" i="1"/>
  <c r="AY2092" i="1"/>
  <c r="BE2092" i="1"/>
  <c r="BF2092" i="1"/>
  <c r="C2093" i="1"/>
  <c r="E2093" i="1"/>
  <c r="F2093" i="1"/>
  <c r="G2093" i="1"/>
  <c r="H2093" i="1"/>
  <c r="L2093" i="1"/>
  <c r="M2093" i="1"/>
  <c r="N2093" i="1"/>
  <c r="O2093" i="1"/>
  <c r="P2093" i="1"/>
  <c r="Q2093" i="1"/>
  <c r="R2093" i="1"/>
  <c r="S2093" i="1"/>
  <c r="T2093" i="1"/>
  <c r="U2093" i="1"/>
  <c r="V2093" i="1"/>
  <c r="AB2093" i="1"/>
  <c r="AI2093" i="1"/>
  <c r="AJ2093" i="1"/>
  <c r="AK2093" i="1"/>
  <c r="AP2093" i="1"/>
  <c r="AR2093" i="1"/>
  <c r="AY2093" i="1"/>
  <c r="BE2093" i="1"/>
  <c r="BF2093" i="1"/>
  <c r="C2094" i="1"/>
  <c r="E2094" i="1"/>
  <c r="F2094" i="1"/>
  <c r="G2094" i="1"/>
  <c r="H2094" i="1"/>
  <c r="L2094" i="1"/>
  <c r="M2094" i="1"/>
  <c r="N2094" i="1"/>
  <c r="O2094" i="1"/>
  <c r="P2094" i="1"/>
  <c r="Q2094" i="1"/>
  <c r="R2094" i="1"/>
  <c r="S2094" i="1"/>
  <c r="T2094" i="1"/>
  <c r="U2094" i="1"/>
  <c r="V2094" i="1"/>
  <c r="AB2094" i="1"/>
  <c r="AI2094" i="1"/>
  <c r="AJ2094" i="1"/>
  <c r="AK2094" i="1"/>
  <c r="AP2094" i="1"/>
  <c r="AR2094" i="1"/>
  <c r="AY2094" i="1"/>
  <c r="BE2094" i="1"/>
  <c r="BF2094" i="1"/>
  <c r="C2095" i="1"/>
  <c r="E2095" i="1"/>
  <c r="F2095" i="1"/>
  <c r="G2095" i="1"/>
  <c r="H2095" i="1"/>
  <c r="L2095" i="1"/>
  <c r="M2095" i="1"/>
  <c r="N2095" i="1"/>
  <c r="O2095" i="1"/>
  <c r="P2095" i="1"/>
  <c r="Q2095" i="1"/>
  <c r="R2095" i="1"/>
  <c r="S2095" i="1"/>
  <c r="T2095" i="1"/>
  <c r="U2095" i="1"/>
  <c r="V2095" i="1"/>
  <c r="AB2095" i="1"/>
  <c r="AI2095" i="1"/>
  <c r="AJ2095" i="1"/>
  <c r="AK2095" i="1"/>
  <c r="AP2095" i="1"/>
  <c r="AR2095" i="1"/>
  <c r="AY2095" i="1"/>
  <c r="BE2095" i="1"/>
  <c r="BF2095" i="1"/>
  <c r="C2096" i="1"/>
  <c r="E2096" i="1"/>
  <c r="F2096" i="1"/>
  <c r="G2096" i="1"/>
  <c r="H2096" i="1"/>
  <c r="L2096" i="1"/>
  <c r="M2096" i="1"/>
  <c r="N2096" i="1"/>
  <c r="O2096" i="1"/>
  <c r="P2096" i="1"/>
  <c r="Q2096" i="1"/>
  <c r="R2096" i="1"/>
  <c r="S2096" i="1"/>
  <c r="T2096" i="1"/>
  <c r="U2096" i="1"/>
  <c r="V2096" i="1"/>
  <c r="AB2096" i="1"/>
  <c r="AI2096" i="1"/>
  <c r="AJ2096" i="1"/>
  <c r="AK2096" i="1"/>
  <c r="AP2096" i="1"/>
  <c r="AR2096" i="1"/>
  <c r="AY2096" i="1"/>
  <c r="BE2096" i="1"/>
  <c r="BF2096" i="1"/>
  <c r="C2097" i="1"/>
  <c r="E2097" i="1"/>
  <c r="F2097" i="1"/>
  <c r="G2097" i="1"/>
  <c r="H2097" i="1"/>
  <c r="L2097" i="1"/>
  <c r="M2097" i="1"/>
  <c r="N2097" i="1"/>
  <c r="O2097" i="1"/>
  <c r="P2097" i="1"/>
  <c r="Q2097" i="1"/>
  <c r="R2097" i="1"/>
  <c r="S2097" i="1"/>
  <c r="T2097" i="1"/>
  <c r="U2097" i="1"/>
  <c r="V2097" i="1"/>
  <c r="AB2097" i="1"/>
  <c r="AI2097" i="1"/>
  <c r="AJ2097" i="1"/>
  <c r="AK2097" i="1"/>
  <c r="AP2097" i="1"/>
  <c r="AR2097" i="1"/>
  <c r="AY2097" i="1"/>
  <c r="BE2097" i="1"/>
  <c r="BF2097" i="1"/>
  <c r="C2098" i="1"/>
  <c r="E2098" i="1"/>
  <c r="F2098" i="1"/>
  <c r="G2098" i="1"/>
  <c r="H2098" i="1"/>
  <c r="L2098" i="1"/>
  <c r="M2098" i="1"/>
  <c r="N2098" i="1"/>
  <c r="O2098" i="1"/>
  <c r="P2098" i="1"/>
  <c r="Q2098" i="1"/>
  <c r="R2098" i="1"/>
  <c r="S2098" i="1"/>
  <c r="T2098" i="1"/>
  <c r="U2098" i="1"/>
  <c r="V2098" i="1"/>
  <c r="AB2098" i="1"/>
  <c r="AI2098" i="1"/>
  <c r="AJ2098" i="1"/>
  <c r="AK2098" i="1"/>
  <c r="AP2098" i="1"/>
  <c r="AR2098" i="1"/>
  <c r="AY2098" i="1"/>
  <c r="BE2098" i="1"/>
  <c r="BF2098" i="1"/>
  <c r="C2099" i="1"/>
  <c r="E2099" i="1"/>
  <c r="F2099" i="1"/>
  <c r="G2099" i="1"/>
  <c r="H2099" i="1"/>
  <c r="L2099" i="1"/>
  <c r="M2099" i="1"/>
  <c r="N2099" i="1"/>
  <c r="O2099" i="1"/>
  <c r="P2099" i="1"/>
  <c r="Q2099" i="1"/>
  <c r="R2099" i="1"/>
  <c r="S2099" i="1"/>
  <c r="T2099" i="1"/>
  <c r="U2099" i="1"/>
  <c r="V2099" i="1"/>
  <c r="AB2099" i="1"/>
  <c r="AI2099" i="1"/>
  <c r="AJ2099" i="1"/>
  <c r="AK2099" i="1"/>
  <c r="AP2099" i="1"/>
  <c r="AR2099" i="1"/>
  <c r="AY2099" i="1"/>
  <c r="BE2099" i="1"/>
  <c r="BF2099" i="1"/>
  <c r="C2100" i="1"/>
  <c r="E2100" i="1"/>
  <c r="F2100" i="1"/>
  <c r="G2100" i="1"/>
  <c r="H2100" i="1"/>
  <c r="L2100" i="1"/>
  <c r="M2100" i="1"/>
  <c r="N2100" i="1"/>
  <c r="O2100" i="1"/>
  <c r="P2100" i="1"/>
  <c r="Q2100" i="1"/>
  <c r="R2100" i="1"/>
  <c r="S2100" i="1"/>
  <c r="T2100" i="1"/>
  <c r="U2100" i="1"/>
  <c r="V2100" i="1"/>
  <c r="AB2100" i="1"/>
  <c r="AI2100" i="1"/>
  <c r="AJ2100" i="1"/>
  <c r="AK2100" i="1"/>
  <c r="AP2100" i="1"/>
  <c r="AR2100" i="1"/>
  <c r="AY2100" i="1"/>
  <c r="BE2100" i="1"/>
  <c r="BF2100" i="1"/>
  <c r="C2101" i="1"/>
  <c r="E2101" i="1"/>
  <c r="F2101" i="1"/>
  <c r="G2101" i="1"/>
  <c r="H2101" i="1"/>
  <c r="L2101" i="1"/>
  <c r="M2101" i="1"/>
  <c r="N2101" i="1"/>
  <c r="O2101" i="1"/>
  <c r="P2101" i="1"/>
  <c r="Q2101" i="1"/>
  <c r="R2101" i="1"/>
  <c r="S2101" i="1"/>
  <c r="T2101" i="1"/>
  <c r="U2101" i="1"/>
  <c r="V2101" i="1"/>
  <c r="AB2101" i="1"/>
  <c r="AI2101" i="1"/>
  <c r="AJ2101" i="1"/>
  <c r="AK2101" i="1"/>
  <c r="AP2101" i="1"/>
  <c r="AR2101" i="1"/>
  <c r="AY2101" i="1"/>
  <c r="BE2101" i="1"/>
  <c r="BF2101" i="1"/>
  <c r="C2102" i="1"/>
  <c r="E2102" i="1"/>
  <c r="F2102" i="1"/>
  <c r="G2102" i="1"/>
  <c r="H2102" i="1"/>
  <c r="L2102" i="1"/>
  <c r="M2102" i="1"/>
  <c r="N2102" i="1"/>
  <c r="O2102" i="1"/>
  <c r="P2102" i="1"/>
  <c r="Q2102" i="1"/>
  <c r="R2102" i="1"/>
  <c r="S2102" i="1"/>
  <c r="T2102" i="1"/>
  <c r="U2102" i="1"/>
  <c r="V2102" i="1"/>
  <c r="AB2102" i="1"/>
  <c r="AI2102" i="1"/>
  <c r="AJ2102" i="1"/>
  <c r="AK2102" i="1"/>
  <c r="AP2102" i="1"/>
  <c r="AR2102" i="1"/>
  <c r="AY2102" i="1"/>
  <c r="BE2102" i="1"/>
  <c r="BF2102" i="1"/>
  <c r="C2103" i="1"/>
  <c r="E2103" i="1"/>
  <c r="F2103" i="1"/>
  <c r="G2103" i="1"/>
  <c r="H2103" i="1"/>
  <c r="L2103" i="1"/>
  <c r="M2103" i="1"/>
  <c r="N2103" i="1"/>
  <c r="O2103" i="1"/>
  <c r="P2103" i="1"/>
  <c r="Q2103" i="1"/>
  <c r="R2103" i="1"/>
  <c r="S2103" i="1"/>
  <c r="T2103" i="1"/>
  <c r="U2103" i="1"/>
  <c r="V2103" i="1"/>
  <c r="AB2103" i="1"/>
  <c r="AI2103" i="1"/>
  <c r="AJ2103" i="1"/>
  <c r="AK2103" i="1"/>
  <c r="AP2103" i="1"/>
  <c r="AR2103" i="1"/>
  <c r="AY2103" i="1"/>
  <c r="BE2103" i="1"/>
  <c r="BF2103" i="1"/>
  <c r="C2104" i="1"/>
  <c r="E2104" i="1"/>
  <c r="F2104" i="1"/>
  <c r="G2104" i="1"/>
  <c r="H2104" i="1"/>
  <c r="L2104" i="1"/>
  <c r="M2104" i="1"/>
  <c r="N2104" i="1"/>
  <c r="O2104" i="1"/>
  <c r="P2104" i="1"/>
  <c r="Q2104" i="1"/>
  <c r="R2104" i="1"/>
  <c r="S2104" i="1"/>
  <c r="T2104" i="1"/>
  <c r="U2104" i="1"/>
  <c r="V2104" i="1"/>
  <c r="AB2104" i="1"/>
  <c r="AI2104" i="1"/>
  <c r="AJ2104" i="1"/>
  <c r="AK2104" i="1"/>
  <c r="AP2104" i="1"/>
  <c r="AR2104" i="1"/>
  <c r="AY2104" i="1"/>
  <c r="BE2104" i="1"/>
  <c r="BF2104" i="1"/>
  <c r="C2105" i="1"/>
  <c r="E2105" i="1"/>
  <c r="F2105" i="1"/>
  <c r="G2105" i="1"/>
  <c r="H2105" i="1"/>
  <c r="L2105" i="1"/>
  <c r="M2105" i="1"/>
  <c r="N2105" i="1"/>
  <c r="O2105" i="1"/>
  <c r="P2105" i="1"/>
  <c r="Q2105" i="1"/>
  <c r="R2105" i="1"/>
  <c r="S2105" i="1"/>
  <c r="T2105" i="1"/>
  <c r="U2105" i="1"/>
  <c r="V2105" i="1"/>
  <c r="AB2105" i="1"/>
  <c r="AI2105" i="1"/>
  <c r="AJ2105" i="1"/>
  <c r="AK2105" i="1"/>
  <c r="AP2105" i="1"/>
  <c r="AR2105" i="1"/>
  <c r="AY2105" i="1"/>
  <c r="BE2105" i="1"/>
  <c r="BF2105" i="1"/>
  <c r="C2106" i="1"/>
  <c r="E2106" i="1"/>
  <c r="F2106" i="1"/>
  <c r="G2106" i="1"/>
  <c r="H2106" i="1"/>
  <c r="L2106" i="1"/>
  <c r="M2106" i="1"/>
  <c r="N2106" i="1"/>
  <c r="O2106" i="1"/>
  <c r="P2106" i="1"/>
  <c r="Q2106" i="1"/>
  <c r="R2106" i="1"/>
  <c r="S2106" i="1"/>
  <c r="T2106" i="1"/>
  <c r="U2106" i="1"/>
  <c r="V2106" i="1"/>
  <c r="AB2106" i="1"/>
  <c r="AI2106" i="1"/>
  <c r="AJ2106" i="1"/>
  <c r="AK2106" i="1"/>
  <c r="AP2106" i="1"/>
  <c r="AR2106" i="1"/>
  <c r="AY2106" i="1"/>
  <c r="BE2106" i="1"/>
  <c r="BF2106" i="1"/>
  <c r="C2107" i="1"/>
  <c r="E2107" i="1"/>
  <c r="F2107" i="1"/>
  <c r="G2107" i="1"/>
  <c r="H2107" i="1"/>
  <c r="L2107" i="1"/>
  <c r="M2107" i="1"/>
  <c r="N2107" i="1"/>
  <c r="O2107" i="1"/>
  <c r="P2107" i="1"/>
  <c r="Q2107" i="1"/>
  <c r="R2107" i="1"/>
  <c r="S2107" i="1"/>
  <c r="T2107" i="1"/>
  <c r="U2107" i="1"/>
  <c r="V2107" i="1"/>
  <c r="AB2107" i="1"/>
  <c r="AI2107" i="1"/>
  <c r="AJ2107" i="1"/>
  <c r="AK2107" i="1"/>
  <c r="AP2107" i="1"/>
  <c r="AR2107" i="1"/>
  <c r="AY2107" i="1"/>
  <c r="BE2107" i="1"/>
  <c r="BF2107" i="1"/>
  <c r="C2108" i="1"/>
  <c r="E2108" i="1"/>
  <c r="F2108" i="1"/>
  <c r="G2108" i="1"/>
  <c r="H2108" i="1"/>
  <c r="L2108" i="1"/>
  <c r="M2108" i="1"/>
  <c r="N2108" i="1"/>
  <c r="O2108" i="1"/>
  <c r="P2108" i="1"/>
  <c r="Q2108" i="1"/>
  <c r="R2108" i="1"/>
  <c r="S2108" i="1"/>
  <c r="T2108" i="1"/>
  <c r="U2108" i="1"/>
  <c r="V2108" i="1"/>
  <c r="AB2108" i="1"/>
  <c r="AI2108" i="1"/>
  <c r="AJ2108" i="1"/>
  <c r="AK2108" i="1"/>
  <c r="AP2108" i="1"/>
  <c r="AR2108" i="1"/>
  <c r="AY2108" i="1"/>
  <c r="BE2108" i="1"/>
  <c r="BF2108" i="1"/>
  <c r="C2109" i="1"/>
  <c r="E2109" i="1"/>
  <c r="F2109" i="1"/>
  <c r="G2109" i="1"/>
  <c r="H2109" i="1"/>
  <c r="L2109" i="1"/>
  <c r="M2109" i="1"/>
  <c r="N2109" i="1"/>
  <c r="O2109" i="1"/>
  <c r="P2109" i="1"/>
  <c r="Q2109" i="1"/>
  <c r="R2109" i="1"/>
  <c r="S2109" i="1"/>
  <c r="T2109" i="1"/>
  <c r="U2109" i="1"/>
  <c r="V2109" i="1"/>
  <c r="AB2109" i="1"/>
  <c r="AI2109" i="1"/>
  <c r="AJ2109" i="1"/>
  <c r="AK2109" i="1"/>
  <c r="AP2109" i="1"/>
  <c r="AR2109" i="1"/>
  <c r="AY2109" i="1"/>
  <c r="BE2109" i="1"/>
  <c r="BF2109" i="1"/>
  <c r="C2110" i="1"/>
  <c r="E2110" i="1"/>
  <c r="F2110" i="1"/>
  <c r="G2110" i="1"/>
  <c r="H2110" i="1"/>
  <c r="L2110" i="1"/>
  <c r="M2110" i="1"/>
  <c r="N2110" i="1"/>
  <c r="O2110" i="1"/>
  <c r="P2110" i="1"/>
  <c r="Q2110" i="1"/>
  <c r="R2110" i="1"/>
  <c r="S2110" i="1"/>
  <c r="T2110" i="1"/>
  <c r="U2110" i="1"/>
  <c r="V2110" i="1"/>
  <c r="AB2110" i="1"/>
  <c r="AI2110" i="1"/>
  <c r="AJ2110" i="1"/>
  <c r="AK2110" i="1"/>
  <c r="AP2110" i="1"/>
  <c r="AR2110" i="1"/>
  <c r="AY2110" i="1"/>
  <c r="BE2110" i="1"/>
  <c r="BF2110" i="1"/>
  <c r="C2111" i="1"/>
  <c r="E2111" i="1"/>
  <c r="F2111" i="1"/>
  <c r="G2111" i="1"/>
  <c r="H2111" i="1"/>
  <c r="L2111" i="1"/>
  <c r="M2111" i="1"/>
  <c r="N2111" i="1"/>
  <c r="O2111" i="1"/>
  <c r="P2111" i="1"/>
  <c r="Q2111" i="1"/>
  <c r="R2111" i="1"/>
  <c r="S2111" i="1"/>
  <c r="T2111" i="1"/>
  <c r="U2111" i="1"/>
  <c r="V2111" i="1"/>
  <c r="AB2111" i="1"/>
  <c r="AI2111" i="1"/>
  <c r="AJ2111" i="1"/>
  <c r="AK2111" i="1"/>
  <c r="AP2111" i="1"/>
  <c r="AR2111" i="1"/>
  <c r="AY2111" i="1"/>
  <c r="BE2111" i="1"/>
  <c r="BF2111" i="1"/>
  <c r="C2112" i="1"/>
  <c r="E2112" i="1"/>
  <c r="F2112" i="1"/>
  <c r="G2112" i="1"/>
  <c r="H2112" i="1"/>
  <c r="L2112" i="1"/>
  <c r="M2112" i="1"/>
  <c r="N2112" i="1"/>
  <c r="O2112" i="1"/>
  <c r="P2112" i="1"/>
  <c r="Q2112" i="1"/>
  <c r="R2112" i="1"/>
  <c r="S2112" i="1"/>
  <c r="T2112" i="1"/>
  <c r="U2112" i="1"/>
  <c r="V2112" i="1"/>
  <c r="AB2112" i="1"/>
  <c r="AI2112" i="1"/>
  <c r="AJ2112" i="1"/>
  <c r="AK2112" i="1"/>
  <c r="AP2112" i="1"/>
  <c r="AR2112" i="1"/>
  <c r="AY2112" i="1"/>
  <c r="BE2112" i="1"/>
  <c r="BF2112" i="1"/>
  <c r="C2113" i="1"/>
  <c r="E2113" i="1"/>
  <c r="F2113" i="1"/>
  <c r="G2113" i="1"/>
  <c r="H2113" i="1"/>
  <c r="L2113" i="1"/>
  <c r="M2113" i="1"/>
  <c r="N2113" i="1"/>
  <c r="O2113" i="1"/>
  <c r="P2113" i="1"/>
  <c r="Q2113" i="1"/>
  <c r="R2113" i="1"/>
  <c r="S2113" i="1"/>
  <c r="T2113" i="1"/>
  <c r="U2113" i="1"/>
  <c r="V2113" i="1"/>
  <c r="AB2113" i="1"/>
  <c r="AI2113" i="1"/>
  <c r="AJ2113" i="1"/>
  <c r="AK2113" i="1"/>
  <c r="AP2113" i="1"/>
  <c r="AR2113" i="1"/>
  <c r="AY2113" i="1"/>
  <c r="BE2113" i="1"/>
  <c r="BF2113" i="1"/>
  <c r="C2114" i="1"/>
  <c r="E2114" i="1"/>
  <c r="F2114" i="1"/>
  <c r="G2114" i="1"/>
  <c r="H2114" i="1"/>
  <c r="L2114" i="1"/>
  <c r="M2114" i="1"/>
  <c r="N2114" i="1"/>
  <c r="O2114" i="1"/>
  <c r="P2114" i="1"/>
  <c r="Q2114" i="1"/>
  <c r="R2114" i="1"/>
  <c r="S2114" i="1"/>
  <c r="T2114" i="1"/>
  <c r="U2114" i="1"/>
  <c r="V2114" i="1"/>
  <c r="AB2114" i="1"/>
  <c r="AI2114" i="1"/>
  <c r="AJ2114" i="1"/>
  <c r="AK2114" i="1"/>
  <c r="AP2114" i="1"/>
  <c r="AR2114" i="1"/>
  <c r="AY2114" i="1"/>
  <c r="BE2114" i="1"/>
  <c r="BF2114" i="1"/>
  <c r="C2115" i="1"/>
  <c r="E2115" i="1"/>
  <c r="F2115" i="1"/>
  <c r="G2115" i="1"/>
  <c r="H2115" i="1"/>
  <c r="L2115" i="1"/>
  <c r="M2115" i="1"/>
  <c r="N2115" i="1"/>
  <c r="O2115" i="1"/>
  <c r="P2115" i="1"/>
  <c r="Q2115" i="1"/>
  <c r="R2115" i="1"/>
  <c r="S2115" i="1"/>
  <c r="T2115" i="1"/>
  <c r="U2115" i="1"/>
  <c r="V2115" i="1"/>
  <c r="AB2115" i="1"/>
  <c r="AI2115" i="1"/>
  <c r="AJ2115" i="1"/>
  <c r="AK2115" i="1"/>
  <c r="AP2115" i="1"/>
  <c r="AR2115" i="1"/>
  <c r="AY2115" i="1"/>
  <c r="BE2115" i="1"/>
  <c r="BF2115" i="1"/>
  <c r="C2116" i="1"/>
  <c r="E2116" i="1"/>
  <c r="F2116" i="1"/>
  <c r="G2116" i="1"/>
  <c r="H2116" i="1"/>
  <c r="L2116" i="1"/>
  <c r="M2116" i="1"/>
  <c r="N2116" i="1"/>
  <c r="O2116" i="1"/>
  <c r="P2116" i="1"/>
  <c r="Q2116" i="1"/>
  <c r="R2116" i="1"/>
  <c r="S2116" i="1"/>
  <c r="T2116" i="1"/>
  <c r="U2116" i="1"/>
  <c r="V2116" i="1"/>
  <c r="AB2116" i="1"/>
  <c r="AI2116" i="1"/>
  <c r="AJ2116" i="1"/>
  <c r="AK2116" i="1"/>
  <c r="AP2116" i="1"/>
  <c r="AR2116" i="1"/>
  <c r="AY2116" i="1"/>
  <c r="BE2116" i="1"/>
  <c r="BF2116" i="1"/>
  <c r="C2117" i="1"/>
  <c r="E2117" i="1"/>
  <c r="F2117" i="1"/>
  <c r="G2117" i="1"/>
  <c r="H2117" i="1"/>
  <c r="L2117" i="1"/>
  <c r="M2117" i="1"/>
  <c r="N2117" i="1"/>
  <c r="O2117" i="1"/>
  <c r="P2117" i="1"/>
  <c r="Q2117" i="1"/>
  <c r="R2117" i="1"/>
  <c r="S2117" i="1"/>
  <c r="T2117" i="1"/>
  <c r="U2117" i="1"/>
  <c r="V2117" i="1"/>
  <c r="AB2117" i="1"/>
  <c r="AI2117" i="1"/>
  <c r="AJ2117" i="1"/>
  <c r="AK2117" i="1"/>
  <c r="AP2117" i="1"/>
  <c r="AR2117" i="1"/>
  <c r="AY2117" i="1"/>
  <c r="BE2117" i="1"/>
  <c r="BF2117" i="1"/>
  <c r="C2118" i="1"/>
  <c r="E2118" i="1"/>
  <c r="F2118" i="1"/>
  <c r="G2118" i="1"/>
  <c r="H2118" i="1"/>
  <c r="L2118" i="1"/>
  <c r="M2118" i="1"/>
  <c r="N2118" i="1"/>
  <c r="O2118" i="1"/>
  <c r="P2118" i="1"/>
  <c r="Q2118" i="1"/>
  <c r="R2118" i="1"/>
  <c r="S2118" i="1"/>
  <c r="T2118" i="1"/>
  <c r="U2118" i="1"/>
  <c r="V2118" i="1"/>
  <c r="AB2118" i="1"/>
  <c r="AI2118" i="1"/>
  <c r="AJ2118" i="1"/>
  <c r="AK2118" i="1"/>
  <c r="AP2118" i="1"/>
  <c r="AR2118" i="1"/>
  <c r="AY2118" i="1"/>
  <c r="BE2118" i="1"/>
  <c r="BF2118" i="1"/>
  <c r="C2119" i="1"/>
  <c r="E2119" i="1"/>
  <c r="F2119" i="1"/>
  <c r="G2119" i="1"/>
  <c r="H2119" i="1"/>
  <c r="L2119" i="1"/>
  <c r="M2119" i="1"/>
  <c r="N2119" i="1"/>
  <c r="O2119" i="1"/>
  <c r="P2119" i="1"/>
  <c r="Q2119" i="1"/>
  <c r="R2119" i="1"/>
  <c r="S2119" i="1"/>
  <c r="T2119" i="1"/>
  <c r="U2119" i="1"/>
  <c r="V2119" i="1"/>
  <c r="AB2119" i="1"/>
  <c r="AI2119" i="1"/>
  <c r="AJ2119" i="1"/>
  <c r="AK2119" i="1"/>
  <c r="AP2119" i="1"/>
  <c r="AR2119" i="1"/>
  <c r="AY2119" i="1"/>
  <c r="BE2119" i="1"/>
  <c r="BF2119" i="1"/>
  <c r="C2120" i="1"/>
  <c r="E2120" i="1"/>
  <c r="F2120" i="1"/>
  <c r="G2120" i="1"/>
  <c r="H2120" i="1"/>
  <c r="L2120" i="1"/>
  <c r="M2120" i="1"/>
  <c r="N2120" i="1"/>
  <c r="O2120" i="1"/>
  <c r="P2120" i="1"/>
  <c r="Q2120" i="1"/>
  <c r="R2120" i="1"/>
  <c r="S2120" i="1"/>
  <c r="T2120" i="1"/>
  <c r="U2120" i="1"/>
  <c r="V2120" i="1"/>
  <c r="AB2120" i="1"/>
  <c r="AI2120" i="1"/>
  <c r="AJ2120" i="1"/>
  <c r="AK2120" i="1"/>
  <c r="AP2120" i="1"/>
  <c r="AR2120" i="1"/>
  <c r="AY2120" i="1"/>
  <c r="BE2120" i="1"/>
  <c r="BF2120" i="1"/>
  <c r="C2121" i="1"/>
  <c r="E2121" i="1"/>
  <c r="F2121" i="1"/>
  <c r="G2121" i="1"/>
  <c r="H2121" i="1"/>
  <c r="L2121" i="1"/>
  <c r="M2121" i="1"/>
  <c r="N2121" i="1"/>
  <c r="O2121" i="1"/>
  <c r="P2121" i="1"/>
  <c r="Q2121" i="1"/>
  <c r="R2121" i="1"/>
  <c r="S2121" i="1"/>
  <c r="T2121" i="1"/>
  <c r="U2121" i="1"/>
  <c r="V2121" i="1"/>
  <c r="AB2121" i="1"/>
  <c r="AI2121" i="1"/>
  <c r="AJ2121" i="1"/>
  <c r="AK2121" i="1"/>
  <c r="AP2121" i="1"/>
  <c r="AR2121" i="1"/>
  <c r="AY2121" i="1"/>
  <c r="BE2121" i="1"/>
  <c r="BF2121" i="1"/>
  <c r="C2122" i="1"/>
  <c r="E2122" i="1"/>
  <c r="F2122" i="1"/>
  <c r="G2122" i="1"/>
  <c r="H2122" i="1"/>
  <c r="L2122" i="1"/>
  <c r="M2122" i="1"/>
  <c r="N2122" i="1"/>
  <c r="O2122" i="1"/>
  <c r="P2122" i="1"/>
  <c r="Q2122" i="1"/>
  <c r="R2122" i="1"/>
  <c r="S2122" i="1"/>
  <c r="T2122" i="1"/>
  <c r="U2122" i="1"/>
  <c r="V2122" i="1"/>
  <c r="AB2122" i="1"/>
  <c r="AI2122" i="1"/>
  <c r="AJ2122" i="1"/>
  <c r="AK2122" i="1"/>
  <c r="AP2122" i="1"/>
  <c r="AR2122" i="1"/>
  <c r="AY2122" i="1"/>
  <c r="BE2122" i="1"/>
  <c r="BF2122" i="1"/>
  <c r="C2123" i="1"/>
  <c r="E2123" i="1"/>
  <c r="F2123" i="1"/>
  <c r="G2123" i="1"/>
  <c r="H2123" i="1"/>
  <c r="L2123" i="1"/>
  <c r="M2123" i="1"/>
  <c r="N2123" i="1"/>
  <c r="O2123" i="1"/>
  <c r="P2123" i="1"/>
  <c r="Q2123" i="1"/>
  <c r="R2123" i="1"/>
  <c r="S2123" i="1"/>
  <c r="T2123" i="1"/>
  <c r="U2123" i="1"/>
  <c r="V2123" i="1"/>
  <c r="AB2123" i="1"/>
  <c r="AI2123" i="1"/>
  <c r="AJ2123" i="1"/>
  <c r="AK2123" i="1"/>
  <c r="AP2123" i="1"/>
  <c r="AR2123" i="1"/>
  <c r="AY2123" i="1"/>
  <c r="BE2123" i="1"/>
  <c r="BF2123" i="1"/>
  <c r="C2124" i="1"/>
  <c r="E2124" i="1"/>
  <c r="F2124" i="1"/>
  <c r="G2124" i="1"/>
  <c r="H2124" i="1"/>
  <c r="L2124" i="1"/>
  <c r="M2124" i="1"/>
  <c r="N2124" i="1"/>
  <c r="O2124" i="1"/>
  <c r="P2124" i="1"/>
  <c r="Q2124" i="1"/>
  <c r="R2124" i="1"/>
  <c r="S2124" i="1"/>
  <c r="T2124" i="1"/>
  <c r="U2124" i="1"/>
  <c r="V2124" i="1"/>
  <c r="AB2124" i="1"/>
  <c r="AI2124" i="1"/>
  <c r="AJ2124" i="1"/>
  <c r="AK2124" i="1"/>
  <c r="AP2124" i="1"/>
  <c r="AR2124" i="1"/>
  <c r="AY2124" i="1"/>
  <c r="BE2124" i="1"/>
  <c r="BF2124" i="1"/>
  <c r="C2125" i="1"/>
  <c r="E2125" i="1"/>
  <c r="F2125" i="1"/>
  <c r="G2125" i="1"/>
  <c r="H2125" i="1"/>
  <c r="L2125" i="1"/>
  <c r="M2125" i="1"/>
  <c r="N2125" i="1"/>
  <c r="O2125" i="1"/>
  <c r="P2125" i="1"/>
  <c r="Q2125" i="1"/>
  <c r="R2125" i="1"/>
  <c r="S2125" i="1"/>
  <c r="T2125" i="1"/>
  <c r="U2125" i="1"/>
  <c r="V2125" i="1"/>
  <c r="AB2125" i="1"/>
  <c r="AI2125" i="1"/>
  <c r="AJ2125" i="1"/>
  <c r="AK2125" i="1"/>
  <c r="AP2125" i="1"/>
  <c r="AR2125" i="1"/>
  <c r="AY2125" i="1"/>
  <c r="BE2125" i="1"/>
  <c r="BF2125" i="1"/>
  <c r="C2126" i="1"/>
  <c r="E2126" i="1"/>
  <c r="F2126" i="1"/>
  <c r="G2126" i="1"/>
  <c r="H2126" i="1"/>
  <c r="L2126" i="1"/>
  <c r="M2126" i="1"/>
  <c r="N2126" i="1"/>
  <c r="O2126" i="1"/>
  <c r="P2126" i="1"/>
  <c r="Q2126" i="1"/>
  <c r="R2126" i="1"/>
  <c r="S2126" i="1"/>
  <c r="T2126" i="1"/>
  <c r="U2126" i="1"/>
  <c r="V2126" i="1"/>
  <c r="AB2126" i="1"/>
  <c r="AI2126" i="1"/>
  <c r="AJ2126" i="1"/>
  <c r="AK2126" i="1"/>
  <c r="AP2126" i="1"/>
  <c r="AR2126" i="1"/>
  <c r="AY2126" i="1"/>
  <c r="BE2126" i="1"/>
  <c r="BF2126" i="1"/>
  <c r="C2127" i="1"/>
  <c r="E2127" i="1"/>
  <c r="F2127" i="1"/>
  <c r="G2127" i="1"/>
  <c r="H2127" i="1"/>
  <c r="L2127" i="1"/>
  <c r="M2127" i="1"/>
  <c r="N2127" i="1"/>
  <c r="O2127" i="1"/>
  <c r="P2127" i="1"/>
  <c r="Q2127" i="1"/>
  <c r="R2127" i="1"/>
  <c r="S2127" i="1"/>
  <c r="T2127" i="1"/>
  <c r="U2127" i="1"/>
  <c r="V2127" i="1"/>
  <c r="AB2127" i="1"/>
  <c r="AI2127" i="1"/>
  <c r="AJ2127" i="1"/>
  <c r="AK2127" i="1"/>
  <c r="AP2127" i="1"/>
  <c r="AR2127" i="1"/>
  <c r="AY2127" i="1"/>
  <c r="BE2127" i="1"/>
  <c r="BF2127" i="1"/>
  <c r="C2128" i="1"/>
  <c r="E2128" i="1"/>
  <c r="F2128" i="1"/>
  <c r="G2128" i="1"/>
  <c r="H2128" i="1"/>
  <c r="L2128" i="1"/>
  <c r="M2128" i="1"/>
  <c r="N2128" i="1"/>
  <c r="O2128" i="1"/>
  <c r="P2128" i="1"/>
  <c r="Q2128" i="1"/>
  <c r="R2128" i="1"/>
  <c r="S2128" i="1"/>
  <c r="T2128" i="1"/>
  <c r="U2128" i="1"/>
  <c r="V2128" i="1"/>
  <c r="AB2128" i="1"/>
  <c r="AI2128" i="1"/>
  <c r="AJ2128" i="1"/>
  <c r="AK2128" i="1"/>
  <c r="AP2128" i="1"/>
  <c r="AR2128" i="1"/>
  <c r="AY2128" i="1"/>
  <c r="BE2128" i="1"/>
  <c r="BF2128" i="1"/>
  <c r="C2129" i="1"/>
  <c r="E2129" i="1"/>
  <c r="F2129" i="1"/>
  <c r="G2129" i="1"/>
  <c r="H2129" i="1"/>
  <c r="L2129" i="1"/>
  <c r="M2129" i="1"/>
  <c r="N2129" i="1"/>
  <c r="O2129" i="1"/>
  <c r="P2129" i="1"/>
  <c r="Q2129" i="1"/>
  <c r="R2129" i="1"/>
  <c r="S2129" i="1"/>
  <c r="T2129" i="1"/>
  <c r="U2129" i="1"/>
  <c r="V2129" i="1"/>
  <c r="AB2129" i="1"/>
  <c r="AI2129" i="1"/>
  <c r="AJ2129" i="1"/>
  <c r="AK2129" i="1"/>
  <c r="AP2129" i="1"/>
  <c r="AR2129" i="1"/>
  <c r="AY2129" i="1"/>
  <c r="BE2129" i="1"/>
  <c r="BF2129" i="1"/>
  <c r="C2130" i="1"/>
  <c r="E2130" i="1"/>
  <c r="F2130" i="1"/>
  <c r="G2130" i="1"/>
  <c r="H2130" i="1"/>
  <c r="L2130" i="1"/>
  <c r="M2130" i="1"/>
  <c r="N2130" i="1"/>
  <c r="O2130" i="1"/>
  <c r="P2130" i="1"/>
  <c r="Q2130" i="1"/>
  <c r="R2130" i="1"/>
  <c r="S2130" i="1"/>
  <c r="T2130" i="1"/>
  <c r="U2130" i="1"/>
  <c r="V2130" i="1"/>
  <c r="AB2130" i="1"/>
  <c r="AI2130" i="1"/>
  <c r="AJ2130" i="1"/>
  <c r="AK2130" i="1"/>
  <c r="AP2130" i="1"/>
  <c r="AR2130" i="1"/>
  <c r="AY2130" i="1"/>
  <c r="BE2130" i="1"/>
  <c r="BF2130" i="1"/>
  <c r="C2131" i="1"/>
  <c r="E2131" i="1"/>
  <c r="F2131" i="1"/>
  <c r="G2131" i="1"/>
  <c r="H2131" i="1"/>
  <c r="L2131" i="1"/>
  <c r="M2131" i="1"/>
  <c r="N2131" i="1"/>
  <c r="O2131" i="1"/>
  <c r="P2131" i="1"/>
  <c r="Q2131" i="1"/>
  <c r="R2131" i="1"/>
  <c r="S2131" i="1"/>
  <c r="T2131" i="1"/>
  <c r="U2131" i="1"/>
  <c r="V2131" i="1"/>
  <c r="AB2131" i="1"/>
  <c r="AI2131" i="1"/>
  <c r="AJ2131" i="1"/>
  <c r="AK2131" i="1"/>
  <c r="AP2131" i="1"/>
  <c r="AR2131" i="1"/>
  <c r="AY2131" i="1"/>
  <c r="BE2131" i="1"/>
  <c r="BF2131" i="1"/>
  <c r="C2132" i="1"/>
  <c r="E2132" i="1"/>
  <c r="F2132" i="1"/>
  <c r="G2132" i="1"/>
  <c r="H2132" i="1"/>
  <c r="L2132" i="1"/>
  <c r="M2132" i="1"/>
  <c r="N2132" i="1"/>
  <c r="O2132" i="1"/>
  <c r="P2132" i="1"/>
  <c r="Q2132" i="1"/>
  <c r="R2132" i="1"/>
  <c r="S2132" i="1"/>
  <c r="T2132" i="1"/>
  <c r="U2132" i="1"/>
  <c r="V2132" i="1"/>
  <c r="AB2132" i="1"/>
  <c r="AI2132" i="1"/>
  <c r="AJ2132" i="1"/>
  <c r="AK2132" i="1"/>
  <c r="AP2132" i="1"/>
  <c r="AR2132" i="1"/>
  <c r="AY2132" i="1"/>
  <c r="BE2132" i="1"/>
  <c r="BF2132" i="1"/>
  <c r="C2133" i="1"/>
  <c r="E2133" i="1"/>
  <c r="F2133" i="1"/>
  <c r="G2133" i="1"/>
  <c r="H2133" i="1"/>
  <c r="L2133" i="1"/>
  <c r="M2133" i="1"/>
  <c r="N2133" i="1"/>
  <c r="O2133" i="1"/>
  <c r="P2133" i="1"/>
  <c r="Q2133" i="1"/>
  <c r="R2133" i="1"/>
  <c r="S2133" i="1"/>
  <c r="T2133" i="1"/>
  <c r="U2133" i="1"/>
  <c r="V2133" i="1"/>
  <c r="AB2133" i="1"/>
  <c r="AI2133" i="1"/>
  <c r="AJ2133" i="1"/>
  <c r="AK2133" i="1"/>
  <c r="AP2133" i="1"/>
  <c r="AR2133" i="1"/>
  <c r="AY2133" i="1"/>
  <c r="BE2133" i="1"/>
  <c r="BF2133" i="1"/>
  <c r="C2134" i="1"/>
  <c r="E2134" i="1"/>
  <c r="F2134" i="1"/>
  <c r="G2134" i="1"/>
  <c r="H2134" i="1"/>
  <c r="L2134" i="1"/>
  <c r="M2134" i="1"/>
  <c r="N2134" i="1"/>
  <c r="O2134" i="1"/>
  <c r="P2134" i="1"/>
  <c r="Q2134" i="1"/>
  <c r="R2134" i="1"/>
  <c r="S2134" i="1"/>
  <c r="T2134" i="1"/>
  <c r="U2134" i="1"/>
  <c r="V2134" i="1"/>
  <c r="AB2134" i="1"/>
  <c r="AI2134" i="1"/>
  <c r="AJ2134" i="1"/>
  <c r="AK2134" i="1"/>
  <c r="AP2134" i="1"/>
  <c r="AR2134" i="1"/>
  <c r="AY2134" i="1"/>
  <c r="BE2134" i="1"/>
  <c r="BF2134" i="1"/>
  <c r="C2135" i="1"/>
  <c r="E2135" i="1"/>
  <c r="F2135" i="1"/>
  <c r="G2135" i="1"/>
  <c r="H2135" i="1"/>
  <c r="L2135" i="1"/>
  <c r="M2135" i="1"/>
  <c r="N2135" i="1"/>
  <c r="O2135" i="1"/>
  <c r="P2135" i="1"/>
  <c r="Q2135" i="1"/>
  <c r="R2135" i="1"/>
  <c r="S2135" i="1"/>
  <c r="T2135" i="1"/>
  <c r="U2135" i="1"/>
  <c r="V2135" i="1"/>
  <c r="AB2135" i="1"/>
  <c r="AI2135" i="1"/>
  <c r="AJ2135" i="1"/>
  <c r="AK2135" i="1"/>
  <c r="AP2135" i="1"/>
  <c r="AR2135" i="1"/>
  <c r="AY2135" i="1"/>
  <c r="BE2135" i="1"/>
  <c r="BF2135" i="1"/>
  <c r="C2136" i="1"/>
  <c r="E2136" i="1"/>
  <c r="F2136" i="1"/>
  <c r="G2136" i="1"/>
  <c r="H2136" i="1"/>
  <c r="L2136" i="1"/>
  <c r="M2136" i="1"/>
  <c r="N2136" i="1"/>
  <c r="O2136" i="1"/>
  <c r="P2136" i="1"/>
  <c r="Q2136" i="1"/>
  <c r="R2136" i="1"/>
  <c r="S2136" i="1"/>
  <c r="T2136" i="1"/>
  <c r="U2136" i="1"/>
  <c r="V2136" i="1"/>
  <c r="AB2136" i="1"/>
  <c r="AI2136" i="1"/>
  <c r="AJ2136" i="1"/>
  <c r="AK2136" i="1"/>
  <c r="AP2136" i="1"/>
  <c r="AR2136" i="1"/>
  <c r="AY2136" i="1"/>
  <c r="BE2136" i="1"/>
  <c r="BF2136" i="1"/>
  <c r="C2137" i="1"/>
  <c r="E2137" i="1"/>
  <c r="F2137" i="1"/>
  <c r="G2137" i="1"/>
  <c r="H2137" i="1"/>
  <c r="L2137" i="1"/>
  <c r="M2137" i="1"/>
  <c r="N2137" i="1"/>
  <c r="O2137" i="1"/>
  <c r="P2137" i="1"/>
  <c r="Q2137" i="1"/>
  <c r="R2137" i="1"/>
  <c r="S2137" i="1"/>
  <c r="T2137" i="1"/>
  <c r="U2137" i="1"/>
  <c r="V2137" i="1"/>
  <c r="AB2137" i="1"/>
  <c r="AI2137" i="1"/>
  <c r="AJ2137" i="1"/>
  <c r="AK2137" i="1"/>
  <c r="AP2137" i="1"/>
  <c r="AR2137" i="1"/>
  <c r="AY2137" i="1"/>
  <c r="BE2137" i="1"/>
  <c r="BF2137" i="1"/>
  <c r="C2138" i="1"/>
  <c r="E2138" i="1"/>
  <c r="F2138" i="1"/>
  <c r="G2138" i="1"/>
  <c r="H2138" i="1"/>
  <c r="L2138" i="1"/>
  <c r="M2138" i="1"/>
  <c r="N2138" i="1"/>
  <c r="O2138" i="1"/>
  <c r="P2138" i="1"/>
  <c r="Q2138" i="1"/>
  <c r="R2138" i="1"/>
  <c r="S2138" i="1"/>
  <c r="T2138" i="1"/>
  <c r="U2138" i="1"/>
  <c r="V2138" i="1"/>
  <c r="AB2138" i="1"/>
  <c r="AI2138" i="1"/>
  <c r="AJ2138" i="1"/>
  <c r="AK2138" i="1"/>
  <c r="AP2138" i="1"/>
  <c r="AR2138" i="1"/>
  <c r="AY2138" i="1"/>
  <c r="BE2138" i="1"/>
  <c r="BF2138" i="1"/>
  <c r="C2139" i="1"/>
  <c r="E2139" i="1"/>
  <c r="F2139" i="1"/>
  <c r="G2139" i="1"/>
  <c r="H2139" i="1"/>
  <c r="L2139" i="1"/>
  <c r="M2139" i="1"/>
  <c r="N2139" i="1"/>
  <c r="O2139" i="1"/>
  <c r="P2139" i="1"/>
  <c r="Q2139" i="1"/>
  <c r="R2139" i="1"/>
  <c r="S2139" i="1"/>
  <c r="T2139" i="1"/>
  <c r="U2139" i="1"/>
  <c r="V2139" i="1"/>
  <c r="AB2139" i="1"/>
  <c r="AI2139" i="1"/>
  <c r="AJ2139" i="1"/>
  <c r="AK2139" i="1"/>
  <c r="AP2139" i="1"/>
  <c r="AR2139" i="1"/>
  <c r="AY2139" i="1"/>
  <c r="BE2139" i="1"/>
  <c r="BF2139" i="1"/>
  <c r="C2140" i="1"/>
  <c r="E2140" i="1"/>
  <c r="F2140" i="1"/>
  <c r="G2140" i="1"/>
  <c r="H2140" i="1"/>
  <c r="L2140" i="1"/>
  <c r="M2140" i="1"/>
  <c r="N2140" i="1"/>
  <c r="O2140" i="1"/>
  <c r="P2140" i="1"/>
  <c r="Q2140" i="1"/>
  <c r="R2140" i="1"/>
  <c r="S2140" i="1"/>
  <c r="T2140" i="1"/>
  <c r="U2140" i="1"/>
  <c r="V2140" i="1"/>
  <c r="AB2140" i="1"/>
  <c r="AI2140" i="1"/>
  <c r="AJ2140" i="1"/>
  <c r="AK2140" i="1"/>
  <c r="AP2140" i="1"/>
  <c r="AR2140" i="1"/>
  <c r="AY2140" i="1"/>
  <c r="BE2140" i="1"/>
  <c r="BF2140" i="1"/>
  <c r="C2141" i="1"/>
  <c r="E2141" i="1"/>
  <c r="F2141" i="1"/>
  <c r="G2141" i="1"/>
  <c r="H2141" i="1"/>
  <c r="L2141" i="1"/>
  <c r="M2141" i="1"/>
  <c r="N2141" i="1"/>
  <c r="O2141" i="1"/>
  <c r="P2141" i="1"/>
  <c r="Q2141" i="1"/>
  <c r="R2141" i="1"/>
  <c r="S2141" i="1"/>
  <c r="T2141" i="1"/>
  <c r="U2141" i="1"/>
  <c r="V2141" i="1"/>
  <c r="AB2141" i="1"/>
  <c r="AI2141" i="1"/>
  <c r="AJ2141" i="1"/>
  <c r="AK2141" i="1"/>
  <c r="AP2141" i="1"/>
  <c r="AR2141" i="1"/>
  <c r="AY2141" i="1"/>
  <c r="BE2141" i="1"/>
  <c r="BF2141" i="1"/>
  <c r="C2142" i="1"/>
  <c r="E2142" i="1"/>
  <c r="F2142" i="1"/>
  <c r="G2142" i="1"/>
  <c r="H2142" i="1"/>
  <c r="L2142" i="1"/>
  <c r="M2142" i="1"/>
  <c r="N2142" i="1"/>
  <c r="O2142" i="1"/>
  <c r="P2142" i="1"/>
  <c r="Q2142" i="1"/>
  <c r="R2142" i="1"/>
  <c r="S2142" i="1"/>
  <c r="T2142" i="1"/>
  <c r="U2142" i="1"/>
  <c r="V2142" i="1"/>
  <c r="AB2142" i="1"/>
  <c r="AI2142" i="1"/>
  <c r="AJ2142" i="1"/>
  <c r="AK2142" i="1"/>
  <c r="AP2142" i="1"/>
  <c r="AR2142" i="1"/>
  <c r="AY2142" i="1"/>
  <c r="BE2142" i="1"/>
  <c r="BF2142" i="1"/>
  <c r="C2143" i="1"/>
  <c r="E2143" i="1"/>
  <c r="F2143" i="1"/>
  <c r="G2143" i="1"/>
  <c r="H2143" i="1"/>
  <c r="L2143" i="1"/>
  <c r="M2143" i="1"/>
  <c r="N2143" i="1"/>
  <c r="O2143" i="1"/>
  <c r="P2143" i="1"/>
  <c r="Q2143" i="1"/>
  <c r="R2143" i="1"/>
  <c r="S2143" i="1"/>
  <c r="T2143" i="1"/>
  <c r="U2143" i="1"/>
  <c r="V2143" i="1"/>
  <c r="AB2143" i="1"/>
  <c r="AI2143" i="1"/>
  <c r="AJ2143" i="1"/>
  <c r="AK2143" i="1"/>
  <c r="AP2143" i="1"/>
  <c r="AR2143" i="1"/>
  <c r="AY2143" i="1"/>
  <c r="BE2143" i="1"/>
  <c r="BF2143" i="1"/>
  <c r="C2144" i="1"/>
  <c r="E2144" i="1"/>
  <c r="F2144" i="1"/>
  <c r="G2144" i="1"/>
  <c r="H2144" i="1"/>
  <c r="L2144" i="1"/>
  <c r="M2144" i="1"/>
  <c r="N2144" i="1"/>
  <c r="O2144" i="1"/>
  <c r="P2144" i="1"/>
  <c r="Q2144" i="1"/>
  <c r="R2144" i="1"/>
  <c r="S2144" i="1"/>
  <c r="T2144" i="1"/>
  <c r="U2144" i="1"/>
  <c r="V2144" i="1"/>
  <c r="AB2144" i="1"/>
  <c r="AI2144" i="1"/>
  <c r="AJ2144" i="1"/>
  <c r="AK2144" i="1"/>
  <c r="AP2144" i="1"/>
  <c r="AR2144" i="1"/>
  <c r="AY2144" i="1"/>
  <c r="BE2144" i="1"/>
  <c r="BF2144" i="1"/>
  <c r="C2145" i="1"/>
  <c r="E2145" i="1"/>
  <c r="F2145" i="1"/>
  <c r="G2145" i="1"/>
  <c r="H2145" i="1"/>
  <c r="L2145" i="1"/>
  <c r="M2145" i="1"/>
  <c r="N2145" i="1"/>
  <c r="O2145" i="1"/>
  <c r="P2145" i="1"/>
  <c r="Q2145" i="1"/>
  <c r="R2145" i="1"/>
  <c r="S2145" i="1"/>
  <c r="T2145" i="1"/>
  <c r="U2145" i="1"/>
  <c r="V2145" i="1"/>
  <c r="AB2145" i="1"/>
  <c r="AI2145" i="1"/>
  <c r="AJ2145" i="1"/>
  <c r="AK2145" i="1"/>
  <c r="AP2145" i="1"/>
  <c r="AR2145" i="1"/>
  <c r="AY2145" i="1"/>
  <c r="BE2145" i="1"/>
  <c r="BF2145" i="1"/>
  <c r="C2146" i="1"/>
  <c r="E2146" i="1"/>
  <c r="F2146" i="1"/>
  <c r="G2146" i="1"/>
  <c r="H2146" i="1"/>
  <c r="L2146" i="1"/>
  <c r="M2146" i="1"/>
  <c r="N2146" i="1"/>
  <c r="O2146" i="1"/>
  <c r="P2146" i="1"/>
  <c r="Q2146" i="1"/>
  <c r="R2146" i="1"/>
  <c r="S2146" i="1"/>
  <c r="T2146" i="1"/>
  <c r="U2146" i="1"/>
  <c r="V2146" i="1"/>
  <c r="AB2146" i="1"/>
  <c r="AI2146" i="1"/>
  <c r="AJ2146" i="1"/>
  <c r="AK2146" i="1"/>
  <c r="AP2146" i="1"/>
  <c r="AR2146" i="1"/>
  <c r="AY2146" i="1"/>
  <c r="BE2146" i="1"/>
  <c r="BF2146" i="1"/>
  <c r="C2147" i="1"/>
  <c r="E2147" i="1"/>
  <c r="F2147" i="1"/>
  <c r="G2147" i="1"/>
  <c r="H2147" i="1"/>
  <c r="L2147" i="1"/>
  <c r="M2147" i="1"/>
  <c r="N2147" i="1"/>
  <c r="O2147" i="1"/>
  <c r="P2147" i="1"/>
  <c r="Q2147" i="1"/>
  <c r="R2147" i="1"/>
  <c r="S2147" i="1"/>
  <c r="T2147" i="1"/>
  <c r="U2147" i="1"/>
  <c r="V2147" i="1"/>
  <c r="AB2147" i="1"/>
  <c r="AI2147" i="1"/>
  <c r="AJ2147" i="1"/>
  <c r="AK2147" i="1"/>
  <c r="AP2147" i="1"/>
  <c r="AR2147" i="1"/>
  <c r="AY2147" i="1"/>
  <c r="BE2147" i="1"/>
  <c r="BF2147" i="1"/>
  <c r="C2148" i="1"/>
  <c r="E2148" i="1"/>
  <c r="F2148" i="1"/>
  <c r="G2148" i="1"/>
  <c r="H2148" i="1"/>
  <c r="L2148" i="1"/>
  <c r="M2148" i="1"/>
  <c r="N2148" i="1"/>
  <c r="O2148" i="1"/>
  <c r="P2148" i="1"/>
  <c r="Q2148" i="1"/>
  <c r="R2148" i="1"/>
  <c r="S2148" i="1"/>
  <c r="T2148" i="1"/>
  <c r="U2148" i="1"/>
  <c r="V2148" i="1"/>
  <c r="AB2148" i="1"/>
  <c r="AI2148" i="1"/>
  <c r="AJ2148" i="1"/>
  <c r="AK2148" i="1"/>
  <c r="AP2148" i="1"/>
  <c r="AR2148" i="1"/>
  <c r="AY2148" i="1"/>
  <c r="BE2148" i="1"/>
  <c r="BF2148" i="1"/>
  <c r="C2149" i="1"/>
  <c r="E2149" i="1"/>
  <c r="F2149" i="1"/>
  <c r="G2149" i="1"/>
  <c r="H2149" i="1"/>
  <c r="L2149" i="1"/>
  <c r="M2149" i="1"/>
  <c r="N2149" i="1"/>
  <c r="O2149" i="1"/>
  <c r="P2149" i="1"/>
  <c r="Q2149" i="1"/>
  <c r="R2149" i="1"/>
  <c r="S2149" i="1"/>
  <c r="T2149" i="1"/>
  <c r="U2149" i="1"/>
  <c r="V2149" i="1"/>
  <c r="AB2149" i="1"/>
  <c r="AI2149" i="1"/>
  <c r="AJ2149" i="1"/>
  <c r="AK2149" i="1"/>
  <c r="AP2149" i="1"/>
  <c r="AR2149" i="1"/>
  <c r="AY2149" i="1"/>
  <c r="BE2149" i="1"/>
  <c r="BF2149" i="1"/>
  <c r="C2150" i="1"/>
  <c r="E2150" i="1"/>
  <c r="F2150" i="1"/>
  <c r="G2150" i="1"/>
  <c r="H2150" i="1"/>
  <c r="L2150" i="1"/>
  <c r="M2150" i="1"/>
  <c r="N2150" i="1"/>
  <c r="O2150" i="1"/>
  <c r="P2150" i="1"/>
  <c r="Q2150" i="1"/>
  <c r="R2150" i="1"/>
  <c r="S2150" i="1"/>
  <c r="T2150" i="1"/>
  <c r="U2150" i="1"/>
  <c r="V2150" i="1"/>
  <c r="AB2150" i="1"/>
  <c r="AI2150" i="1"/>
  <c r="AJ2150" i="1"/>
  <c r="AK2150" i="1"/>
  <c r="AP2150" i="1"/>
  <c r="AR2150" i="1"/>
  <c r="AY2150" i="1"/>
  <c r="BE2150" i="1"/>
  <c r="BF2150" i="1"/>
  <c r="C2151" i="1"/>
  <c r="E2151" i="1"/>
  <c r="F2151" i="1"/>
  <c r="G2151" i="1"/>
  <c r="H2151" i="1"/>
  <c r="L2151" i="1"/>
  <c r="M2151" i="1"/>
  <c r="N2151" i="1"/>
  <c r="O2151" i="1"/>
  <c r="P2151" i="1"/>
  <c r="Q2151" i="1"/>
  <c r="R2151" i="1"/>
  <c r="S2151" i="1"/>
  <c r="T2151" i="1"/>
  <c r="U2151" i="1"/>
  <c r="V2151" i="1"/>
  <c r="AB2151" i="1"/>
  <c r="AI2151" i="1"/>
  <c r="AJ2151" i="1"/>
  <c r="AK2151" i="1"/>
  <c r="AP2151" i="1"/>
  <c r="AR2151" i="1"/>
  <c r="AY2151" i="1"/>
  <c r="BE2151" i="1"/>
  <c r="BF2151" i="1"/>
  <c r="C2152" i="1"/>
  <c r="E2152" i="1"/>
  <c r="F2152" i="1"/>
  <c r="G2152" i="1"/>
  <c r="H2152" i="1"/>
  <c r="L2152" i="1"/>
  <c r="M2152" i="1"/>
  <c r="N2152" i="1"/>
  <c r="O2152" i="1"/>
  <c r="P2152" i="1"/>
  <c r="Q2152" i="1"/>
  <c r="R2152" i="1"/>
  <c r="S2152" i="1"/>
  <c r="T2152" i="1"/>
  <c r="U2152" i="1"/>
  <c r="V2152" i="1"/>
  <c r="AB2152" i="1"/>
  <c r="AI2152" i="1"/>
  <c r="AJ2152" i="1"/>
  <c r="AK2152" i="1"/>
  <c r="AP2152" i="1"/>
  <c r="AR2152" i="1"/>
  <c r="AY2152" i="1"/>
  <c r="BE2152" i="1"/>
  <c r="BF2152" i="1"/>
  <c r="C2153" i="1"/>
  <c r="E2153" i="1"/>
  <c r="F2153" i="1"/>
  <c r="G2153" i="1"/>
  <c r="H2153" i="1"/>
  <c r="L2153" i="1"/>
  <c r="M2153" i="1"/>
  <c r="N2153" i="1"/>
  <c r="O2153" i="1"/>
  <c r="P2153" i="1"/>
  <c r="Q2153" i="1"/>
  <c r="R2153" i="1"/>
  <c r="S2153" i="1"/>
  <c r="T2153" i="1"/>
  <c r="U2153" i="1"/>
  <c r="V2153" i="1"/>
  <c r="AB2153" i="1"/>
  <c r="AI2153" i="1"/>
  <c r="AJ2153" i="1"/>
  <c r="AK2153" i="1"/>
  <c r="AP2153" i="1"/>
  <c r="AR2153" i="1"/>
  <c r="AY2153" i="1"/>
  <c r="BE2153" i="1"/>
  <c r="BF2153" i="1"/>
  <c r="C2154" i="1"/>
  <c r="E2154" i="1"/>
  <c r="F2154" i="1"/>
  <c r="G2154" i="1"/>
  <c r="H2154" i="1"/>
  <c r="L2154" i="1"/>
  <c r="M2154" i="1"/>
  <c r="N2154" i="1"/>
  <c r="O2154" i="1"/>
  <c r="P2154" i="1"/>
  <c r="Q2154" i="1"/>
  <c r="R2154" i="1"/>
  <c r="S2154" i="1"/>
  <c r="T2154" i="1"/>
  <c r="U2154" i="1"/>
  <c r="V2154" i="1"/>
  <c r="AB2154" i="1"/>
  <c r="AI2154" i="1"/>
  <c r="AJ2154" i="1"/>
  <c r="AK2154" i="1"/>
  <c r="AP2154" i="1"/>
  <c r="AR2154" i="1"/>
  <c r="AY2154" i="1"/>
  <c r="BE2154" i="1"/>
  <c r="BF2154" i="1"/>
  <c r="C2155" i="1"/>
  <c r="E2155" i="1"/>
  <c r="F2155" i="1"/>
  <c r="G2155" i="1"/>
  <c r="H2155" i="1"/>
  <c r="L2155" i="1"/>
  <c r="M2155" i="1"/>
  <c r="N2155" i="1"/>
  <c r="O2155" i="1"/>
  <c r="P2155" i="1"/>
  <c r="Q2155" i="1"/>
  <c r="R2155" i="1"/>
  <c r="S2155" i="1"/>
  <c r="T2155" i="1"/>
  <c r="U2155" i="1"/>
  <c r="V2155" i="1"/>
  <c r="AB2155" i="1"/>
  <c r="AI2155" i="1"/>
  <c r="AJ2155" i="1"/>
  <c r="AK2155" i="1"/>
  <c r="AP2155" i="1"/>
  <c r="AR2155" i="1"/>
  <c r="AY2155" i="1"/>
  <c r="BE2155" i="1"/>
  <c r="BF2155" i="1"/>
  <c r="C586" i="1"/>
  <c r="E586" i="1"/>
  <c r="F586" i="1"/>
  <c r="G586" i="1"/>
  <c r="H586" i="1"/>
  <c r="L586" i="1"/>
  <c r="M586" i="1"/>
  <c r="N586" i="1"/>
  <c r="O586" i="1"/>
  <c r="P586" i="1"/>
  <c r="Q586" i="1"/>
  <c r="R586" i="1"/>
  <c r="S586" i="1"/>
  <c r="T586" i="1"/>
  <c r="U586" i="1"/>
  <c r="V586" i="1"/>
  <c r="AI586" i="1"/>
  <c r="AJ586" i="1"/>
  <c r="AK586" i="1"/>
  <c r="AP586" i="1"/>
  <c r="AR586" i="1"/>
  <c r="AY586" i="1"/>
  <c r="BE586" i="1"/>
  <c r="BF586" i="1"/>
  <c r="C587" i="1"/>
  <c r="E587" i="1"/>
  <c r="F587" i="1"/>
  <c r="G587" i="1"/>
  <c r="H587" i="1"/>
  <c r="L587" i="1"/>
  <c r="M587" i="1"/>
  <c r="N587" i="1"/>
  <c r="O587" i="1"/>
  <c r="P587" i="1"/>
  <c r="Q587" i="1"/>
  <c r="R587" i="1"/>
  <c r="S587" i="1"/>
  <c r="T587" i="1"/>
  <c r="U587" i="1"/>
  <c r="V587" i="1"/>
  <c r="AI587" i="1"/>
  <c r="AJ587" i="1"/>
  <c r="AK587" i="1"/>
  <c r="AP587" i="1"/>
  <c r="AR587" i="1"/>
  <c r="AY587" i="1"/>
  <c r="BE587" i="1"/>
  <c r="BF587" i="1"/>
  <c r="C588" i="1"/>
  <c r="E588" i="1"/>
  <c r="F588" i="1"/>
  <c r="G588" i="1"/>
  <c r="H588" i="1"/>
  <c r="L588" i="1"/>
  <c r="M588" i="1"/>
  <c r="N588" i="1"/>
  <c r="O588" i="1"/>
  <c r="P588" i="1"/>
  <c r="Q588" i="1"/>
  <c r="R588" i="1"/>
  <c r="S588" i="1"/>
  <c r="T588" i="1"/>
  <c r="U588" i="1"/>
  <c r="V588" i="1"/>
  <c r="AI588" i="1"/>
  <c r="AJ588" i="1"/>
  <c r="AK588" i="1"/>
  <c r="AP588" i="1"/>
  <c r="AR588" i="1"/>
  <c r="AY588" i="1"/>
  <c r="BE588" i="1"/>
  <c r="BF588" i="1"/>
  <c r="C589" i="1"/>
  <c r="E589" i="1"/>
  <c r="F589" i="1"/>
  <c r="G589" i="1"/>
  <c r="H589" i="1"/>
  <c r="L589" i="1"/>
  <c r="M589" i="1"/>
  <c r="N589" i="1"/>
  <c r="O589" i="1"/>
  <c r="P589" i="1"/>
  <c r="Q589" i="1"/>
  <c r="R589" i="1"/>
  <c r="S589" i="1"/>
  <c r="T589" i="1"/>
  <c r="U589" i="1"/>
  <c r="V589" i="1"/>
  <c r="AI589" i="1"/>
  <c r="AJ589" i="1"/>
  <c r="AK589" i="1"/>
  <c r="AP589" i="1"/>
  <c r="AR589" i="1"/>
  <c r="AY589" i="1"/>
  <c r="BE589" i="1"/>
  <c r="BF589" i="1"/>
  <c r="C590" i="1"/>
  <c r="E590" i="1"/>
  <c r="F590" i="1"/>
  <c r="G590" i="1"/>
  <c r="H590" i="1"/>
  <c r="L590" i="1"/>
  <c r="M590" i="1"/>
  <c r="N590" i="1"/>
  <c r="O590" i="1"/>
  <c r="P590" i="1"/>
  <c r="Q590" i="1"/>
  <c r="R590" i="1"/>
  <c r="S590" i="1"/>
  <c r="T590" i="1"/>
  <c r="U590" i="1"/>
  <c r="V590" i="1"/>
  <c r="AI590" i="1"/>
  <c r="AJ590" i="1"/>
  <c r="AK590" i="1"/>
  <c r="AP590" i="1"/>
  <c r="AR590" i="1"/>
  <c r="AY590" i="1"/>
  <c r="BE590" i="1"/>
  <c r="BF590" i="1"/>
  <c r="C591" i="1"/>
  <c r="E591" i="1"/>
  <c r="F591" i="1"/>
  <c r="G591" i="1"/>
  <c r="H591" i="1"/>
  <c r="L591" i="1"/>
  <c r="M591" i="1"/>
  <c r="N591" i="1"/>
  <c r="O591" i="1"/>
  <c r="P591" i="1"/>
  <c r="Q591" i="1"/>
  <c r="R591" i="1"/>
  <c r="S591" i="1"/>
  <c r="T591" i="1"/>
  <c r="U591" i="1"/>
  <c r="V591" i="1"/>
  <c r="AI591" i="1"/>
  <c r="AJ591" i="1"/>
  <c r="AK591" i="1"/>
  <c r="AP591" i="1"/>
  <c r="AR591" i="1"/>
  <c r="AY591" i="1"/>
  <c r="BE591" i="1"/>
  <c r="BF591" i="1"/>
  <c r="C592" i="1"/>
  <c r="E592" i="1"/>
  <c r="F592" i="1"/>
  <c r="G592" i="1"/>
  <c r="H592" i="1"/>
  <c r="L592" i="1"/>
  <c r="M592" i="1"/>
  <c r="N592" i="1"/>
  <c r="O592" i="1"/>
  <c r="P592" i="1"/>
  <c r="Q592" i="1"/>
  <c r="R592" i="1"/>
  <c r="S592" i="1"/>
  <c r="T592" i="1"/>
  <c r="U592" i="1"/>
  <c r="V592" i="1"/>
  <c r="AI592" i="1"/>
  <c r="AJ592" i="1"/>
  <c r="AK592" i="1"/>
  <c r="AP592" i="1"/>
  <c r="AR592" i="1"/>
  <c r="AY592" i="1"/>
  <c r="BE592" i="1"/>
  <c r="BF592" i="1"/>
  <c r="C593" i="1"/>
  <c r="E593" i="1"/>
  <c r="F593" i="1"/>
  <c r="G593" i="1"/>
  <c r="H593" i="1"/>
  <c r="L593" i="1"/>
  <c r="M593" i="1"/>
  <c r="N593" i="1"/>
  <c r="O593" i="1"/>
  <c r="P593" i="1"/>
  <c r="Q593" i="1"/>
  <c r="R593" i="1"/>
  <c r="S593" i="1"/>
  <c r="T593" i="1"/>
  <c r="U593" i="1"/>
  <c r="V593" i="1"/>
  <c r="AI593" i="1"/>
  <c r="AJ593" i="1"/>
  <c r="AK593" i="1"/>
  <c r="AP593" i="1"/>
  <c r="AR593" i="1"/>
  <c r="AY593" i="1"/>
  <c r="BE593" i="1"/>
  <c r="BF593" i="1"/>
  <c r="C594" i="1"/>
  <c r="E594" i="1"/>
  <c r="F594" i="1"/>
  <c r="G594" i="1"/>
  <c r="H594" i="1"/>
  <c r="L594" i="1"/>
  <c r="M594" i="1"/>
  <c r="N594" i="1"/>
  <c r="O594" i="1"/>
  <c r="P594" i="1"/>
  <c r="Q594" i="1"/>
  <c r="R594" i="1"/>
  <c r="S594" i="1"/>
  <c r="T594" i="1"/>
  <c r="U594" i="1"/>
  <c r="V594" i="1"/>
  <c r="AI594" i="1"/>
  <c r="AJ594" i="1"/>
  <c r="AK594" i="1"/>
  <c r="AP594" i="1"/>
  <c r="AR594" i="1"/>
  <c r="AY594" i="1"/>
  <c r="BE594" i="1"/>
  <c r="BF594" i="1"/>
  <c r="C595" i="1"/>
  <c r="E595" i="1"/>
  <c r="F595" i="1"/>
  <c r="G595" i="1"/>
  <c r="H595" i="1"/>
  <c r="L595" i="1"/>
  <c r="M595" i="1"/>
  <c r="N595" i="1"/>
  <c r="O595" i="1"/>
  <c r="P595" i="1"/>
  <c r="Q595" i="1"/>
  <c r="R595" i="1"/>
  <c r="S595" i="1"/>
  <c r="T595" i="1"/>
  <c r="U595" i="1"/>
  <c r="V595" i="1"/>
  <c r="AI595" i="1"/>
  <c r="AJ595" i="1"/>
  <c r="AK595" i="1"/>
  <c r="AP595" i="1"/>
  <c r="AR595" i="1"/>
  <c r="AY595" i="1"/>
  <c r="BE595" i="1"/>
  <c r="BF595" i="1"/>
  <c r="C596" i="1"/>
  <c r="E596" i="1"/>
  <c r="F596" i="1"/>
  <c r="G596" i="1"/>
  <c r="H596" i="1"/>
  <c r="L596" i="1"/>
  <c r="M596" i="1"/>
  <c r="N596" i="1"/>
  <c r="O596" i="1"/>
  <c r="P596" i="1"/>
  <c r="Q596" i="1"/>
  <c r="R596" i="1"/>
  <c r="S596" i="1"/>
  <c r="T596" i="1"/>
  <c r="U596" i="1"/>
  <c r="V596" i="1"/>
  <c r="AI596" i="1"/>
  <c r="AJ596" i="1"/>
  <c r="AK596" i="1"/>
  <c r="AP596" i="1"/>
  <c r="AR596" i="1"/>
  <c r="AY596" i="1"/>
  <c r="BE596" i="1"/>
  <c r="BF596" i="1"/>
  <c r="C597" i="1"/>
  <c r="E597" i="1"/>
  <c r="F597" i="1"/>
  <c r="G597" i="1"/>
  <c r="H597" i="1"/>
  <c r="L597" i="1"/>
  <c r="M597" i="1"/>
  <c r="N597" i="1"/>
  <c r="O597" i="1"/>
  <c r="P597" i="1"/>
  <c r="Q597" i="1"/>
  <c r="R597" i="1"/>
  <c r="S597" i="1"/>
  <c r="T597" i="1"/>
  <c r="U597" i="1"/>
  <c r="V597" i="1"/>
  <c r="AI597" i="1"/>
  <c r="AJ597" i="1"/>
  <c r="AK597" i="1"/>
  <c r="AP597" i="1"/>
  <c r="AR597" i="1"/>
  <c r="AY597" i="1"/>
  <c r="BE597" i="1"/>
  <c r="BF597" i="1"/>
  <c r="C598" i="1"/>
  <c r="E598" i="1"/>
  <c r="F598" i="1"/>
  <c r="G598" i="1"/>
  <c r="H598" i="1"/>
  <c r="L598" i="1"/>
  <c r="M598" i="1"/>
  <c r="N598" i="1"/>
  <c r="O598" i="1"/>
  <c r="P598" i="1"/>
  <c r="Q598" i="1"/>
  <c r="R598" i="1"/>
  <c r="S598" i="1"/>
  <c r="T598" i="1"/>
  <c r="U598" i="1"/>
  <c r="V598" i="1"/>
  <c r="AI598" i="1"/>
  <c r="AJ598" i="1"/>
  <c r="AK598" i="1"/>
  <c r="AP598" i="1"/>
  <c r="AR598" i="1"/>
  <c r="AY598" i="1"/>
  <c r="BE598" i="1"/>
  <c r="BF598" i="1"/>
  <c r="C599" i="1"/>
  <c r="E599" i="1"/>
  <c r="F599" i="1"/>
  <c r="G599" i="1"/>
  <c r="H599" i="1"/>
  <c r="L599" i="1"/>
  <c r="M599" i="1"/>
  <c r="N599" i="1"/>
  <c r="O599" i="1"/>
  <c r="P599" i="1"/>
  <c r="Q599" i="1"/>
  <c r="R599" i="1"/>
  <c r="S599" i="1"/>
  <c r="T599" i="1"/>
  <c r="U599" i="1"/>
  <c r="V599" i="1"/>
  <c r="AI599" i="1"/>
  <c r="AJ599" i="1"/>
  <c r="AK599" i="1"/>
  <c r="AP599" i="1"/>
  <c r="AR599" i="1"/>
  <c r="AY599" i="1"/>
  <c r="BE599" i="1"/>
  <c r="BF599" i="1"/>
  <c r="C600" i="1"/>
  <c r="E600" i="1"/>
  <c r="F600" i="1"/>
  <c r="G600" i="1"/>
  <c r="H600" i="1"/>
  <c r="L600" i="1"/>
  <c r="M600" i="1"/>
  <c r="N600" i="1"/>
  <c r="O600" i="1"/>
  <c r="P600" i="1"/>
  <c r="Q600" i="1"/>
  <c r="R600" i="1"/>
  <c r="S600" i="1"/>
  <c r="T600" i="1"/>
  <c r="U600" i="1"/>
  <c r="V600" i="1"/>
  <c r="AI600" i="1"/>
  <c r="AJ600" i="1"/>
  <c r="AK600" i="1"/>
  <c r="AP600" i="1"/>
  <c r="AR600" i="1"/>
  <c r="AY600" i="1"/>
  <c r="BE600" i="1"/>
  <c r="BF600" i="1"/>
  <c r="C601" i="1"/>
  <c r="E601" i="1"/>
  <c r="F601" i="1"/>
  <c r="G601" i="1"/>
  <c r="H601" i="1"/>
  <c r="L601" i="1"/>
  <c r="M601" i="1"/>
  <c r="N601" i="1"/>
  <c r="O601" i="1"/>
  <c r="P601" i="1"/>
  <c r="Q601" i="1"/>
  <c r="R601" i="1"/>
  <c r="S601" i="1"/>
  <c r="T601" i="1"/>
  <c r="U601" i="1"/>
  <c r="V601" i="1"/>
  <c r="AI601" i="1"/>
  <c r="AJ601" i="1"/>
  <c r="AK601" i="1"/>
  <c r="AP601" i="1"/>
  <c r="AR601" i="1"/>
  <c r="AY601" i="1"/>
  <c r="BE601" i="1"/>
  <c r="BF601" i="1"/>
  <c r="C602" i="1"/>
  <c r="E602" i="1"/>
  <c r="F602" i="1"/>
  <c r="G602" i="1"/>
  <c r="H602" i="1"/>
  <c r="L602" i="1"/>
  <c r="M602" i="1"/>
  <c r="N602" i="1"/>
  <c r="O602" i="1"/>
  <c r="P602" i="1"/>
  <c r="Q602" i="1"/>
  <c r="R602" i="1"/>
  <c r="S602" i="1"/>
  <c r="T602" i="1"/>
  <c r="U602" i="1"/>
  <c r="V602" i="1"/>
  <c r="AI602" i="1"/>
  <c r="AJ602" i="1"/>
  <c r="AK602" i="1"/>
  <c r="AP602" i="1"/>
  <c r="AR602" i="1"/>
  <c r="AY602" i="1"/>
  <c r="BE602" i="1"/>
  <c r="BF602" i="1"/>
  <c r="C603" i="1"/>
  <c r="E603" i="1"/>
  <c r="F603" i="1"/>
  <c r="G603" i="1"/>
  <c r="H603" i="1"/>
  <c r="L603" i="1"/>
  <c r="M603" i="1"/>
  <c r="N603" i="1"/>
  <c r="O603" i="1"/>
  <c r="P603" i="1"/>
  <c r="Q603" i="1"/>
  <c r="R603" i="1"/>
  <c r="S603" i="1"/>
  <c r="T603" i="1"/>
  <c r="U603" i="1"/>
  <c r="V603" i="1"/>
  <c r="AI603" i="1"/>
  <c r="AJ603" i="1"/>
  <c r="AK603" i="1"/>
  <c r="AP603" i="1"/>
  <c r="AR603" i="1"/>
  <c r="AY603" i="1"/>
  <c r="BE603" i="1"/>
  <c r="BF603" i="1"/>
  <c r="C604" i="1"/>
  <c r="E604" i="1"/>
  <c r="F604" i="1"/>
  <c r="G604" i="1"/>
  <c r="H604" i="1"/>
  <c r="L604" i="1"/>
  <c r="M604" i="1"/>
  <c r="N604" i="1"/>
  <c r="O604" i="1"/>
  <c r="P604" i="1"/>
  <c r="Q604" i="1"/>
  <c r="R604" i="1"/>
  <c r="S604" i="1"/>
  <c r="T604" i="1"/>
  <c r="U604" i="1"/>
  <c r="V604" i="1"/>
  <c r="AI604" i="1"/>
  <c r="AJ604" i="1"/>
  <c r="AK604" i="1"/>
  <c r="AP604" i="1"/>
  <c r="AR604" i="1"/>
  <c r="AY604" i="1"/>
  <c r="BE604" i="1"/>
  <c r="BF604" i="1"/>
  <c r="C605" i="1"/>
  <c r="E605" i="1"/>
  <c r="F605" i="1"/>
  <c r="G605" i="1"/>
  <c r="H605" i="1"/>
  <c r="L605" i="1"/>
  <c r="M605" i="1"/>
  <c r="N605" i="1"/>
  <c r="O605" i="1"/>
  <c r="P605" i="1"/>
  <c r="Q605" i="1"/>
  <c r="R605" i="1"/>
  <c r="S605" i="1"/>
  <c r="T605" i="1"/>
  <c r="U605" i="1"/>
  <c r="V605" i="1"/>
  <c r="AI605" i="1"/>
  <c r="AJ605" i="1"/>
  <c r="AK605" i="1"/>
  <c r="AP605" i="1"/>
  <c r="AR605" i="1"/>
  <c r="AY605" i="1"/>
  <c r="BE605" i="1"/>
  <c r="BF605" i="1"/>
  <c r="C606" i="1"/>
  <c r="E606" i="1"/>
  <c r="F606" i="1"/>
  <c r="G606" i="1"/>
  <c r="H606" i="1"/>
  <c r="L606" i="1"/>
  <c r="M606" i="1"/>
  <c r="N606" i="1"/>
  <c r="O606" i="1"/>
  <c r="P606" i="1"/>
  <c r="Q606" i="1"/>
  <c r="R606" i="1"/>
  <c r="S606" i="1"/>
  <c r="T606" i="1"/>
  <c r="U606" i="1"/>
  <c r="V606" i="1"/>
  <c r="AI606" i="1"/>
  <c r="AJ606" i="1"/>
  <c r="AK606" i="1"/>
  <c r="AP606" i="1"/>
  <c r="AR606" i="1"/>
  <c r="AY606" i="1"/>
  <c r="BE606" i="1"/>
  <c r="BF606" i="1"/>
  <c r="C607" i="1"/>
  <c r="E607" i="1"/>
  <c r="F607" i="1"/>
  <c r="G607" i="1"/>
  <c r="H607" i="1"/>
  <c r="L607" i="1"/>
  <c r="M607" i="1"/>
  <c r="N607" i="1"/>
  <c r="O607" i="1"/>
  <c r="P607" i="1"/>
  <c r="Q607" i="1"/>
  <c r="R607" i="1"/>
  <c r="S607" i="1"/>
  <c r="T607" i="1"/>
  <c r="U607" i="1"/>
  <c r="V607" i="1"/>
  <c r="AI607" i="1"/>
  <c r="AJ607" i="1"/>
  <c r="AK607" i="1"/>
  <c r="AP607" i="1"/>
  <c r="AR607" i="1"/>
  <c r="AY607" i="1"/>
  <c r="BE607" i="1"/>
  <c r="BF607" i="1"/>
  <c r="C608" i="1"/>
  <c r="E608" i="1"/>
  <c r="F608" i="1"/>
  <c r="G608" i="1"/>
  <c r="H608" i="1"/>
  <c r="L608" i="1"/>
  <c r="M608" i="1"/>
  <c r="N608" i="1"/>
  <c r="O608" i="1"/>
  <c r="P608" i="1"/>
  <c r="Q608" i="1"/>
  <c r="R608" i="1"/>
  <c r="S608" i="1"/>
  <c r="T608" i="1"/>
  <c r="U608" i="1"/>
  <c r="V608" i="1"/>
  <c r="AI608" i="1"/>
  <c r="AJ608" i="1"/>
  <c r="AK608" i="1"/>
  <c r="AP608" i="1"/>
  <c r="AR608" i="1"/>
  <c r="AY608" i="1"/>
  <c r="BE608" i="1"/>
  <c r="BF608" i="1"/>
  <c r="C609" i="1"/>
  <c r="E609" i="1"/>
  <c r="F609" i="1"/>
  <c r="G609" i="1"/>
  <c r="H609" i="1"/>
  <c r="L609" i="1"/>
  <c r="M609" i="1"/>
  <c r="N609" i="1"/>
  <c r="O609" i="1"/>
  <c r="P609" i="1"/>
  <c r="Q609" i="1"/>
  <c r="R609" i="1"/>
  <c r="S609" i="1"/>
  <c r="T609" i="1"/>
  <c r="U609" i="1"/>
  <c r="V609" i="1"/>
  <c r="AI609" i="1"/>
  <c r="AJ609" i="1"/>
  <c r="AK609" i="1"/>
  <c r="AP609" i="1"/>
  <c r="AR609" i="1"/>
  <c r="AY609" i="1"/>
  <c r="BE609" i="1"/>
  <c r="BF609" i="1"/>
  <c r="C610" i="1"/>
  <c r="E610" i="1"/>
  <c r="F610" i="1"/>
  <c r="G610" i="1"/>
  <c r="H610" i="1"/>
  <c r="L610" i="1"/>
  <c r="M610" i="1"/>
  <c r="N610" i="1"/>
  <c r="O610" i="1"/>
  <c r="P610" i="1"/>
  <c r="Q610" i="1"/>
  <c r="R610" i="1"/>
  <c r="S610" i="1"/>
  <c r="T610" i="1"/>
  <c r="U610" i="1"/>
  <c r="V610" i="1"/>
  <c r="AI610" i="1"/>
  <c r="AJ610" i="1"/>
  <c r="AK610" i="1"/>
  <c r="AP610" i="1"/>
  <c r="AR610" i="1"/>
  <c r="AY610" i="1"/>
  <c r="BE610" i="1"/>
  <c r="BF610" i="1"/>
  <c r="C611" i="1"/>
  <c r="E611" i="1"/>
  <c r="F611" i="1"/>
  <c r="G611" i="1"/>
  <c r="H611" i="1"/>
  <c r="L611" i="1"/>
  <c r="M611" i="1"/>
  <c r="N611" i="1"/>
  <c r="O611" i="1"/>
  <c r="P611" i="1"/>
  <c r="Q611" i="1"/>
  <c r="R611" i="1"/>
  <c r="S611" i="1"/>
  <c r="T611" i="1"/>
  <c r="U611" i="1"/>
  <c r="V611" i="1"/>
  <c r="AI611" i="1"/>
  <c r="AJ611" i="1"/>
  <c r="AK611" i="1"/>
  <c r="AP611" i="1"/>
  <c r="AR611" i="1"/>
  <c r="AY611" i="1"/>
  <c r="BE611" i="1"/>
  <c r="BF611" i="1"/>
  <c r="C612" i="1"/>
  <c r="E612" i="1"/>
  <c r="F612" i="1"/>
  <c r="G612" i="1"/>
  <c r="H612" i="1"/>
  <c r="L612" i="1"/>
  <c r="M612" i="1"/>
  <c r="N612" i="1"/>
  <c r="O612" i="1"/>
  <c r="P612" i="1"/>
  <c r="Q612" i="1"/>
  <c r="R612" i="1"/>
  <c r="S612" i="1"/>
  <c r="T612" i="1"/>
  <c r="U612" i="1"/>
  <c r="V612" i="1"/>
  <c r="AI612" i="1"/>
  <c r="AJ612" i="1"/>
  <c r="AK612" i="1"/>
  <c r="AP612" i="1"/>
  <c r="AR612" i="1"/>
  <c r="AY612" i="1"/>
  <c r="BE612" i="1"/>
  <c r="BF612" i="1"/>
  <c r="C613" i="1"/>
  <c r="E613" i="1"/>
  <c r="F613" i="1"/>
  <c r="G613" i="1"/>
  <c r="H613" i="1"/>
  <c r="L613" i="1"/>
  <c r="M613" i="1"/>
  <c r="N613" i="1"/>
  <c r="O613" i="1"/>
  <c r="P613" i="1"/>
  <c r="Q613" i="1"/>
  <c r="R613" i="1"/>
  <c r="S613" i="1"/>
  <c r="T613" i="1"/>
  <c r="U613" i="1"/>
  <c r="V613" i="1"/>
  <c r="AI613" i="1"/>
  <c r="AJ613" i="1"/>
  <c r="AK613" i="1"/>
  <c r="AP613" i="1"/>
  <c r="AR613" i="1"/>
  <c r="AY613" i="1"/>
  <c r="BE613" i="1"/>
  <c r="BF613" i="1"/>
  <c r="C614" i="1"/>
  <c r="E614" i="1"/>
  <c r="F614" i="1"/>
  <c r="G614" i="1"/>
  <c r="H614" i="1"/>
  <c r="L614" i="1"/>
  <c r="M614" i="1"/>
  <c r="N614" i="1"/>
  <c r="O614" i="1"/>
  <c r="P614" i="1"/>
  <c r="Q614" i="1"/>
  <c r="R614" i="1"/>
  <c r="S614" i="1"/>
  <c r="T614" i="1"/>
  <c r="U614" i="1"/>
  <c r="V614" i="1"/>
  <c r="AI614" i="1"/>
  <c r="AJ614" i="1"/>
  <c r="AK614" i="1"/>
  <c r="AP614" i="1"/>
  <c r="AR614" i="1"/>
  <c r="AY614" i="1"/>
  <c r="BE614" i="1"/>
  <c r="BF614" i="1"/>
  <c r="C615" i="1"/>
  <c r="E615" i="1"/>
  <c r="F615" i="1"/>
  <c r="G615" i="1"/>
  <c r="H615" i="1"/>
  <c r="L615" i="1"/>
  <c r="M615" i="1"/>
  <c r="N615" i="1"/>
  <c r="O615" i="1"/>
  <c r="P615" i="1"/>
  <c r="Q615" i="1"/>
  <c r="R615" i="1"/>
  <c r="S615" i="1"/>
  <c r="T615" i="1"/>
  <c r="U615" i="1"/>
  <c r="V615" i="1"/>
  <c r="AI615" i="1"/>
  <c r="AJ615" i="1"/>
  <c r="AK615" i="1"/>
  <c r="AP615" i="1"/>
  <c r="AR615" i="1"/>
  <c r="AY615" i="1"/>
  <c r="BE615" i="1"/>
  <c r="BF615" i="1"/>
  <c r="C616" i="1"/>
  <c r="E616" i="1"/>
  <c r="F616" i="1"/>
  <c r="G616" i="1"/>
  <c r="H616" i="1"/>
  <c r="L616" i="1"/>
  <c r="M616" i="1"/>
  <c r="N616" i="1"/>
  <c r="O616" i="1"/>
  <c r="P616" i="1"/>
  <c r="Q616" i="1"/>
  <c r="R616" i="1"/>
  <c r="S616" i="1"/>
  <c r="T616" i="1"/>
  <c r="U616" i="1"/>
  <c r="V616" i="1"/>
  <c r="AI616" i="1"/>
  <c r="AJ616" i="1"/>
  <c r="AK616" i="1"/>
  <c r="AP616" i="1"/>
  <c r="AR616" i="1"/>
  <c r="AY616" i="1"/>
  <c r="BE616" i="1"/>
  <c r="BF616" i="1"/>
  <c r="C617" i="1"/>
  <c r="E617" i="1"/>
  <c r="F617" i="1"/>
  <c r="G617" i="1"/>
  <c r="H617" i="1"/>
  <c r="L617" i="1"/>
  <c r="M617" i="1"/>
  <c r="N617" i="1"/>
  <c r="O617" i="1"/>
  <c r="P617" i="1"/>
  <c r="Q617" i="1"/>
  <c r="R617" i="1"/>
  <c r="S617" i="1"/>
  <c r="T617" i="1"/>
  <c r="U617" i="1"/>
  <c r="V617" i="1"/>
  <c r="AI617" i="1"/>
  <c r="AJ617" i="1"/>
  <c r="AK617" i="1"/>
  <c r="AP617" i="1"/>
  <c r="AR617" i="1"/>
  <c r="AY617" i="1"/>
  <c r="BE617" i="1"/>
  <c r="BF617" i="1"/>
  <c r="C618" i="1"/>
  <c r="E618" i="1"/>
  <c r="F618" i="1"/>
  <c r="G618" i="1"/>
  <c r="H618" i="1"/>
  <c r="L618" i="1"/>
  <c r="M618" i="1"/>
  <c r="N618" i="1"/>
  <c r="O618" i="1"/>
  <c r="P618" i="1"/>
  <c r="Q618" i="1"/>
  <c r="R618" i="1"/>
  <c r="S618" i="1"/>
  <c r="T618" i="1"/>
  <c r="U618" i="1"/>
  <c r="V618" i="1"/>
  <c r="AI618" i="1"/>
  <c r="AJ618" i="1"/>
  <c r="AK618" i="1"/>
  <c r="AP618" i="1"/>
  <c r="AR618" i="1"/>
  <c r="AY618" i="1"/>
  <c r="BE618" i="1"/>
  <c r="BF618" i="1"/>
  <c r="C619" i="1"/>
  <c r="E619" i="1"/>
  <c r="F619" i="1"/>
  <c r="G619" i="1"/>
  <c r="H619" i="1"/>
  <c r="L619" i="1"/>
  <c r="M619" i="1"/>
  <c r="N619" i="1"/>
  <c r="O619" i="1"/>
  <c r="P619" i="1"/>
  <c r="Q619" i="1"/>
  <c r="R619" i="1"/>
  <c r="S619" i="1"/>
  <c r="T619" i="1"/>
  <c r="U619" i="1"/>
  <c r="V619" i="1"/>
  <c r="AI619" i="1"/>
  <c r="AJ619" i="1"/>
  <c r="AK619" i="1"/>
  <c r="AP619" i="1"/>
  <c r="AR619" i="1"/>
  <c r="AY619" i="1"/>
  <c r="BE619" i="1"/>
  <c r="BF619" i="1"/>
  <c r="C620" i="1"/>
  <c r="E620" i="1"/>
  <c r="F620" i="1"/>
  <c r="G620" i="1"/>
  <c r="H620" i="1"/>
  <c r="L620" i="1"/>
  <c r="M620" i="1"/>
  <c r="N620" i="1"/>
  <c r="O620" i="1"/>
  <c r="P620" i="1"/>
  <c r="Q620" i="1"/>
  <c r="R620" i="1"/>
  <c r="S620" i="1"/>
  <c r="T620" i="1"/>
  <c r="U620" i="1"/>
  <c r="V620" i="1"/>
  <c r="AI620" i="1"/>
  <c r="AJ620" i="1"/>
  <c r="AK620" i="1"/>
  <c r="AP620" i="1"/>
  <c r="AR620" i="1"/>
  <c r="AY620" i="1"/>
  <c r="BE620" i="1"/>
  <c r="BF620" i="1"/>
  <c r="C621" i="1"/>
  <c r="E621" i="1"/>
  <c r="F621" i="1"/>
  <c r="G621" i="1"/>
  <c r="H621" i="1"/>
  <c r="L621" i="1"/>
  <c r="M621" i="1"/>
  <c r="N621" i="1"/>
  <c r="O621" i="1"/>
  <c r="P621" i="1"/>
  <c r="Q621" i="1"/>
  <c r="R621" i="1"/>
  <c r="S621" i="1"/>
  <c r="T621" i="1"/>
  <c r="U621" i="1"/>
  <c r="V621" i="1"/>
  <c r="AI621" i="1"/>
  <c r="AJ621" i="1"/>
  <c r="AK621" i="1"/>
  <c r="AP621" i="1"/>
  <c r="AR621" i="1"/>
  <c r="AY621" i="1"/>
  <c r="BE621" i="1"/>
  <c r="BF621" i="1"/>
  <c r="C622" i="1"/>
  <c r="E622" i="1"/>
  <c r="F622" i="1"/>
  <c r="G622" i="1"/>
  <c r="H622" i="1"/>
  <c r="L622" i="1"/>
  <c r="M622" i="1"/>
  <c r="N622" i="1"/>
  <c r="O622" i="1"/>
  <c r="P622" i="1"/>
  <c r="Q622" i="1"/>
  <c r="R622" i="1"/>
  <c r="S622" i="1"/>
  <c r="T622" i="1"/>
  <c r="U622" i="1"/>
  <c r="V622" i="1"/>
  <c r="AI622" i="1"/>
  <c r="AJ622" i="1"/>
  <c r="AK622" i="1"/>
  <c r="AP622" i="1"/>
  <c r="AR622" i="1"/>
  <c r="AY622" i="1"/>
  <c r="BE622" i="1"/>
  <c r="BF622" i="1"/>
  <c r="C623" i="1"/>
  <c r="E623" i="1"/>
  <c r="F623" i="1"/>
  <c r="G623" i="1"/>
  <c r="H623" i="1"/>
  <c r="L623" i="1"/>
  <c r="M623" i="1"/>
  <c r="N623" i="1"/>
  <c r="O623" i="1"/>
  <c r="P623" i="1"/>
  <c r="Q623" i="1"/>
  <c r="R623" i="1"/>
  <c r="S623" i="1"/>
  <c r="T623" i="1"/>
  <c r="U623" i="1"/>
  <c r="V623" i="1"/>
  <c r="AI623" i="1"/>
  <c r="AJ623" i="1"/>
  <c r="AK623" i="1"/>
  <c r="AP623" i="1"/>
  <c r="AR623" i="1"/>
  <c r="AY623" i="1"/>
  <c r="BE623" i="1"/>
  <c r="BF623" i="1"/>
  <c r="C624" i="1"/>
  <c r="E624" i="1"/>
  <c r="F624" i="1"/>
  <c r="G624" i="1"/>
  <c r="H624" i="1"/>
  <c r="L624" i="1"/>
  <c r="M624" i="1"/>
  <c r="N624" i="1"/>
  <c r="O624" i="1"/>
  <c r="P624" i="1"/>
  <c r="Q624" i="1"/>
  <c r="R624" i="1"/>
  <c r="S624" i="1"/>
  <c r="T624" i="1"/>
  <c r="U624" i="1"/>
  <c r="V624" i="1"/>
  <c r="AI624" i="1"/>
  <c r="AJ624" i="1"/>
  <c r="AK624" i="1"/>
  <c r="AP624" i="1"/>
  <c r="AR624" i="1"/>
  <c r="AY624" i="1"/>
  <c r="BE624" i="1"/>
  <c r="BF624" i="1"/>
  <c r="C625" i="1"/>
  <c r="E625" i="1"/>
  <c r="F625" i="1"/>
  <c r="G625" i="1"/>
  <c r="H625" i="1"/>
  <c r="L625" i="1"/>
  <c r="M625" i="1"/>
  <c r="N625" i="1"/>
  <c r="O625" i="1"/>
  <c r="P625" i="1"/>
  <c r="Q625" i="1"/>
  <c r="R625" i="1"/>
  <c r="S625" i="1"/>
  <c r="T625" i="1"/>
  <c r="U625" i="1"/>
  <c r="V625" i="1"/>
  <c r="AI625" i="1"/>
  <c r="AJ625" i="1"/>
  <c r="AK625" i="1"/>
  <c r="AP625" i="1"/>
  <c r="AR625" i="1"/>
  <c r="AY625" i="1"/>
  <c r="BE625" i="1"/>
  <c r="BF625" i="1"/>
  <c r="C626" i="1"/>
  <c r="E626" i="1"/>
  <c r="F626" i="1"/>
  <c r="G626" i="1"/>
  <c r="H626" i="1"/>
  <c r="L626" i="1"/>
  <c r="M626" i="1"/>
  <c r="N626" i="1"/>
  <c r="O626" i="1"/>
  <c r="P626" i="1"/>
  <c r="Q626" i="1"/>
  <c r="R626" i="1"/>
  <c r="S626" i="1"/>
  <c r="T626" i="1"/>
  <c r="U626" i="1"/>
  <c r="V626" i="1"/>
  <c r="AI626" i="1"/>
  <c r="AJ626" i="1"/>
  <c r="AK626" i="1"/>
  <c r="AP626" i="1"/>
  <c r="AR626" i="1"/>
  <c r="AY626" i="1"/>
  <c r="BE626" i="1"/>
  <c r="BF626" i="1"/>
  <c r="C627" i="1"/>
  <c r="E627" i="1"/>
  <c r="F627" i="1"/>
  <c r="G627" i="1"/>
  <c r="H627" i="1"/>
  <c r="L627" i="1"/>
  <c r="M627" i="1"/>
  <c r="N627" i="1"/>
  <c r="O627" i="1"/>
  <c r="P627" i="1"/>
  <c r="Q627" i="1"/>
  <c r="R627" i="1"/>
  <c r="S627" i="1"/>
  <c r="T627" i="1"/>
  <c r="U627" i="1"/>
  <c r="V627" i="1"/>
  <c r="AI627" i="1"/>
  <c r="AJ627" i="1"/>
  <c r="AK627" i="1"/>
  <c r="AP627" i="1"/>
  <c r="AR627" i="1"/>
  <c r="AY627" i="1"/>
  <c r="BE627" i="1"/>
  <c r="BF627" i="1"/>
  <c r="C628" i="1"/>
  <c r="E628" i="1"/>
  <c r="F628" i="1"/>
  <c r="G628" i="1"/>
  <c r="H628" i="1"/>
  <c r="L628" i="1"/>
  <c r="M628" i="1"/>
  <c r="N628" i="1"/>
  <c r="O628" i="1"/>
  <c r="P628" i="1"/>
  <c r="Q628" i="1"/>
  <c r="R628" i="1"/>
  <c r="S628" i="1"/>
  <c r="T628" i="1"/>
  <c r="U628" i="1"/>
  <c r="V628" i="1"/>
  <c r="AI628" i="1"/>
  <c r="AJ628" i="1"/>
  <c r="AK628" i="1"/>
  <c r="AP628" i="1"/>
  <c r="AR628" i="1"/>
  <c r="AY628" i="1"/>
  <c r="BE628" i="1"/>
  <c r="BF628" i="1"/>
  <c r="C629" i="1"/>
  <c r="E629" i="1"/>
  <c r="F629" i="1"/>
  <c r="G629" i="1"/>
  <c r="H629" i="1"/>
  <c r="L629" i="1"/>
  <c r="M629" i="1"/>
  <c r="N629" i="1"/>
  <c r="O629" i="1"/>
  <c r="P629" i="1"/>
  <c r="Q629" i="1"/>
  <c r="R629" i="1"/>
  <c r="S629" i="1"/>
  <c r="T629" i="1"/>
  <c r="U629" i="1"/>
  <c r="V629" i="1"/>
  <c r="AI629" i="1"/>
  <c r="AJ629" i="1"/>
  <c r="AK629" i="1"/>
  <c r="AP629" i="1"/>
  <c r="AR629" i="1"/>
  <c r="AY629" i="1"/>
  <c r="BE629" i="1"/>
  <c r="BF629" i="1"/>
  <c r="C630" i="1"/>
  <c r="E630" i="1"/>
  <c r="F630" i="1"/>
  <c r="G630" i="1"/>
  <c r="H630" i="1"/>
  <c r="L630" i="1"/>
  <c r="M630" i="1"/>
  <c r="N630" i="1"/>
  <c r="O630" i="1"/>
  <c r="P630" i="1"/>
  <c r="Q630" i="1"/>
  <c r="R630" i="1"/>
  <c r="S630" i="1"/>
  <c r="T630" i="1"/>
  <c r="U630" i="1"/>
  <c r="V630" i="1"/>
  <c r="AI630" i="1"/>
  <c r="AJ630" i="1"/>
  <c r="AK630" i="1"/>
  <c r="AP630" i="1"/>
  <c r="AR630" i="1"/>
  <c r="AY630" i="1"/>
  <c r="BE630" i="1"/>
  <c r="BF630" i="1"/>
  <c r="C631" i="1"/>
  <c r="E631" i="1"/>
  <c r="F631" i="1"/>
  <c r="G631" i="1"/>
  <c r="H631" i="1"/>
  <c r="L631" i="1"/>
  <c r="M631" i="1"/>
  <c r="N631" i="1"/>
  <c r="O631" i="1"/>
  <c r="P631" i="1"/>
  <c r="Q631" i="1"/>
  <c r="R631" i="1"/>
  <c r="S631" i="1"/>
  <c r="T631" i="1"/>
  <c r="U631" i="1"/>
  <c r="V631" i="1"/>
  <c r="AI631" i="1"/>
  <c r="AJ631" i="1"/>
  <c r="AK631" i="1"/>
  <c r="AP631" i="1"/>
  <c r="AR631" i="1"/>
  <c r="AY631" i="1"/>
  <c r="BE631" i="1"/>
  <c r="BF631" i="1"/>
  <c r="C632" i="1"/>
  <c r="E632" i="1"/>
  <c r="F632" i="1"/>
  <c r="G632" i="1"/>
  <c r="H632" i="1"/>
  <c r="L632" i="1"/>
  <c r="M632" i="1"/>
  <c r="N632" i="1"/>
  <c r="O632" i="1"/>
  <c r="P632" i="1"/>
  <c r="Q632" i="1"/>
  <c r="R632" i="1"/>
  <c r="S632" i="1"/>
  <c r="T632" i="1"/>
  <c r="U632" i="1"/>
  <c r="V632" i="1"/>
  <c r="AI632" i="1"/>
  <c r="AJ632" i="1"/>
  <c r="AK632" i="1"/>
  <c r="AP632" i="1"/>
  <c r="AR632" i="1"/>
  <c r="AY632" i="1"/>
  <c r="BE632" i="1"/>
  <c r="BF632" i="1"/>
  <c r="C633" i="1"/>
  <c r="E633" i="1"/>
  <c r="F633" i="1"/>
  <c r="G633" i="1"/>
  <c r="H633" i="1"/>
  <c r="L633" i="1"/>
  <c r="M633" i="1"/>
  <c r="N633" i="1"/>
  <c r="O633" i="1"/>
  <c r="P633" i="1"/>
  <c r="Q633" i="1"/>
  <c r="R633" i="1"/>
  <c r="S633" i="1"/>
  <c r="T633" i="1"/>
  <c r="U633" i="1"/>
  <c r="V633" i="1"/>
  <c r="AI633" i="1"/>
  <c r="AJ633" i="1"/>
  <c r="AK633" i="1"/>
  <c r="AP633" i="1"/>
  <c r="AR633" i="1"/>
  <c r="AY633" i="1"/>
  <c r="BE633" i="1"/>
  <c r="BF633" i="1"/>
  <c r="C634" i="1"/>
  <c r="E634" i="1"/>
  <c r="F634" i="1"/>
  <c r="G634" i="1"/>
  <c r="H634" i="1"/>
  <c r="L634" i="1"/>
  <c r="M634" i="1"/>
  <c r="N634" i="1"/>
  <c r="O634" i="1"/>
  <c r="P634" i="1"/>
  <c r="Q634" i="1"/>
  <c r="R634" i="1"/>
  <c r="S634" i="1"/>
  <c r="T634" i="1"/>
  <c r="U634" i="1"/>
  <c r="V634" i="1"/>
  <c r="AI634" i="1"/>
  <c r="AJ634" i="1"/>
  <c r="AK634" i="1"/>
  <c r="AP634" i="1"/>
  <c r="AR634" i="1"/>
  <c r="AY634" i="1"/>
  <c r="BE634" i="1"/>
  <c r="BF634" i="1"/>
  <c r="C299" i="1"/>
  <c r="E299" i="1"/>
  <c r="F299" i="1"/>
  <c r="G299" i="1"/>
  <c r="H299" i="1"/>
  <c r="L299" i="1"/>
  <c r="M299" i="1"/>
  <c r="N299" i="1"/>
  <c r="O299" i="1"/>
  <c r="P299" i="1"/>
  <c r="Q299" i="1"/>
  <c r="R299" i="1"/>
  <c r="S299" i="1"/>
  <c r="T299" i="1"/>
  <c r="U299" i="1"/>
  <c r="V299" i="1"/>
  <c r="AI299" i="1"/>
  <c r="AJ299" i="1"/>
  <c r="AK299" i="1"/>
  <c r="AP299" i="1"/>
  <c r="AR299" i="1"/>
  <c r="AY299" i="1"/>
  <c r="BE299" i="1"/>
  <c r="BF299" i="1"/>
  <c r="C300" i="1"/>
  <c r="E300" i="1"/>
  <c r="F300" i="1"/>
  <c r="G300" i="1"/>
  <c r="H300" i="1"/>
  <c r="L300" i="1"/>
  <c r="M300" i="1"/>
  <c r="N300" i="1"/>
  <c r="O300" i="1"/>
  <c r="P300" i="1"/>
  <c r="Q300" i="1"/>
  <c r="R300" i="1"/>
  <c r="S300" i="1"/>
  <c r="T300" i="1"/>
  <c r="U300" i="1"/>
  <c r="V300" i="1"/>
  <c r="AI300" i="1"/>
  <c r="AJ300" i="1"/>
  <c r="AK300" i="1"/>
  <c r="AP300" i="1"/>
  <c r="AR300" i="1"/>
  <c r="AY300" i="1"/>
  <c r="BE300" i="1"/>
  <c r="BF300" i="1"/>
  <c r="C301" i="1"/>
  <c r="E301" i="1"/>
  <c r="F301" i="1"/>
  <c r="G301" i="1"/>
  <c r="H301" i="1"/>
  <c r="L301" i="1"/>
  <c r="M301" i="1"/>
  <c r="N301" i="1"/>
  <c r="O301" i="1"/>
  <c r="P301" i="1"/>
  <c r="Q301" i="1"/>
  <c r="R301" i="1"/>
  <c r="S301" i="1"/>
  <c r="T301" i="1"/>
  <c r="U301" i="1"/>
  <c r="V301" i="1"/>
  <c r="AI301" i="1"/>
  <c r="AJ301" i="1"/>
  <c r="AK301" i="1"/>
  <c r="AP301" i="1"/>
  <c r="AR301" i="1"/>
  <c r="AY301" i="1"/>
  <c r="BE301" i="1"/>
  <c r="BF301" i="1"/>
  <c r="C302" i="1"/>
  <c r="E302" i="1"/>
  <c r="F302" i="1"/>
  <c r="G302" i="1"/>
  <c r="H302" i="1"/>
  <c r="L302" i="1"/>
  <c r="M302" i="1"/>
  <c r="N302" i="1"/>
  <c r="O302" i="1"/>
  <c r="P302" i="1"/>
  <c r="Q302" i="1"/>
  <c r="R302" i="1"/>
  <c r="S302" i="1"/>
  <c r="T302" i="1"/>
  <c r="U302" i="1"/>
  <c r="V302" i="1"/>
  <c r="AI302" i="1"/>
  <c r="AJ302" i="1"/>
  <c r="AK302" i="1"/>
  <c r="AP302" i="1"/>
  <c r="AR302" i="1"/>
  <c r="AY302" i="1"/>
  <c r="BE302" i="1"/>
  <c r="BF302" i="1"/>
  <c r="C303" i="1"/>
  <c r="E303" i="1"/>
  <c r="F303" i="1"/>
  <c r="G303" i="1"/>
  <c r="H303" i="1"/>
  <c r="L303" i="1"/>
  <c r="M303" i="1"/>
  <c r="N303" i="1"/>
  <c r="O303" i="1"/>
  <c r="P303" i="1"/>
  <c r="Q303" i="1"/>
  <c r="R303" i="1"/>
  <c r="S303" i="1"/>
  <c r="T303" i="1"/>
  <c r="U303" i="1"/>
  <c r="V303" i="1"/>
  <c r="AI303" i="1"/>
  <c r="AJ303" i="1"/>
  <c r="AK303" i="1"/>
  <c r="AP303" i="1"/>
  <c r="AR303" i="1"/>
  <c r="AY303" i="1"/>
  <c r="BE303" i="1"/>
  <c r="BF303" i="1"/>
  <c r="C304" i="1"/>
  <c r="E304" i="1"/>
  <c r="F304" i="1"/>
  <c r="G304" i="1"/>
  <c r="H304" i="1"/>
  <c r="L304" i="1"/>
  <c r="M304" i="1"/>
  <c r="N304" i="1"/>
  <c r="O304" i="1"/>
  <c r="P304" i="1"/>
  <c r="Q304" i="1"/>
  <c r="R304" i="1"/>
  <c r="S304" i="1"/>
  <c r="T304" i="1"/>
  <c r="U304" i="1"/>
  <c r="V304" i="1"/>
  <c r="AI304" i="1"/>
  <c r="AJ304" i="1"/>
  <c r="AK304" i="1"/>
  <c r="AP304" i="1"/>
  <c r="AR304" i="1"/>
  <c r="AY304" i="1"/>
  <c r="BE304" i="1"/>
  <c r="BF304" i="1"/>
  <c r="C305" i="1"/>
  <c r="E305" i="1"/>
  <c r="F305" i="1"/>
  <c r="G305" i="1"/>
  <c r="H305" i="1"/>
  <c r="L305" i="1"/>
  <c r="M305" i="1"/>
  <c r="N305" i="1"/>
  <c r="O305" i="1"/>
  <c r="P305" i="1"/>
  <c r="Q305" i="1"/>
  <c r="R305" i="1"/>
  <c r="S305" i="1"/>
  <c r="T305" i="1"/>
  <c r="U305" i="1"/>
  <c r="V305" i="1"/>
  <c r="AI305" i="1"/>
  <c r="AJ305" i="1"/>
  <c r="AK305" i="1"/>
  <c r="AP305" i="1"/>
  <c r="AR305" i="1"/>
  <c r="AY305" i="1"/>
  <c r="BE305" i="1"/>
  <c r="BF305" i="1"/>
  <c r="C306" i="1"/>
  <c r="E306" i="1"/>
  <c r="F306" i="1"/>
  <c r="G306" i="1"/>
  <c r="H306" i="1"/>
  <c r="L306" i="1"/>
  <c r="M306" i="1"/>
  <c r="N306" i="1"/>
  <c r="O306" i="1"/>
  <c r="P306" i="1"/>
  <c r="Q306" i="1"/>
  <c r="R306" i="1"/>
  <c r="S306" i="1"/>
  <c r="T306" i="1"/>
  <c r="U306" i="1"/>
  <c r="V306" i="1"/>
  <c r="AI306" i="1"/>
  <c r="AJ306" i="1"/>
  <c r="AK306" i="1"/>
  <c r="AP306" i="1"/>
  <c r="AR306" i="1"/>
  <c r="AY306" i="1"/>
  <c r="BE306" i="1"/>
  <c r="BF306" i="1"/>
  <c r="C307" i="1"/>
  <c r="E307" i="1"/>
  <c r="F307" i="1"/>
  <c r="G307" i="1"/>
  <c r="H307" i="1"/>
  <c r="L307" i="1"/>
  <c r="M307" i="1"/>
  <c r="N307" i="1"/>
  <c r="O307" i="1"/>
  <c r="P307" i="1"/>
  <c r="Q307" i="1"/>
  <c r="R307" i="1"/>
  <c r="S307" i="1"/>
  <c r="T307" i="1"/>
  <c r="U307" i="1"/>
  <c r="V307" i="1"/>
  <c r="AI307" i="1"/>
  <c r="AJ307" i="1"/>
  <c r="AK307" i="1"/>
  <c r="AP307" i="1"/>
  <c r="AR307" i="1"/>
  <c r="AY307" i="1"/>
  <c r="BE307" i="1"/>
  <c r="BF307" i="1"/>
  <c r="C308" i="1"/>
  <c r="E308" i="1"/>
  <c r="F308" i="1"/>
  <c r="G308" i="1"/>
  <c r="H308" i="1"/>
  <c r="L308" i="1"/>
  <c r="M308" i="1"/>
  <c r="N308" i="1"/>
  <c r="O308" i="1"/>
  <c r="P308" i="1"/>
  <c r="Q308" i="1"/>
  <c r="R308" i="1"/>
  <c r="S308" i="1"/>
  <c r="T308" i="1"/>
  <c r="U308" i="1"/>
  <c r="V308" i="1"/>
  <c r="AI308" i="1"/>
  <c r="AJ308" i="1"/>
  <c r="AK308" i="1"/>
  <c r="AP308" i="1"/>
  <c r="AR308" i="1"/>
  <c r="AY308" i="1"/>
  <c r="BE308" i="1"/>
  <c r="BF308" i="1"/>
  <c r="C309" i="1"/>
  <c r="E309" i="1"/>
  <c r="F309" i="1"/>
  <c r="G309" i="1"/>
  <c r="H309" i="1"/>
  <c r="L309" i="1"/>
  <c r="M309" i="1"/>
  <c r="N309" i="1"/>
  <c r="O309" i="1"/>
  <c r="P309" i="1"/>
  <c r="Q309" i="1"/>
  <c r="R309" i="1"/>
  <c r="S309" i="1"/>
  <c r="T309" i="1"/>
  <c r="U309" i="1"/>
  <c r="V309" i="1"/>
  <c r="AI309" i="1"/>
  <c r="AJ309" i="1"/>
  <c r="AK309" i="1"/>
  <c r="AP309" i="1"/>
  <c r="AR309" i="1"/>
  <c r="AY309" i="1"/>
  <c r="BE309" i="1"/>
  <c r="BF309" i="1"/>
  <c r="C310" i="1"/>
  <c r="E310" i="1"/>
  <c r="F310" i="1"/>
  <c r="G310" i="1"/>
  <c r="H310" i="1"/>
  <c r="L310" i="1"/>
  <c r="M310" i="1"/>
  <c r="N310" i="1"/>
  <c r="O310" i="1"/>
  <c r="P310" i="1"/>
  <c r="Q310" i="1"/>
  <c r="R310" i="1"/>
  <c r="S310" i="1"/>
  <c r="T310" i="1"/>
  <c r="U310" i="1"/>
  <c r="V310" i="1"/>
  <c r="AI310" i="1"/>
  <c r="AJ310" i="1"/>
  <c r="AK310" i="1"/>
  <c r="AP310" i="1"/>
  <c r="AR310" i="1"/>
  <c r="AY310" i="1"/>
  <c r="BE310" i="1"/>
  <c r="BF310" i="1"/>
  <c r="C311" i="1"/>
  <c r="E311" i="1"/>
  <c r="F311" i="1"/>
  <c r="G311" i="1"/>
  <c r="H311" i="1"/>
  <c r="L311" i="1"/>
  <c r="M311" i="1"/>
  <c r="N311" i="1"/>
  <c r="O311" i="1"/>
  <c r="P311" i="1"/>
  <c r="Q311" i="1"/>
  <c r="R311" i="1"/>
  <c r="S311" i="1"/>
  <c r="T311" i="1"/>
  <c r="U311" i="1"/>
  <c r="V311" i="1"/>
  <c r="AB311" i="1"/>
  <c r="AI311" i="1"/>
  <c r="AJ311" i="1"/>
  <c r="AK311" i="1"/>
  <c r="AP311" i="1"/>
  <c r="AR311" i="1"/>
  <c r="AY311" i="1"/>
  <c r="BE311" i="1"/>
  <c r="BF311" i="1"/>
  <c r="C312" i="1"/>
  <c r="E312" i="1"/>
  <c r="F312" i="1"/>
  <c r="G312" i="1"/>
  <c r="H312" i="1"/>
  <c r="L312" i="1"/>
  <c r="M312" i="1"/>
  <c r="N312" i="1"/>
  <c r="O312" i="1"/>
  <c r="P312" i="1"/>
  <c r="Q312" i="1"/>
  <c r="R312" i="1"/>
  <c r="S312" i="1"/>
  <c r="T312" i="1"/>
  <c r="U312" i="1"/>
  <c r="V312" i="1"/>
  <c r="AB312" i="1"/>
  <c r="AI312" i="1"/>
  <c r="AJ312" i="1"/>
  <c r="AK312" i="1"/>
  <c r="AP312" i="1"/>
  <c r="AR312" i="1"/>
  <c r="AY312" i="1"/>
  <c r="BE312" i="1"/>
  <c r="BF312" i="1"/>
  <c r="C313" i="1"/>
  <c r="E313" i="1"/>
  <c r="F313" i="1"/>
  <c r="G313" i="1"/>
  <c r="H313" i="1"/>
  <c r="L313" i="1"/>
  <c r="M313" i="1"/>
  <c r="N313" i="1"/>
  <c r="O313" i="1"/>
  <c r="P313" i="1"/>
  <c r="Q313" i="1"/>
  <c r="R313" i="1"/>
  <c r="S313" i="1"/>
  <c r="T313" i="1"/>
  <c r="U313" i="1"/>
  <c r="V313" i="1"/>
  <c r="AB313" i="1"/>
  <c r="AI313" i="1"/>
  <c r="AJ313" i="1"/>
  <c r="AK313" i="1"/>
  <c r="AP313" i="1"/>
  <c r="AR313" i="1"/>
  <c r="AY313" i="1"/>
  <c r="BE313" i="1"/>
  <c r="BF313" i="1"/>
  <c r="C314" i="1"/>
  <c r="E314" i="1"/>
  <c r="F314" i="1"/>
  <c r="G314" i="1"/>
  <c r="H314" i="1"/>
  <c r="L314" i="1"/>
  <c r="M314" i="1"/>
  <c r="N314" i="1"/>
  <c r="O314" i="1"/>
  <c r="P314" i="1"/>
  <c r="Q314" i="1"/>
  <c r="R314" i="1"/>
  <c r="S314" i="1"/>
  <c r="T314" i="1"/>
  <c r="U314" i="1"/>
  <c r="V314" i="1"/>
  <c r="AB314" i="1"/>
  <c r="AI314" i="1"/>
  <c r="AJ314" i="1"/>
  <c r="AK314" i="1"/>
  <c r="AP314" i="1"/>
  <c r="AR314" i="1"/>
  <c r="AY314" i="1"/>
  <c r="BE314" i="1"/>
  <c r="BF314" i="1"/>
  <c r="C315" i="1"/>
  <c r="E315" i="1"/>
  <c r="F315" i="1"/>
  <c r="G315" i="1"/>
  <c r="H315" i="1"/>
  <c r="L315" i="1"/>
  <c r="M315" i="1"/>
  <c r="N315" i="1"/>
  <c r="O315" i="1"/>
  <c r="P315" i="1"/>
  <c r="Q315" i="1"/>
  <c r="R315" i="1"/>
  <c r="S315" i="1"/>
  <c r="T315" i="1"/>
  <c r="U315" i="1"/>
  <c r="V315" i="1"/>
  <c r="AB315" i="1"/>
  <c r="AI315" i="1"/>
  <c r="AJ315" i="1"/>
  <c r="AK315" i="1"/>
  <c r="AP315" i="1"/>
  <c r="AR315" i="1"/>
  <c r="AY315" i="1"/>
  <c r="BE315" i="1"/>
  <c r="BF315" i="1"/>
  <c r="C316" i="1"/>
  <c r="E316" i="1"/>
  <c r="F316" i="1"/>
  <c r="G316" i="1"/>
  <c r="H316" i="1"/>
  <c r="L316" i="1"/>
  <c r="M316" i="1"/>
  <c r="N316" i="1"/>
  <c r="O316" i="1"/>
  <c r="P316" i="1"/>
  <c r="Q316" i="1"/>
  <c r="R316" i="1"/>
  <c r="S316" i="1"/>
  <c r="T316" i="1"/>
  <c r="U316" i="1"/>
  <c r="V316" i="1"/>
  <c r="AB316" i="1"/>
  <c r="AI316" i="1"/>
  <c r="AJ316" i="1"/>
  <c r="AK316" i="1"/>
  <c r="AP316" i="1"/>
  <c r="AR316" i="1"/>
  <c r="AY316" i="1"/>
  <c r="BE316" i="1"/>
  <c r="BF316" i="1"/>
  <c r="C317" i="1"/>
  <c r="E317" i="1"/>
  <c r="F317" i="1"/>
  <c r="G317" i="1"/>
  <c r="H317" i="1"/>
  <c r="L317" i="1"/>
  <c r="M317" i="1"/>
  <c r="N317" i="1"/>
  <c r="O317" i="1"/>
  <c r="P317" i="1"/>
  <c r="Q317" i="1"/>
  <c r="R317" i="1"/>
  <c r="S317" i="1"/>
  <c r="T317" i="1"/>
  <c r="U317" i="1"/>
  <c r="V317" i="1"/>
  <c r="AB317" i="1"/>
  <c r="AI317" i="1"/>
  <c r="AJ317" i="1"/>
  <c r="AK317" i="1"/>
  <c r="AP317" i="1"/>
  <c r="AR317" i="1"/>
  <c r="AY317" i="1"/>
  <c r="BE317" i="1"/>
  <c r="BF317" i="1"/>
  <c r="C318" i="1"/>
  <c r="E318" i="1"/>
  <c r="F318" i="1"/>
  <c r="G318" i="1"/>
  <c r="H318" i="1"/>
  <c r="L318" i="1"/>
  <c r="M318" i="1"/>
  <c r="N318" i="1"/>
  <c r="O318" i="1"/>
  <c r="P318" i="1"/>
  <c r="Q318" i="1"/>
  <c r="R318" i="1"/>
  <c r="S318" i="1"/>
  <c r="T318" i="1"/>
  <c r="U318" i="1"/>
  <c r="V318" i="1"/>
  <c r="AB318" i="1"/>
  <c r="AI318" i="1"/>
  <c r="AJ318" i="1"/>
  <c r="AK318" i="1"/>
  <c r="AP318" i="1"/>
  <c r="AR318" i="1"/>
  <c r="AY318" i="1"/>
  <c r="BE318" i="1"/>
  <c r="BF318" i="1"/>
  <c r="C319" i="1"/>
  <c r="E319" i="1"/>
  <c r="F319" i="1"/>
  <c r="G319" i="1"/>
  <c r="H319" i="1"/>
  <c r="L319" i="1"/>
  <c r="M319" i="1"/>
  <c r="N319" i="1"/>
  <c r="O319" i="1"/>
  <c r="P319" i="1"/>
  <c r="Q319" i="1"/>
  <c r="R319" i="1"/>
  <c r="S319" i="1"/>
  <c r="T319" i="1"/>
  <c r="U319" i="1"/>
  <c r="V319" i="1"/>
  <c r="AB319" i="1"/>
  <c r="AI319" i="1"/>
  <c r="AJ319" i="1"/>
  <c r="AK319" i="1"/>
  <c r="AP319" i="1"/>
  <c r="AR319" i="1"/>
  <c r="AY319" i="1"/>
  <c r="BE319" i="1"/>
  <c r="BF319" i="1"/>
  <c r="C320" i="1"/>
  <c r="E320" i="1"/>
  <c r="F320" i="1"/>
  <c r="G320" i="1"/>
  <c r="H320" i="1"/>
  <c r="L320" i="1"/>
  <c r="M320" i="1"/>
  <c r="N320" i="1"/>
  <c r="O320" i="1"/>
  <c r="P320" i="1"/>
  <c r="Q320" i="1"/>
  <c r="R320" i="1"/>
  <c r="S320" i="1"/>
  <c r="T320" i="1"/>
  <c r="U320" i="1"/>
  <c r="V320" i="1"/>
  <c r="AB320" i="1"/>
  <c r="AI320" i="1"/>
  <c r="AJ320" i="1"/>
  <c r="AK320" i="1"/>
  <c r="AP320" i="1"/>
  <c r="AR320" i="1"/>
  <c r="AY320" i="1"/>
  <c r="BE320" i="1"/>
  <c r="BF320" i="1"/>
  <c r="C321" i="1"/>
  <c r="E321" i="1"/>
  <c r="F321" i="1"/>
  <c r="G321" i="1"/>
  <c r="H321" i="1"/>
  <c r="L321" i="1"/>
  <c r="M321" i="1"/>
  <c r="N321" i="1"/>
  <c r="O321" i="1"/>
  <c r="P321" i="1"/>
  <c r="Q321" i="1"/>
  <c r="R321" i="1"/>
  <c r="S321" i="1"/>
  <c r="T321" i="1"/>
  <c r="U321" i="1"/>
  <c r="V321" i="1"/>
  <c r="AB321" i="1"/>
  <c r="AI321" i="1"/>
  <c r="AJ321" i="1"/>
  <c r="AK321" i="1"/>
  <c r="AP321" i="1"/>
  <c r="AR321" i="1"/>
  <c r="AY321" i="1"/>
  <c r="BE321" i="1"/>
  <c r="BF321" i="1"/>
  <c r="C322" i="1"/>
  <c r="E322" i="1"/>
  <c r="F322" i="1"/>
  <c r="G322" i="1"/>
  <c r="H322" i="1"/>
  <c r="L322" i="1"/>
  <c r="M322" i="1"/>
  <c r="N322" i="1"/>
  <c r="O322" i="1"/>
  <c r="P322" i="1"/>
  <c r="Q322" i="1"/>
  <c r="R322" i="1"/>
  <c r="S322" i="1"/>
  <c r="T322" i="1"/>
  <c r="U322" i="1"/>
  <c r="V322" i="1"/>
  <c r="AB322" i="1"/>
  <c r="AI322" i="1"/>
  <c r="AJ322" i="1"/>
  <c r="AK322" i="1"/>
  <c r="AP322" i="1"/>
  <c r="AR322" i="1"/>
  <c r="AY322" i="1"/>
  <c r="BE322" i="1"/>
  <c r="BF322" i="1"/>
  <c r="C323" i="1"/>
  <c r="E323" i="1"/>
  <c r="F323" i="1"/>
  <c r="G323" i="1"/>
  <c r="H323" i="1"/>
  <c r="L323" i="1"/>
  <c r="M323" i="1"/>
  <c r="N323" i="1"/>
  <c r="O323" i="1"/>
  <c r="P323" i="1"/>
  <c r="Q323" i="1"/>
  <c r="R323" i="1"/>
  <c r="S323" i="1"/>
  <c r="T323" i="1"/>
  <c r="U323" i="1"/>
  <c r="V323" i="1"/>
  <c r="AB323" i="1"/>
  <c r="AI323" i="1"/>
  <c r="AJ323" i="1"/>
  <c r="AK323" i="1"/>
  <c r="AP323" i="1"/>
  <c r="AR323" i="1"/>
  <c r="AY323" i="1"/>
  <c r="BE323" i="1"/>
  <c r="BF323" i="1"/>
  <c r="C324" i="1"/>
  <c r="E324" i="1"/>
  <c r="F324" i="1"/>
  <c r="G324" i="1"/>
  <c r="H324" i="1"/>
  <c r="L324" i="1"/>
  <c r="M324" i="1"/>
  <c r="N324" i="1"/>
  <c r="O324" i="1"/>
  <c r="P324" i="1"/>
  <c r="Q324" i="1"/>
  <c r="R324" i="1"/>
  <c r="S324" i="1"/>
  <c r="T324" i="1"/>
  <c r="U324" i="1"/>
  <c r="V324" i="1"/>
  <c r="AB324" i="1"/>
  <c r="AI324" i="1"/>
  <c r="AJ324" i="1"/>
  <c r="AK324" i="1"/>
  <c r="AP324" i="1"/>
  <c r="AR324" i="1"/>
  <c r="AY324" i="1"/>
  <c r="BE324" i="1"/>
  <c r="BF324" i="1"/>
  <c r="C325" i="1"/>
  <c r="E325" i="1"/>
  <c r="F325" i="1"/>
  <c r="G325" i="1"/>
  <c r="H325" i="1"/>
  <c r="L325" i="1"/>
  <c r="M325" i="1"/>
  <c r="N325" i="1"/>
  <c r="O325" i="1"/>
  <c r="P325" i="1"/>
  <c r="Q325" i="1"/>
  <c r="R325" i="1"/>
  <c r="S325" i="1"/>
  <c r="T325" i="1"/>
  <c r="U325" i="1"/>
  <c r="V325" i="1"/>
  <c r="AB325" i="1"/>
  <c r="AI325" i="1"/>
  <c r="AJ325" i="1"/>
  <c r="AK325" i="1"/>
  <c r="AP325" i="1"/>
  <c r="AR325" i="1"/>
  <c r="AY325" i="1"/>
  <c r="BE325" i="1"/>
  <c r="BF325" i="1"/>
  <c r="C326" i="1"/>
  <c r="E326" i="1"/>
  <c r="F326" i="1"/>
  <c r="G326" i="1"/>
  <c r="H326" i="1"/>
  <c r="L326" i="1"/>
  <c r="M326" i="1"/>
  <c r="N326" i="1"/>
  <c r="O326" i="1"/>
  <c r="P326" i="1"/>
  <c r="Q326" i="1"/>
  <c r="R326" i="1"/>
  <c r="S326" i="1"/>
  <c r="T326" i="1"/>
  <c r="U326" i="1"/>
  <c r="V326" i="1"/>
  <c r="AB326" i="1"/>
  <c r="AI326" i="1"/>
  <c r="AJ326" i="1"/>
  <c r="AK326" i="1"/>
  <c r="AP326" i="1"/>
  <c r="AR326" i="1"/>
  <c r="AY326" i="1"/>
  <c r="BE326" i="1"/>
  <c r="BF326" i="1"/>
  <c r="C327" i="1"/>
  <c r="E327" i="1"/>
  <c r="F327" i="1"/>
  <c r="G327" i="1"/>
  <c r="H327" i="1"/>
  <c r="L327" i="1"/>
  <c r="M327" i="1"/>
  <c r="N327" i="1"/>
  <c r="O327" i="1"/>
  <c r="P327" i="1"/>
  <c r="Q327" i="1"/>
  <c r="R327" i="1"/>
  <c r="S327" i="1"/>
  <c r="T327" i="1"/>
  <c r="U327" i="1"/>
  <c r="V327" i="1"/>
  <c r="AB327" i="1"/>
  <c r="AI327" i="1"/>
  <c r="AJ327" i="1"/>
  <c r="AK327" i="1"/>
  <c r="AP327" i="1"/>
  <c r="AR327" i="1"/>
  <c r="AY327" i="1"/>
  <c r="BE327" i="1"/>
  <c r="BF327" i="1"/>
  <c r="C328" i="1"/>
  <c r="E328" i="1"/>
  <c r="F328" i="1"/>
  <c r="G328" i="1"/>
  <c r="H328" i="1"/>
  <c r="L328" i="1"/>
  <c r="M328" i="1"/>
  <c r="N328" i="1"/>
  <c r="O328" i="1"/>
  <c r="P328" i="1"/>
  <c r="Q328" i="1"/>
  <c r="R328" i="1"/>
  <c r="S328" i="1"/>
  <c r="T328" i="1"/>
  <c r="U328" i="1"/>
  <c r="V328" i="1"/>
  <c r="AB328" i="1"/>
  <c r="AI328" i="1"/>
  <c r="AJ328" i="1"/>
  <c r="AK328" i="1"/>
  <c r="AP328" i="1"/>
  <c r="AR328" i="1"/>
  <c r="AY328" i="1"/>
  <c r="BE328" i="1"/>
  <c r="BF328" i="1"/>
  <c r="C329" i="1"/>
  <c r="E329" i="1"/>
  <c r="F329" i="1"/>
  <c r="G329" i="1"/>
  <c r="H329" i="1"/>
  <c r="L329" i="1"/>
  <c r="M329" i="1"/>
  <c r="N329" i="1"/>
  <c r="O329" i="1"/>
  <c r="P329" i="1"/>
  <c r="Q329" i="1"/>
  <c r="R329" i="1"/>
  <c r="S329" i="1"/>
  <c r="T329" i="1"/>
  <c r="U329" i="1"/>
  <c r="V329" i="1"/>
  <c r="AB329" i="1"/>
  <c r="AI329" i="1"/>
  <c r="AJ329" i="1"/>
  <c r="AK329" i="1"/>
  <c r="AP329" i="1"/>
  <c r="AR329" i="1"/>
  <c r="AY329" i="1"/>
  <c r="BE329" i="1"/>
  <c r="BF329" i="1"/>
  <c r="C330" i="1"/>
  <c r="E330" i="1"/>
  <c r="F330" i="1"/>
  <c r="G330" i="1"/>
  <c r="H330" i="1"/>
  <c r="L330" i="1"/>
  <c r="M330" i="1"/>
  <c r="N330" i="1"/>
  <c r="O330" i="1"/>
  <c r="P330" i="1"/>
  <c r="Q330" i="1"/>
  <c r="R330" i="1"/>
  <c r="S330" i="1"/>
  <c r="T330" i="1"/>
  <c r="U330" i="1"/>
  <c r="V330" i="1"/>
  <c r="AB330" i="1"/>
  <c r="AI330" i="1"/>
  <c r="AJ330" i="1"/>
  <c r="AK330" i="1"/>
  <c r="AP330" i="1"/>
  <c r="AR330" i="1"/>
  <c r="AY330" i="1"/>
  <c r="BE330" i="1"/>
  <c r="BF330" i="1"/>
  <c r="C331" i="1"/>
  <c r="E331" i="1"/>
  <c r="F331" i="1"/>
  <c r="G331" i="1"/>
  <c r="H331" i="1"/>
  <c r="L331" i="1"/>
  <c r="M331" i="1"/>
  <c r="N331" i="1"/>
  <c r="O331" i="1"/>
  <c r="P331" i="1"/>
  <c r="Q331" i="1"/>
  <c r="R331" i="1"/>
  <c r="S331" i="1"/>
  <c r="T331" i="1"/>
  <c r="U331" i="1"/>
  <c r="V331" i="1"/>
  <c r="AB331" i="1"/>
  <c r="AI331" i="1"/>
  <c r="AJ331" i="1"/>
  <c r="AK331" i="1"/>
  <c r="AP331" i="1"/>
  <c r="AR331" i="1"/>
  <c r="AY331" i="1"/>
  <c r="BE331" i="1"/>
  <c r="BF331" i="1"/>
  <c r="C332" i="1"/>
  <c r="E332" i="1"/>
  <c r="F332" i="1"/>
  <c r="G332" i="1"/>
  <c r="H332" i="1"/>
  <c r="L332" i="1"/>
  <c r="M332" i="1"/>
  <c r="N332" i="1"/>
  <c r="O332" i="1"/>
  <c r="P332" i="1"/>
  <c r="Q332" i="1"/>
  <c r="R332" i="1"/>
  <c r="S332" i="1"/>
  <c r="T332" i="1"/>
  <c r="U332" i="1"/>
  <c r="V332" i="1"/>
  <c r="AB332" i="1"/>
  <c r="AI332" i="1"/>
  <c r="AJ332" i="1"/>
  <c r="AK332" i="1"/>
  <c r="AP332" i="1"/>
  <c r="AR332" i="1"/>
  <c r="AY332" i="1"/>
  <c r="BE332" i="1"/>
  <c r="BF332" i="1"/>
  <c r="C333" i="1"/>
  <c r="E333" i="1"/>
  <c r="F333" i="1"/>
  <c r="G333" i="1"/>
  <c r="H333" i="1"/>
  <c r="L333" i="1"/>
  <c r="M333" i="1"/>
  <c r="N333" i="1"/>
  <c r="O333" i="1"/>
  <c r="P333" i="1"/>
  <c r="Q333" i="1"/>
  <c r="R333" i="1"/>
  <c r="S333" i="1"/>
  <c r="T333" i="1"/>
  <c r="U333" i="1"/>
  <c r="V333" i="1"/>
  <c r="AB333" i="1"/>
  <c r="AI333" i="1"/>
  <c r="AJ333" i="1"/>
  <c r="AK333" i="1"/>
  <c r="AP333" i="1"/>
  <c r="AR333" i="1"/>
  <c r="AY333" i="1"/>
  <c r="BE333" i="1"/>
  <c r="BF333" i="1"/>
  <c r="C334" i="1"/>
  <c r="E334" i="1"/>
  <c r="F334" i="1"/>
  <c r="G334" i="1"/>
  <c r="H334" i="1"/>
  <c r="L334" i="1"/>
  <c r="M334" i="1"/>
  <c r="N334" i="1"/>
  <c r="O334" i="1"/>
  <c r="P334" i="1"/>
  <c r="Q334" i="1"/>
  <c r="R334" i="1"/>
  <c r="S334" i="1"/>
  <c r="T334" i="1"/>
  <c r="U334" i="1"/>
  <c r="V334" i="1"/>
  <c r="AB334" i="1"/>
  <c r="AI334" i="1"/>
  <c r="AJ334" i="1"/>
  <c r="AK334" i="1"/>
  <c r="AP334" i="1"/>
  <c r="AR334" i="1"/>
  <c r="AY334" i="1"/>
  <c r="BE334" i="1"/>
  <c r="BF334" i="1"/>
  <c r="C335" i="1"/>
  <c r="E335" i="1"/>
  <c r="F335" i="1"/>
  <c r="G335" i="1"/>
  <c r="H335" i="1"/>
  <c r="L335" i="1"/>
  <c r="M335" i="1"/>
  <c r="N335" i="1"/>
  <c r="O335" i="1"/>
  <c r="P335" i="1"/>
  <c r="Q335" i="1"/>
  <c r="R335" i="1"/>
  <c r="S335" i="1"/>
  <c r="T335" i="1"/>
  <c r="U335" i="1"/>
  <c r="V335" i="1"/>
  <c r="AB335" i="1"/>
  <c r="AI335" i="1"/>
  <c r="AJ335" i="1"/>
  <c r="AK335" i="1"/>
  <c r="AP335" i="1"/>
  <c r="AR335" i="1"/>
  <c r="AY335" i="1"/>
  <c r="BE335" i="1"/>
  <c r="BF335" i="1"/>
  <c r="C336" i="1"/>
  <c r="E336" i="1"/>
  <c r="F336" i="1"/>
  <c r="G336" i="1"/>
  <c r="H336" i="1"/>
  <c r="L336" i="1"/>
  <c r="M336" i="1"/>
  <c r="N336" i="1"/>
  <c r="O336" i="1"/>
  <c r="P336" i="1"/>
  <c r="Q336" i="1"/>
  <c r="R336" i="1"/>
  <c r="S336" i="1"/>
  <c r="T336" i="1"/>
  <c r="U336" i="1"/>
  <c r="V336" i="1"/>
  <c r="AB336" i="1"/>
  <c r="AI336" i="1"/>
  <c r="AJ336" i="1"/>
  <c r="AK336" i="1"/>
  <c r="AP336" i="1"/>
  <c r="AR336" i="1"/>
  <c r="AY336" i="1"/>
  <c r="BE336" i="1"/>
  <c r="BF336" i="1"/>
  <c r="C337" i="1"/>
  <c r="E337" i="1"/>
  <c r="F337" i="1"/>
  <c r="G337" i="1"/>
  <c r="H337" i="1"/>
  <c r="L337" i="1"/>
  <c r="M337" i="1"/>
  <c r="N337" i="1"/>
  <c r="O337" i="1"/>
  <c r="P337" i="1"/>
  <c r="Q337" i="1"/>
  <c r="R337" i="1"/>
  <c r="S337" i="1"/>
  <c r="T337" i="1"/>
  <c r="U337" i="1"/>
  <c r="V337" i="1"/>
  <c r="AB337" i="1"/>
  <c r="AI337" i="1"/>
  <c r="AJ337" i="1"/>
  <c r="AK337" i="1"/>
  <c r="AP337" i="1"/>
  <c r="AR337" i="1"/>
  <c r="AY337" i="1"/>
  <c r="BE337" i="1"/>
  <c r="BF337" i="1"/>
  <c r="C338" i="1"/>
  <c r="E338" i="1"/>
  <c r="F338" i="1"/>
  <c r="G338" i="1"/>
  <c r="H338" i="1"/>
  <c r="L338" i="1"/>
  <c r="M338" i="1"/>
  <c r="N338" i="1"/>
  <c r="O338" i="1"/>
  <c r="P338" i="1"/>
  <c r="Q338" i="1"/>
  <c r="R338" i="1"/>
  <c r="S338" i="1"/>
  <c r="T338" i="1"/>
  <c r="U338" i="1"/>
  <c r="V338" i="1"/>
  <c r="AB338" i="1"/>
  <c r="AI338" i="1"/>
  <c r="AJ338" i="1"/>
  <c r="AK338" i="1"/>
  <c r="AP338" i="1"/>
  <c r="AR338" i="1"/>
  <c r="AY338" i="1"/>
  <c r="BE338" i="1"/>
  <c r="BF338" i="1"/>
  <c r="C339" i="1"/>
  <c r="E339" i="1"/>
  <c r="F339" i="1"/>
  <c r="G339" i="1"/>
  <c r="H339" i="1"/>
  <c r="L339" i="1"/>
  <c r="M339" i="1"/>
  <c r="N339" i="1"/>
  <c r="O339" i="1"/>
  <c r="P339" i="1"/>
  <c r="Q339" i="1"/>
  <c r="R339" i="1"/>
  <c r="S339" i="1"/>
  <c r="T339" i="1"/>
  <c r="U339" i="1"/>
  <c r="V339" i="1"/>
  <c r="AB339" i="1"/>
  <c r="AI339" i="1"/>
  <c r="AJ339" i="1"/>
  <c r="AK339" i="1"/>
  <c r="AP339" i="1"/>
  <c r="AR339" i="1"/>
  <c r="AY339" i="1"/>
  <c r="BE339" i="1"/>
  <c r="BF339" i="1"/>
  <c r="C340" i="1"/>
  <c r="E340" i="1"/>
  <c r="F340" i="1"/>
  <c r="G340" i="1"/>
  <c r="H340" i="1"/>
  <c r="L340" i="1"/>
  <c r="M340" i="1"/>
  <c r="N340" i="1"/>
  <c r="O340" i="1"/>
  <c r="P340" i="1"/>
  <c r="Q340" i="1"/>
  <c r="R340" i="1"/>
  <c r="S340" i="1"/>
  <c r="T340" i="1"/>
  <c r="U340" i="1"/>
  <c r="V340" i="1"/>
  <c r="AB340" i="1"/>
  <c r="AI340" i="1"/>
  <c r="AJ340" i="1"/>
  <c r="AK340" i="1"/>
  <c r="AP340" i="1"/>
  <c r="AR340" i="1"/>
  <c r="AY340" i="1"/>
  <c r="BE340" i="1"/>
  <c r="BF340" i="1"/>
  <c r="C341" i="1"/>
  <c r="E341" i="1"/>
  <c r="F341" i="1"/>
  <c r="G341" i="1"/>
  <c r="H341" i="1"/>
  <c r="L341" i="1"/>
  <c r="M341" i="1"/>
  <c r="N341" i="1"/>
  <c r="O341" i="1"/>
  <c r="P341" i="1"/>
  <c r="Q341" i="1"/>
  <c r="R341" i="1"/>
  <c r="S341" i="1"/>
  <c r="T341" i="1"/>
  <c r="U341" i="1"/>
  <c r="V341" i="1"/>
  <c r="AB341" i="1"/>
  <c r="AI341" i="1"/>
  <c r="AJ341" i="1"/>
  <c r="AK341" i="1"/>
  <c r="AP341" i="1"/>
  <c r="AR341" i="1"/>
  <c r="AY341" i="1"/>
  <c r="BE341" i="1"/>
  <c r="BF341" i="1"/>
  <c r="C342" i="1"/>
  <c r="E342" i="1"/>
  <c r="F342" i="1"/>
  <c r="G342" i="1"/>
  <c r="H342" i="1"/>
  <c r="L342" i="1"/>
  <c r="M342" i="1"/>
  <c r="N342" i="1"/>
  <c r="O342" i="1"/>
  <c r="P342" i="1"/>
  <c r="Q342" i="1"/>
  <c r="R342" i="1"/>
  <c r="S342" i="1"/>
  <c r="T342" i="1"/>
  <c r="U342" i="1"/>
  <c r="V342" i="1"/>
  <c r="AB342" i="1"/>
  <c r="AI342" i="1"/>
  <c r="AJ342" i="1"/>
  <c r="AK342" i="1"/>
  <c r="AP342" i="1"/>
  <c r="AR342" i="1"/>
  <c r="AY342" i="1"/>
  <c r="BE342" i="1"/>
  <c r="BF342" i="1"/>
  <c r="C343" i="1"/>
  <c r="E343" i="1"/>
  <c r="F343" i="1"/>
  <c r="G343" i="1"/>
  <c r="H343" i="1"/>
  <c r="L343" i="1"/>
  <c r="M343" i="1"/>
  <c r="N343" i="1"/>
  <c r="O343" i="1"/>
  <c r="P343" i="1"/>
  <c r="Q343" i="1"/>
  <c r="R343" i="1"/>
  <c r="S343" i="1"/>
  <c r="T343" i="1"/>
  <c r="U343" i="1"/>
  <c r="V343" i="1"/>
  <c r="AB343" i="1"/>
  <c r="AI343" i="1"/>
  <c r="AJ343" i="1"/>
  <c r="AK343" i="1"/>
  <c r="AP343" i="1"/>
  <c r="AR343" i="1"/>
  <c r="AY343" i="1"/>
  <c r="BE343" i="1"/>
  <c r="BF343" i="1"/>
  <c r="C344" i="1"/>
  <c r="E344" i="1"/>
  <c r="F344" i="1"/>
  <c r="G344" i="1"/>
  <c r="H344" i="1"/>
  <c r="L344" i="1"/>
  <c r="M344" i="1"/>
  <c r="N344" i="1"/>
  <c r="O344" i="1"/>
  <c r="P344" i="1"/>
  <c r="Q344" i="1"/>
  <c r="R344" i="1"/>
  <c r="S344" i="1"/>
  <c r="T344" i="1"/>
  <c r="U344" i="1"/>
  <c r="V344" i="1"/>
  <c r="AB344" i="1"/>
  <c r="AI344" i="1"/>
  <c r="AJ344" i="1"/>
  <c r="AK344" i="1"/>
  <c r="AP344" i="1"/>
  <c r="AR344" i="1"/>
  <c r="AY344" i="1"/>
  <c r="BE344" i="1"/>
  <c r="BF344" i="1"/>
  <c r="C345" i="1"/>
  <c r="E345" i="1"/>
  <c r="F345" i="1"/>
  <c r="G345" i="1"/>
  <c r="H345" i="1"/>
  <c r="L345" i="1"/>
  <c r="M345" i="1"/>
  <c r="N345" i="1"/>
  <c r="O345" i="1"/>
  <c r="P345" i="1"/>
  <c r="Q345" i="1"/>
  <c r="R345" i="1"/>
  <c r="S345" i="1"/>
  <c r="T345" i="1"/>
  <c r="U345" i="1"/>
  <c r="V345" i="1"/>
  <c r="AB345" i="1"/>
  <c r="AI345" i="1"/>
  <c r="AJ345" i="1"/>
  <c r="AK345" i="1"/>
  <c r="AP345" i="1"/>
  <c r="AR345" i="1"/>
  <c r="AY345" i="1"/>
  <c r="BE345" i="1"/>
  <c r="BF345" i="1"/>
  <c r="C635" i="1"/>
  <c r="E635" i="1"/>
  <c r="F635" i="1"/>
  <c r="G635" i="1"/>
  <c r="H635" i="1"/>
  <c r="L635" i="1"/>
  <c r="M635" i="1"/>
  <c r="N635" i="1"/>
  <c r="O635" i="1"/>
  <c r="P635" i="1"/>
  <c r="Q635" i="1"/>
  <c r="R635" i="1"/>
  <c r="S635" i="1"/>
  <c r="T635" i="1"/>
  <c r="U635" i="1"/>
  <c r="V635" i="1"/>
  <c r="AB635" i="1"/>
  <c r="AI635" i="1"/>
  <c r="AJ635" i="1"/>
  <c r="AK635" i="1"/>
  <c r="AP635" i="1"/>
  <c r="AR635" i="1"/>
  <c r="AY635" i="1"/>
  <c r="BE635" i="1"/>
  <c r="BF635" i="1"/>
  <c r="C636" i="1"/>
  <c r="E636" i="1"/>
  <c r="F636" i="1"/>
  <c r="G636" i="1"/>
  <c r="H636" i="1"/>
  <c r="L636" i="1"/>
  <c r="M636" i="1"/>
  <c r="N636" i="1"/>
  <c r="O636" i="1"/>
  <c r="P636" i="1"/>
  <c r="Q636" i="1"/>
  <c r="R636" i="1"/>
  <c r="S636" i="1"/>
  <c r="T636" i="1"/>
  <c r="U636" i="1"/>
  <c r="V636" i="1"/>
  <c r="AB636" i="1"/>
  <c r="AI636" i="1"/>
  <c r="AJ636" i="1"/>
  <c r="AK636" i="1"/>
  <c r="AP636" i="1"/>
  <c r="AR636" i="1"/>
  <c r="AY636" i="1"/>
  <c r="BE636" i="1"/>
  <c r="BF636" i="1"/>
  <c r="C554" i="1"/>
  <c r="E554" i="1"/>
  <c r="F554" i="1"/>
  <c r="G554" i="1"/>
  <c r="H554" i="1"/>
  <c r="L554" i="1"/>
  <c r="M554" i="1"/>
  <c r="N554" i="1"/>
  <c r="O554" i="1"/>
  <c r="P554" i="1"/>
  <c r="Q554" i="1"/>
  <c r="R554" i="1"/>
  <c r="S554" i="1"/>
  <c r="T554" i="1"/>
  <c r="U554" i="1"/>
  <c r="V554" i="1"/>
  <c r="AB554" i="1"/>
  <c r="AI554" i="1"/>
  <c r="AJ554" i="1"/>
  <c r="AK554" i="1"/>
  <c r="AP554" i="1"/>
  <c r="AR554" i="1"/>
  <c r="AY554" i="1"/>
  <c r="BE554" i="1"/>
  <c r="BF554" i="1"/>
  <c r="C346" i="1"/>
  <c r="E346" i="1"/>
  <c r="F346" i="1"/>
  <c r="G346" i="1"/>
  <c r="H346" i="1"/>
  <c r="L346" i="1"/>
  <c r="M346" i="1"/>
  <c r="N346" i="1"/>
  <c r="O346" i="1"/>
  <c r="P346" i="1"/>
  <c r="Q346" i="1"/>
  <c r="R346" i="1"/>
  <c r="S346" i="1"/>
  <c r="T346" i="1"/>
  <c r="U346" i="1"/>
  <c r="V346" i="1"/>
  <c r="AB346" i="1"/>
  <c r="AI346" i="1"/>
  <c r="AJ346" i="1"/>
  <c r="AK346" i="1"/>
  <c r="AP346" i="1"/>
  <c r="AR346" i="1"/>
  <c r="AY346" i="1"/>
  <c r="BE346" i="1"/>
  <c r="BF346" i="1"/>
  <c r="C555" i="1"/>
  <c r="E555" i="1"/>
  <c r="F555" i="1"/>
  <c r="G555" i="1"/>
  <c r="H555" i="1"/>
  <c r="L555" i="1"/>
  <c r="M555" i="1"/>
  <c r="N555" i="1"/>
  <c r="O555" i="1"/>
  <c r="P555" i="1"/>
  <c r="Q555" i="1"/>
  <c r="R555" i="1"/>
  <c r="S555" i="1"/>
  <c r="T555" i="1"/>
  <c r="U555" i="1"/>
  <c r="V555" i="1"/>
  <c r="AB555" i="1"/>
  <c r="AI555" i="1"/>
  <c r="AJ555" i="1"/>
  <c r="AK555" i="1"/>
  <c r="AP555" i="1"/>
  <c r="AR555" i="1"/>
  <c r="AY555" i="1"/>
  <c r="BE555" i="1"/>
  <c r="BF555" i="1"/>
  <c r="C556" i="1"/>
  <c r="E556" i="1"/>
  <c r="F556" i="1"/>
  <c r="G556" i="1"/>
  <c r="H556" i="1"/>
  <c r="L556" i="1"/>
  <c r="M556" i="1"/>
  <c r="N556" i="1"/>
  <c r="O556" i="1"/>
  <c r="P556" i="1"/>
  <c r="Q556" i="1"/>
  <c r="R556" i="1"/>
  <c r="S556" i="1"/>
  <c r="T556" i="1"/>
  <c r="U556" i="1"/>
  <c r="V556" i="1"/>
  <c r="AB556" i="1"/>
  <c r="AI556" i="1"/>
  <c r="AJ556" i="1"/>
  <c r="AK556" i="1"/>
  <c r="AP556" i="1"/>
  <c r="AR556" i="1"/>
  <c r="AY556" i="1"/>
  <c r="BE556" i="1"/>
  <c r="BF556" i="1"/>
  <c r="C557" i="1"/>
  <c r="E557" i="1"/>
  <c r="F557" i="1"/>
  <c r="G557" i="1"/>
  <c r="H557" i="1"/>
  <c r="L557" i="1"/>
  <c r="M557" i="1"/>
  <c r="N557" i="1"/>
  <c r="O557" i="1"/>
  <c r="P557" i="1"/>
  <c r="Q557" i="1"/>
  <c r="R557" i="1"/>
  <c r="S557" i="1"/>
  <c r="T557" i="1"/>
  <c r="U557" i="1"/>
  <c r="V557" i="1"/>
  <c r="AB557" i="1"/>
  <c r="AI557" i="1"/>
  <c r="AJ557" i="1"/>
  <c r="AK557" i="1"/>
  <c r="AP557" i="1"/>
  <c r="AR557" i="1"/>
  <c r="AY557" i="1"/>
  <c r="BE557" i="1"/>
  <c r="BF557" i="1"/>
  <c r="C558" i="1"/>
  <c r="E558" i="1"/>
  <c r="F558" i="1"/>
  <c r="G558" i="1"/>
  <c r="H558" i="1"/>
  <c r="L558" i="1"/>
  <c r="M558" i="1"/>
  <c r="N558" i="1"/>
  <c r="O558" i="1"/>
  <c r="P558" i="1"/>
  <c r="Q558" i="1"/>
  <c r="R558" i="1"/>
  <c r="S558" i="1"/>
  <c r="T558" i="1"/>
  <c r="U558" i="1"/>
  <c r="V558" i="1"/>
  <c r="AB558" i="1"/>
  <c r="AI558" i="1"/>
  <c r="AJ558" i="1"/>
  <c r="AK558" i="1"/>
  <c r="AP558" i="1"/>
  <c r="AR558" i="1"/>
  <c r="AY558" i="1"/>
  <c r="BE558" i="1"/>
  <c r="BF558" i="1"/>
  <c r="C559" i="1"/>
  <c r="E559" i="1"/>
  <c r="F559" i="1"/>
  <c r="G559" i="1"/>
  <c r="H559" i="1"/>
  <c r="L559" i="1"/>
  <c r="M559" i="1"/>
  <c r="N559" i="1"/>
  <c r="O559" i="1"/>
  <c r="P559" i="1"/>
  <c r="Q559" i="1"/>
  <c r="R559" i="1"/>
  <c r="S559" i="1"/>
  <c r="T559" i="1"/>
  <c r="U559" i="1"/>
  <c r="V559" i="1"/>
  <c r="AB559" i="1"/>
  <c r="AI559" i="1"/>
  <c r="AJ559" i="1"/>
  <c r="AK559" i="1"/>
  <c r="AP559" i="1"/>
  <c r="AR559" i="1"/>
  <c r="AY559" i="1"/>
  <c r="BE559" i="1"/>
  <c r="BF559" i="1"/>
  <c r="C347" i="1"/>
  <c r="E347" i="1"/>
  <c r="F347" i="1"/>
  <c r="G347" i="1"/>
  <c r="H347" i="1"/>
  <c r="L347" i="1"/>
  <c r="M347" i="1"/>
  <c r="N347" i="1"/>
  <c r="O347" i="1"/>
  <c r="P347" i="1"/>
  <c r="Q347" i="1"/>
  <c r="R347" i="1"/>
  <c r="S347" i="1"/>
  <c r="T347" i="1"/>
  <c r="U347" i="1"/>
  <c r="V347" i="1"/>
  <c r="AB347" i="1"/>
  <c r="AI347" i="1"/>
  <c r="AJ347" i="1"/>
  <c r="AK347" i="1"/>
  <c r="AP347" i="1"/>
  <c r="AR347" i="1"/>
  <c r="AY347" i="1"/>
  <c r="BE347" i="1"/>
  <c r="BF347" i="1"/>
  <c r="C348" i="1"/>
  <c r="E348" i="1"/>
  <c r="F348" i="1"/>
  <c r="G348" i="1"/>
  <c r="H348" i="1"/>
  <c r="L348" i="1"/>
  <c r="M348" i="1"/>
  <c r="N348" i="1"/>
  <c r="O348" i="1"/>
  <c r="P348" i="1"/>
  <c r="Q348" i="1"/>
  <c r="R348" i="1"/>
  <c r="S348" i="1"/>
  <c r="T348" i="1"/>
  <c r="U348" i="1"/>
  <c r="V348" i="1"/>
  <c r="AB348" i="1"/>
  <c r="AI348" i="1"/>
  <c r="AJ348" i="1"/>
  <c r="AK348" i="1"/>
  <c r="AP348" i="1"/>
  <c r="AR348" i="1"/>
  <c r="AY348" i="1"/>
  <c r="BE348" i="1"/>
  <c r="BF348" i="1"/>
  <c r="C349" i="1"/>
  <c r="E349" i="1"/>
  <c r="F349" i="1"/>
  <c r="G349" i="1"/>
  <c r="H349" i="1"/>
  <c r="L349" i="1"/>
  <c r="M349" i="1"/>
  <c r="N349" i="1"/>
  <c r="O349" i="1"/>
  <c r="P349" i="1"/>
  <c r="Q349" i="1"/>
  <c r="R349" i="1"/>
  <c r="S349" i="1"/>
  <c r="T349" i="1"/>
  <c r="U349" i="1"/>
  <c r="V349" i="1"/>
  <c r="AB349" i="1"/>
  <c r="AI349" i="1"/>
  <c r="AJ349" i="1"/>
  <c r="AK349" i="1"/>
  <c r="AP349" i="1"/>
  <c r="AR349" i="1"/>
  <c r="AY349" i="1"/>
  <c r="BE349" i="1"/>
  <c r="BF349" i="1"/>
  <c r="C350" i="1"/>
  <c r="E350" i="1"/>
  <c r="F350" i="1"/>
  <c r="G350" i="1"/>
  <c r="H350" i="1"/>
  <c r="L350" i="1"/>
  <c r="M350" i="1"/>
  <c r="N350" i="1"/>
  <c r="O350" i="1"/>
  <c r="P350" i="1"/>
  <c r="Q350" i="1"/>
  <c r="R350" i="1"/>
  <c r="S350" i="1"/>
  <c r="T350" i="1"/>
  <c r="U350" i="1"/>
  <c r="V350" i="1"/>
  <c r="AB350" i="1"/>
  <c r="AI350" i="1"/>
  <c r="AJ350" i="1"/>
  <c r="AK350" i="1"/>
  <c r="AP350" i="1"/>
  <c r="AR350" i="1"/>
  <c r="AY350" i="1"/>
  <c r="BE350" i="1"/>
  <c r="BF350" i="1"/>
  <c r="C351" i="1"/>
  <c r="E351" i="1"/>
  <c r="F351" i="1"/>
  <c r="G351" i="1"/>
  <c r="H351" i="1"/>
  <c r="L351" i="1"/>
  <c r="M351" i="1"/>
  <c r="N351" i="1"/>
  <c r="O351" i="1"/>
  <c r="P351" i="1"/>
  <c r="Q351" i="1"/>
  <c r="R351" i="1"/>
  <c r="S351" i="1"/>
  <c r="T351" i="1"/>
  <c r="U351" i="1"/>
  <c r="V351" i="1"/>
  <c r="AB351" i="1"/>
  <c r="AI351" i="1"/>
  <c r="AJ351" i="1"/>
  <c r="AK351" i="1"/>
  <c r="AP351" i="1"/>
  <c r="AR351" i="1"/>
  <c r="AY351" i="1"/>
  <c r="BE351" i="1"/>
  <c r="BF351" i="1"/>
  <c r="C352" i="1"/>
  <c r="E352" i="1"/>
  <c r="F352" i="1"/>
  <c r="G352" i="1"/>
  <c r="H352" i="1"/>
  <c r="L352" i="1"/>
  <c r="M352" i="1"/>
  <c r="N352" i="1"/>
  <c r="O352" i="1"/>
  <c r="P352" i="1"/>
  <c r="Q352" i="1"/>
  <c r="R352" i="1"/>
  <c r="S352" i="1"/>
  <c r="T352" i="1"/>
  <c r="U352" i="1"/>
  <c r="V352" i="1"/>
  <c r="AB352" i="1"/>
  <c r="AI352" i="1"/>
  <c r="AJ352" i="1"/>
  <c r="AK352" i="1"/>
  <c r="AP352" i="1"/>
  <c r="AR352" i="1"/>
  <c r="AY352" i="1"/>
  <c r="BE352" i="1"/>
  <c r="BF352" i="1"/>
  <c r="C353" i="1"/>
  <c r="E353" i="1"/>
  <c r="F353" i="1"/>
  <c r="G353" i="1"/>
  <c r="H353" i="1"/>
  <c r="L353" i="1"/>
  <c r="M353" i="1"/>
  <c r="N353" i="1"/>
  <c r="O353" i="1"/>
  <c r="P353" i="1"/>
  <c r="Q353" i="1"/>
  <c r="R353" i="1"/>
  <c r="S353" i="1"/>
  <c r="T353" i="1"/>
  <c r="U353" i="1"/>
  <c r="V353" i="1"/>
  <c r="AB353" i="1"/>
  <c r="AI353" i="1"/>
  <c r="AJ353" i="1"/>
  <c r="AK353" i="1"/>
  <c r="AP353" i="1"/>
  <c r="AR353" i="1"/>
  <c r="AY353" i="1"/>
  <c r="BE353" i="1"/>
  <c r="BF353" i="1"/>
  <c r="C354" i="1"/>
  <c r="E354" i="1"/>
  <c r="F354" i="1"/>
  <c r="G354" i="1"/>
  <c r="H354" i="1"/>
  <c r="L354" i="1"/>
  <c r="M354" i="1"/>
  <c r="N354" i="1"/>
  <c r="O354" i="1"/>
  <c r="P354" i="1"/>
  <c r="Q354" i="1"/>
  <c r="R354" i="1"/>
  <c r="S354" i="1"/>
  <c r="T354" i="1"/>
  <c r="U354" i="1"/>
  <c r="V354" i="1"/>
  <c r="AB354" i="1"/>
  <c r="AI354" i="1"/>
  <c r="AJ354" i="1"/>
  <c r="AK354" i="1"/>
  <c r="AP354" i="1"/>
  <c r="AR354" i="1"/>
  <c r="AY354" i="1"/>
  <c r="BE354" i="1"/>
  <c r="BF354" i="1"/>
  <c r="C355" i="1"/>
  <c r="E355" i="1"/>
  <c r="F355" i="1"/>
  <c r="G355" i="1"/>
  <c r="H355" i="1"/>
  <c r="L355" i="1"/>
  <c r="M355" i="1"/>
  <c r="N355" i="1"/>
  <c r="O355" i="1"/>
  <c r="P355" i="1"/>
  <c r="Q355" i="1"/>
  <c r="R355" i="1"/>
  <c r="S355" i="1"/>
  <c r="T355" i="1"/>
  <c r="U355" i="1"/>
  <c r="V355" i="1"/>
  <c r="AB355" i="1"/>
  <c r="AI355" i="1"/>
  <c r="AJ355" i="1"/>
  <c r="AK355" i="1"/>
  <c r="AP355" i="1"/>
  <c r="AR355" i="1"/>
  <c r="AY355" i="1"/>
  <c r="BE355" i="1"/>
  <c r="BF355" i="1"/>
  <c r="C637" i="1"/>
  <c r="E637" i="1"/>
  <c r="F637" i="1"/>
  <c r="G637" i="1"/>
  <c r="H637" i="1"/>
  <c r="L637" i="1"/>
  <c r="M637" i="1"/>
  <c r="N637" i="1"/>
  <c r="O637" i="1"/>
  <c r="P637" i="1"/>
  <c r="Q637" i="1"/>
  <c r="R637" i="1"/>
  <c r="S637" i="1"/>
  <c r="T637" i="1"/>
  <c r="U637" i="1"/>
  <c r="V637" i="1"/>
  <c r="AB637" i="1"/>
  <c r="AI637" i="1"/>
  <c r="AJ637" i="1"/>
  <c r="AK637" i="1"/>
  <c r="AP637" i="1"/>
  <c r="AR637" i="1"/>
  <c r="AY637" i="1"/>
  <c r="BE637" i="1"/>
  <c r="BF637" i="1"/>
  <c r="C638" i="1"/>
  <c r="E638" i="1"/>
  <c r="F638" i="1"/>
  <c r="G638" i="1"/>
  <c r="H638" i="1"/>
  <c r="L638" i="1"/>
  <c r="M638" i="1"/>
  <c r="N638" i="1"/>
  <c r="O638" i="1"/>
  <c r="P638" i="1"/>
  <c r="Q638" i="1"/>
  <c r="R638" i="1"/>
  <c r="S638" i="1"/>
  <c r="T638" i="1"/>
  <c r="U638" i="1"/>
  <c r="V638" i="1"/>
  <c r="AB638" i="1"/>
  <c r="AI638" i="1"/>
  <c r="AJ638" i="1"/>
  <c r="AK638" i="1"/>
  <c r="AP638" i="1"/>
  <c r="AR638" i="1"/>
  <c r="AY638" i="1"/>
  <c r="BE638" i="1"/>
  <c r="BF638" i="1"/>
  <c r="C639" i="1"/>
  <c r="E639" i="1"/>
  <c r="F639" i="1"/>
  <c r="G639" i="1"/>
  <c r="H639" i="1"/>
  <c r="L639" i="1"/>
  <c r="M639" i="1"/>
  <c r="N639" i="1"/>
  <c r="O639" i="1"/>
  <c r="P639" i="1"/>
  <c r="Q639" i="1"/>
  <c r="R639" i="1"/>
  <c r="S639" i="1"/>
  <c r="T639" i="1"/>
  <c r="U639" i="1"/>
  <c r="V639" i="1"/>
  <c r="AB639" i="1"/>
  <c r="AI639" i="1"/>
  <c r="AJ639" i="1"/>
  <c r="AK639" i="1"/>
  <c r="AP639" i="1"/>
  <c r="AR639" i="1"/>
  <c r="AY639" i="1"/>
  <c r="BE639" i="1"/>
  <c r="BF639" i="1"/>
  <c r="C640" i="1"/>
  <c r="E640" i="1"/>
  <c r="F640" i="1"/>
  <c r="G640" i="1"/>
  <c r="H640" i="1"/>
  <c r="L640" i="1"/>
  <c r="M640" i="1"/>
  <c r="N640" i="1"/>
  <c r="O640" i="1"/>
  <c r="P640" i="1"/>
  <c r="Q640" i="1"/>
  <c r="R640" i="1"/>
  <c r="S640" i="1"/>
  <c r="T640" i="1"/>
  <c r="U640" i="1"/>
  <c r="V640" i="1"/>
  <c r="AB640" i="1"/>
  <c r="AI640" i="1"/>
  <c r="AJ640" i="1"/>
  <c r="AK640" i="1"/>
  <c r="AP640" i="1"/>
  <c r="AR640" i="1"/>
  <c r="AY640" i="1"/>
  <c r="BE640" i="1"/>
  <c r="BF640" i="1"/>
  <c r="C641" i="1"/>
  <c r="E641" i="1"/>
  <c r="F641" i="1"/>
  <c r="G641" i="1"/>
  <c r="H641" i="1"/>
  <c r="L641" i="1"/>
  <c r="M641" i="1"/>
  <c r="N641" i="1"/>
  <c r="O641" i="1"/>
  <c r="P641" i="1"/>
  <c r="Q641" i="1"/>
  <c r="R641" i="1"/>
  <c r="S641" i="1"/>
  <c r="T641" i="1"/>
  <c r="U641" i="1"/>
  <c r="V641" i="1"/>
  <c r="AB641" i="1"/>
  <c r="AI641" i="1"/>
  <c r="AJ641" i="1"/>
  <c r="AK641" i="1"/>
  <c r="AP641" i="1"/>
  <c r="AR641" i="1"/>
  <c r="AY641" i="1"/>
  <c r="BE641" i="1"/>
  <c r="BF641" i="1"/>
  <c r="C642" i="1"/>
  <c r="E642" i="1"/>
  <c r="F642" i="1"/>
  <c r="G642" i="1"/>
  <c r="H642" i="1"/>
  <c r="L642" i="1"/>
  <c r="M642" i="1"/>
  <c r="N642" i="1"/>
  <c r="O642" i="1"/>
  <c r="P642" i="1"/>
  <c r="Q642" i="1"/>
  <c r="R642" i="1"/>
  <c r="S642" i="1"/>
  <c r="T642" i="1"/>
  <c r="U642" i="1"/>
  <c r="V642" i="1"/>
  <c r="AB642" i="1"/>
  <c r="AI642" i="1"/>
  <c r="AJ642" i="1"/>
  <c r="AK642" i="1"/>
  <c r="AP642" i="1"/>
  <c r="AR642" i="1"/>
  <c r="AY642" i="1"/>
  <c r="BE642" i="1"/>
  <c r="BF642" i="1"/>
  <c r="C643" i="1"/>
  <c r="E643" i="1"/>
  <c r="F643" i="1"/>
  <c r="G643" i="1"/>
  <c r="H643" i="1"/>
  <c r="L643" i="1"/>
  <c r="M643" i="1"/>
  <c r="N643" i="1"/>
  <c r="O643" i="1"/>
  <c r="P643" i="1"/>
  <c r="Q643" i="1"/>
  <c r="R643" i="1"/>
  <c r="S643" i="1"/>
  <c r="T643" i="1"/>
  <c r="U643" i="1"/>
  <c r="V643" i="1"/>
  <c r="AB643" i="1"/>
  <c r="AI643" i="1"/>
  <c r="AJ643" i="1"/>
  <c r="AK643" i="1"/>
  <c r="AP643" i="1"/>
  <c r="AR643" i="1"/>
  <c r="AY643" i="1"/>
  <c r="BE643" i="1"/>
  <c r="BF643" i="1"/>
  <c r="C644" i="1"/>
  <c r="E644" i="1"/>
  <c r="F644" i="1"/>
  <c r="G644" i="1"/>
  <c r="H644" i="1"/>
  <c r="L644" i="1"/>
  <c r="M644" i="1"/>
  <c r="N644" i="1"/>
  <c r="O644" i="1"/>
  <c r="P644" i="1"/>
  <c r="Q644" i="1"/>
  <c r="R644" i="1"/>
  <c r="S644" i="1"/>
  <c r="T644" i="1"/>
  <c r="U644" i="1"/>
  <c r="V644" i="1"/>
  <c r="AB644" i="1"/>
  <c r="AI644" i="1"/>
  <c r="AJ644" i="1"/>
  <c r="AK644" i="1"/>
  <c r="AP644" i="1"/>
  <c r="AR644" i="1"/>
  <c r="AY644" i="1"/>
  <c r="BE644" i="1"/>
  <c r="BF644" i="1"/>
  <c r="C645" i="1"/>
  <c r="E645" i="1"/>
  <c r="F645" i="1"/>
  <c r="G645" i="1"/>
  <c r="H645" i="1"/>
  <c r="L645" i="1"/>
  <c r="M645" i="1"/>
  <c r="N645" i="1"/>
  <c r="O645" i="1"/>
  <c r="P645" i="1"/>
  <c r="Q645" i="1"/>
  <c r="R645" i="1"/>
  <c r="S645" i="1"/>
  <c r="T645" i="1"/>
  <c r="U645" i="1"/>
  <c r="V645" i="1"/>
  <c r="AB645" i="1"/>
  <c r="AI645" i="1"/>
  <c r="AJ645" i="1"/>
  <c r="AK645" i="1"/>
  <c r="AP645" i="1"/>
  <c r="AR645" i="1"/>
  <c r="AY645" i="1"/>
  <c r="BE645" i="1"/>
  <c r="BF645" i="1"/>
  <c r="C356" i="1"/>
  <c r="E356" i="1"/>
  <c r="F356" i="1"/>
  <c r="G356" i="1"/>
  <c r="H356" i="1"/>
  <c r="L356" i="1"/>
  <c r="M356" i="1"/>
  <c r="N356" i="1"/>
  <c r="O356" i="1"/>
  <c r="P356" i="1"/>
  <c r="Q356" i="1"/>
  <c r="R356" i="1"/>
  <c r="S356" i="1"/>
  <c r="T356" i="1"/>
  <c r="U356" i="1"/>
  <c r="V356" i="1"/>
  <c r="AB356" i="1"/>
  <c r="AI356" i="1"/>
  <c r="AJ356" i="1"/>
  <c r="AK356" i="1"/>
  <c r="AP356" i="1"/>
  <c r="AR356" i="1"/>
  <c r="AY356" i="1"/>
  <c r="BE356" i="1"/>
  <c r="BF356" i="1"/>
  <c r="C646" i="1"/>
  <c r="E646" i="1"/>
  <c r="F646" i="1"/>
  <c r="G646" i="1"/>
  <c r="H646" i="1"/>
  <c r="L646" i="1"/>
  <c r="M646" i="1"/>
  <c r="N646" i="1"/>
  <c r="O646" i="1"/>
  <c r="P646" i="1"/>
  <c r="Q646" i="1"/>
  <c r="R646" i="1"/>
  <c r="S646" i="1"/>
  <c r="T646" i="1"/>
  <c r="U646" i="1"/>
  <c r="V646" i="1"/>
  <c r="AB646" i="1"/>
  <c r="AI646" i="1"/>
  <c r="AJ646" i="1"/>
  <c r="AK646" i="1"/>
  <c r="AP646" i="1"/>
  <c r="AR646" i="1"/>
  <c r="AY646" i="1"/>
  <c r="BE646" i="1"/>
  <c r="BF646" i="1"/>
  <c r="C647" i="1"/>
  <c r="E647" i="1"/>
  <c r="F647" i="1"/>
  <c r="G647" i="1"/>
  <c r="H647" i="1"/>
  <c r="L647" i="1"/>
  <c r="M647" i="1"/>
  <c r="N647" i="1"/>
  <c r="O647" i="1"/>
  <c r="P647" i="1"/>
  <c r="Q647" i="1"/>
  <c r="R647" i="1"/>
  <c r="S647" i="1"/>
  <c r="T647" i="1"/>
  <c r="U647" i="1"/>
  <c r="V647" i="1"/>
  <c r="AB647" i="1"/>
  <c r="AI647" i="1"/>
  <c r="AJ647" i="1"/>
  <c r="AK647" i="1"/>
  <c r="AP647" i="1"/>
  <c r="AR647" i="1"/>
  <c r="AY647" i="1"/>
  <c r="BE647" i="1"/>
  <c r="BF647" i="1"/>
  <c r="C648" i="1"/>
  <c r="E648" i="1"/>
  <c r="F648" i="1"/>
  <c r="G648" i="1"/>
  <c r="H648" i="1"/>
  <c r="L648" i="1"/>
  <c r="M648" i="1"/>
  <c r="N648" i="1"/>
  <c r="O648" i="1"/>
  <c r="P648" i="1"/>
  <c r="Q648" i="1"/>
  <c r="R648" i="1"/>
  <c r="S648" i="1"/>
  <c r="T648" i="1"/>
  <c r="U648" i="1"/>
  <c r="V648" i="1"/>
  <c r="AB648" i="1"/>
  <c r="AI648" i="1"/>
  <c r="AJ648" i="1"/>
  <c r="AK648" i="1"/>
  <c r="AP648" i="1"/>
  <c r="AR648" i="1"/>
  <c r="AY648" i="1"/>
  <c r="BE648" i="1"/>
  <c r="BF648" i="1"/>
  <c r="C649" i="1"/>
  <c r="E649" i="1"/>
  <c r="F649" i="1"/>
  <c r="G649" i="1"/>
  <c r="H649" i="1"/>
  <c r="L649" i="1"/>
  <c r="M649" i="1"/>
  <c r="N649" i="1"/>
  <c r="O649" i="1"/>
  <c r="P649" i="1"/>
  <c r="Q649" i="1"/>
  <c r="R649" i="1"/>
  <c r="S649" i="1"/>
  <c r="T649" i="1"/>
  <c r="U649" i="1"/>
  <c r="V649" i="1"/>
  <c r="AB649" i="1"/>
  <c r="AI649" i="1"/>
  <c r="AJ649" i="1"/>
  <c r="AK649" i="1"/>
  <c r="AP649" i="1"/>
  <c r="AR649" i="1"/>
  <c r="AY649" i="1"/>
  <c r="BE649" i="1"/>
  <c r="BF649" i="1"/>
  <c r="C650" i="1"/>
  <c r="E650" i="1"/>
  <c r="F650" i="1"/>
  <c r="G650" i="1"/>
  <c r="H650" i="1"/>
  <c r="L650" i="1"/>
  <c r="M650" i="1"/>
  <c r="N650" i="1"/>
  <c r="O650" i="1"/>
  <c r="P650" i="1"/>
  <c r="Q650" i="1"/>
  <c r="R650" i="1"/>
  <c r="S650" i="1"/>
  <c r="T650" i="1"/>
  <c r="U650" i="1"/>
  <c r="V650" i="1"/>
  <c r="AB650" i="1"/>
  <c r="AI650" i="1"/>
  <c r="AJ650" i="1"/>
  <c r="AK650" i="1"/>
  <c r="AP650" i="1"/>
  <c r="AR650" i="1"/>
  <c r="AY650" i="1"/>
  <c r="BE650" i="1"/>
  <c r="BF650" i="1"/>
  <c r="C651" i="1"/>
  <c r="E651" i="1"/>
  <c r="F651" i="1"/>
  <c r="G651" i="1"/>
  <c r="H651" i="1"/>
  <c r="L651" i="1"/>
  <c r="M651" i="1"/>
  <c r="N651" i="1"/>
  <c r="O651" i="1"/>
  <c r="P651" i="1"/>
  <c r="Q651" i="1"/>
  <c r="R651" i="1"/>
  <c r="S651" i="1"/>
  <c r="T651" i="1"/>
  <c r="U651" i="1"/>
  <c r="V651" i="1"/>
  <c r="AB651" i="1"/>
  <c r="AI651" i="1"/>
  <c r="AJ651" i="1"/>
  <c r="AK651" i="1"/>
  <c r="AP651" i="1"/>
  <c r="AR651" i="1"/>
  <c r="AY651" i="1"/>
  <c r="BE651" i="1"/>
  <c r="BF651" i="1"/>
  <c r="C652" i="1"/>
  <c r="E652" i="1"/>
  <c r="F652" i="1"/>
  <c r="G652" i="1"/>
  <c r="H652" i="1"/>
  <c r="L652" i="1"/>
  <c r="M652" i="1"/>
  <c r="N652" i="1"/>
  <c r="O652" i="1"/>
  <c r="P652" i="1"/>
  <c r="Q652" i="1"/>
  <c r="R652" i="1"/>
  <c r="S652" i="1"/>
  <c r="T652" i="1"/>
  <c r="U652" i="1"/>
  <c r="V652" i="1"/>
  <c r="AB652" i="1"/>
  <c r="AI652" i="1"/>
  <c r="AJ652" i="1"/>
  <c r="AK652" i="1"/>
  <c r="AP652" i="1"/>
  <c r="AR652" i="1"/>
  <c r="AY652" i="1"/>
  <c r="BE652" i="1"/>
  <c r="BF652" i="1"/>
  <c r="C653" i="1"/>
  <c r="E653" i="1"/>
  <c r="F653" i="1"/>
  <c r="G653" i="1"/>
  <c r="H653" i="1"/>
  <c r="L653" i="1"/>
  <c r="M653" i="1"/>
  <c r="N653" i="1"/>
  <c r="O653" i="1"/>
  <c r="P653" i="1"/>
  <c r="Q653" i="1"/>
  <c r="R653" i="1"/>
  <c r="S653" i="1"/>
  <c r="T653" i="1"/>
  <c r="U653" i="1"/>
  <c r="V653" i="1"/>
  <c r="AB653" i="1"/>
  <c r="AI653" i="1"/>
  <c r="AJ653" i="1"/>
  <c r="AK653" i="1"/>
  <c r="AP653" i="1"/>
  <c r="AR653" i="1"/>
  <c r="AY653" i="1"/>
  <c r="BE653" i="1"/>
  <c r="BF653" i="1"/>
  <c r="C654" i="1"/>
  <c r="E654" i="1"/>
  <c r="F654" i="1"/>
  <c r="G654" i="1"/>
  <c r="H654" i="1"/>
  <c r="L654" i="1"/>
  <c r="M654" i="1"/>
  <c r="N654" i="1"/>
  <c r="O654" i="1"/>
  <c r="P654" i="1"/>
  <c r="Q654" i="1"/>
  <c r="R654" i="1"/>
  <c r="S654" i="1"/>
  <c r="T654" i="1"/>
  <c r="U654" i="1"/>
  <c r="V654" i="1"/>
  <c r="AB654" i="1"/>
  <c r="AI654" i="1"/>
  <c r="AJ654" i="1"/>
  <c r="AK654" i="1"/>
  <c r="AP654" i="1"/>
  <c r="AR654" i="1"/>
  <c r="AY654" i="1"/>
  <c r="BE654" i="1"/>
  <c r="BF654" i="1"/>
  <c r="C655" i="1"/>
  <c r="E655" i="1"/>
  <c r="F655" i="1"/>
  <c r="G655" i="1"/>
  <c r="H655" i="1"/>
  <c r="L655" i="1"/>
  <c r="M655" i="1"/>
  <c r="N655" i="1"/>
  <c r="O655" i="1"/>
  <c r="P655" i="1"/>
  <c r="Q655" i="1"/>
  <c r="R655" i="1"/>
  <c r="S655" i="1"/>
  <c r="T655" i="1"/>
  <c r="U655" i="1"/>
  <c r="V655" i="1"/>
  <c r="AB655" i="1"/>
  <c r="AI655" i="1"/>
  <c r="AJ655" i="1"/>
  <c r="AK655" i="1"/>
  <c r="AP655" i="1"/>
  <c r="AR655" i="1"/>
  <c r="AY655" i="1"/>
  <c r="BE655" i="1"/>
  <c r="BF655" i="1"/>
  <c r="C656" i="1"/>
  <c r="E656" i="1"/>
  <c r="F656" i="1"/>
  <c r="G656" i="1"/>
  <c r="H656" i="1"/>
  <c r="L656" i="1"/>
  <c r="M656" i="1"/>
  <c r="N656" i="1"/>
  <c r="O656" i="1"/>
  <c r="P656" i="1"/>
  <c r="Q656" i="1"/>
  <c r="R656" i="1"/>
  <c r="S656" i="1"/>
  <c r="T656" i="1"/>
  <c r="U656" i="1"/>
  <c r="V656" i="1"/>
  <c r="AB656" i="1"/>
  <c r="AI656" i="1"/>
  <c r="AJ656" i="1"/>
  <c r="AK656" i="1"/>
  <c r="AP656" i="1"/>
  <c r="AR656" i="1"/>
  <c r="AY656" i="1"/>
  <c r="BE656" i="1"/>
  <c r="BF656" i="1"/>
  <c r="C657" i="1"/>
  <c r="E657" i="1"/>
  <c r="F657" i="1"/>
  <c r="G657" i="1"/>
  <c r="H657" i="1"/>
  <c r="L657" i="1"/>
  <c r="M657" i="1"/>
  <c r="N657" i="1"/>
  <c r="O657" i="1"/>
  <c r="P657" i="1"/>
  <c r="Q657" i="1"/>
  <c r="R657" i="1"/>
  <c r="S657" i="1"/>
  <c r="T657" i="1"/>
  <c r="U657" i="1"/>
  <c r="V657" i="1"/>
  <c r="AI657" i="1"/>
  <c r="AJ657" i="1"/>
  <c r="AK657" i="1"/>
  <c r="AP657" i="1"/>
  <c r="AR657" i="1"/>
  <c r="AY657" i="1"/>
  <c r="BE657" i="1"/>
  <c r="BF657" i="1"/>
  <c r="C658" i="1"/>
  <c r="E658" i="1"/>
  <c r="F658" i="1"/>
  <c r="G658" i="1"/>
  <c r="H658" i="1"/>
  <c r="L658" i="1"/>
  <c r="M658" i="1"/>
  <c r="N658" i="1"/>
  <c r="O658" i="1"/>
  <c r="P658" i="1"/>
  <c r="Q658" i="1"/>
  <c r="R658" i="1"/>
  <c r="S658" i="1"/>
  <c r="T658" i="1"/>
  <c r="U658" i="1"/>
  <c r="V658" i="1"/>
  <c r="AI658" i="1"/>
  <c r="AJ658" i="1"/>
  <c r="AK658" i="1"/>
  <c r="AP658" i="1"/>
  <c r="AR658" i="1"/>
  <c r="AY658" i="1"/>
  <c r="BE658" i="1"/>
  <c r="BF658" i="1"/>
  <c r="C659" i="1"/>
  <c r="E659" i="1"/>
  <c r="F659" i="1"/>
  <c r="G659" i="1"/>
  <c r="H659" i="1"/>
  <c r="L659" i="1"/>
  <c r="M659" i="1"/>
  <c r="N659" i="1"/>
  <c r="O659" i="1"/>
  <c r="P659" i="1"/>
  <c r="Q659" i="1"/>
  <c r="R659" i="1"/>
  <c r="S659" i="1"/>
  <c r="T659" i="1"/>
  <c r="U659" i="1"/>
  <c r="V659" i="1"/>
  <c r="AI659" i="1"/>
  <c r="AJ659" i="1"/>
  <c r="AK659" i="1"/>
  <c r="AP659" i="1"/>
  <c r="AR659" i="1"/>
  <c r="AY659" i="1"/>
  <c r="BE659" i="1"/>
  <c r="BF659" i="1"/>
  <c r="C660" i="1"/>
  <c r="E660" i="1"/>
  <c r="F660" i="1"/>
  <c r="G660" i="1"/>
  <c r="H660" i="1"/>
  <c r="L660" i="1"/>
  <c r="M660" i="1"/>
  <c r="N660" i="1"/>
  <c r="O660" i="1"/>
  <c r="P660" i="1"/>
  <c r="Q660" i="1"/>
  <c r="R660" i="1"/>
  <c r="S660" i="1"/>
  <c r="T660" i="1"/>
  <c r="U660" i="1"/>
  <c r="V660" i="1"/>
  <c r="AB660" i="1"/>
  <c r="AI660" i="1"/>
  <c r="AJ660" i="1"/>
  <c r="AK660" i="1"/>
  <c r="AP660" i="1"/>
  <c r="AR660" i="1"/>
  <c r="AY660" i="1"/>
  <c r="BE660" i="1"/>
  <c r="BF660" i="1"/>
  <c r="C661" i="1"/>
  <c r="E661" i="1"/>
  <c r="F661" i="1"/>
  <c r="G661" i="1"/>
  <c r="H661" i="1"/>
  <c r="L661" i="1"/>
  <c r="M661" i="1"/>
  <c r="N661" i="1"/>
  <c r="O661" i="1"/>
  <c r="P661" i="1"/>
  <c r="Q661" i="1"/>
  <c r="R661" i="1"/>
  <c r="S661" i="1"/>
  <c r="T661" i="1"/>
  <c r="U661" i="1"/>
  <c r="V661" i="1"/>
  <c r="AB661" i="1"/>
  <c r="AI661" i="1"/>
  <c r="AJ661" i="1"/>
  <c r="AK661" i="1"/>
  <c r="AP661" i="1"/>
  <c r="AR661" i="1"/>
  <c r="AY661" i="1"/>
  <c r="BE661" i="1"/>
  <c r="BF661" i="1"/>
  <c r="C662" i="1"/>
  <c r="E662" i="1"/>
  <c r="F662" i="1"/>
  <c r="G662" i="1"/>
  <c r="H662" i="1"/>
  <c r="L662" i="1"/>
  <c r="M662" i="1"/>
  <c r="N662" i="1"/>
  <c r="O662" i="1"/>
  <c r="P662" i="1"/>
  <c r="Q662" i="1"/>
  <c r="R662" i="1"/>
  <c r="S662" i="1"/>
  <c r="T662" i="1"/>
  <c r="U662" i="1"/>
  <c r="V662" i="1"/>
  <c r="AB662" i="1"/>
  <c r="AI662" i="1"/>
  <c r="AJ662" i="1"/>
  <c r="AK662" i="1"/>
  <c r="AP662" i="1"/>
  <c r="AR662" i="1"/>
  <c r="AY662" i="1"/>
  <c r="BE662" i="1"/>
  <c r="BF662" i="1"/>
  <c r="C663" i="1"/>
  <c r="E663" i="1"/>
  <c r="F663" i="1"/>
  <c r="G663" i="1"/>
  <c r="H663" i="1"/>
  <c r="L663" i="1"/>
  <c r="M663" i="1"/>
  <c r="N663" i="1"/>
  <c r="O663" i="1"/>
  <c r="P663" i="1"/>
  <c r="Q663" i="1"/>
  <c r="R663" i="1"/>
  <c r="S663" i="1"/>
  <c r="T663" i="1"/>
  <c r="U663" i="1"/>
  <c r="V663" i="1"/>
  <c r="AB663" i="1"/>
  <c r="AI663" i="1"/>
  <c r="AJ663" i="1"/>
  <c r="AK663" i="1"/>
  <c r="AP663" i="1"/>
  <c r="AR663" i="1"/>
  <c r="AY663" i="1"/>
  <c r="BE663" i="1"/>
  <c r="BF663" i="1"/>
  <c r="C664" i="1"/>
  <c r="E664" i="1"/>
  <c r="F664" i="1"/>
  <c r="G664" i="1"/>
  <c r="H664" i="1"/>
  <c r="L664" i="1"/>
  <c r="M664" i="1"/>
  <c r="N664" i="1"/>
  <c r="O664" i="1"/>
  <c r="P664" i="1"/>
  <c r="Q664" i="1"/>
  <c r="R664" i="1"/>
  <c r="S664" i="1"/>
  <c r="T664" i="1"/>
  <c r="U664" i="1"/>
  <c r="V664" i="1"/>
  <c r="AB664" i="1"/>
  <c r="AI664" i="1"/>
  <c r="AJ664" i="1"/>
  <c r="AK664" i="1"/>
  <c r="AP664" i="1"/>
  <c r="AR664" i="1"/>
  <c r="AY664" i="1"/>
  <c r="BE664" i="1"/>
  <c r="BF664" i="1"/>
  <c r="C665" i="1"/>
  <c r="E665" i="1"/>
  <c r="F665" i="1"/>
  <c r="G665" i="1"/>
  <c r="H665" i="1"/>
  <c r="L665" i="1"/>
  <c r="M665" i="1"/>
  <c r="N665" i="1"/>
  <c r="O665" i="1"/>
  <c r="P665" i="1"/>
  <c r="Q665" i="1"/>
  <c r="R665" i="1"/>
  <c r="S665" i="1"/>
  <c r="T665" i="1"/>
  <c r="U665" i="1"/>
  <c r="V665" i="1"/>
  <c r="AB665" i="1"/>
  <c r="AI665" i="1"/>
  <c r="AJ665" i="1"/>
  <c r="AK665" i="1"/>
  <c r="AP665" i="1"/>
  <c r="AR665" i="1"/>
  <c r="AY665" i="1"/>
  <c r="BE665" i="1"/>
  <c r="BF665" i="1"/>
  <c r="C666" i="1"/>
  <c r="E666" i="1"/>
  <c r="F666" i="1"/>
  <c r="G666" i="1"/>
  <c r="H666" i="1"/>
  <c r="L666" i="1"/>
  <c r="M666" i="1"/>
  <c r="N666" i="1"/>
  <c r="O666" i="1"/>
  <c r="P666" i="1"/>
  <c r="Q666" i="1"/>
  <c r="R666" i="1"/>
  <c r="S666" i="1"/>
  <c r="T666" i="1"/>
  <c r="U666" i="1"/>
  <c r="V666" i="1"/>
  <c r="AB666" i="1"/>
  <c r="AI666" i="1"/>
  <c r="AJ666" i="1"/>
  <c r="AK666" i="1"/>
  <c r="AP666" i="1"/>
  <c r="AR666" i="1"/>
  <c r="AY666" i="1"/>
  <c r="BE666" i="1"/>
  <c r="BF666" i="1"/>
  <c r="C667" i="1"/>
  <c r="E667" i="1"/>
  <c r="F667" i="1"/>
  <c r="G667" i="1"/>
  <c r="H667" i="1"/>
  <c r="L667" i="1"/>
  <c r="M667" i="1"/>
  <c r="N667" i="1"/>
  <c r="O667" i="1"/>
  <c r="P667" i="1"/>
  <c r="Q667" i="1"/>
  <c r="R667" i="1"/>
  <c r="S667" i="1"/>
  <c r="T667" i="1"/>
  <c r="U667" i="1"/>
  <c r="V667" i="1"/>
  <c r="AB667" i="1"/>
  <c r="AI667" i="1"/>
  <c r="AJ667" i="1"/>
  <c r="AK667" i="1"/>
  <c r="AP667" i="1"/>
  <c r="AR667" i="1"/>
  <c r="AY667" i="1"/>
  <c r="BE667" i="1"/>
  <c r="BF667" i="1"/>
  <c r="C668" i="1"/>
  <c r="E668" i="1"/>
  <c r="F668" i="1"/>
  <c r="G668" i="1"/>
  <c r="H668" i="1"/>
  <c r="L668" i="1"/>
  <c r="M668" i="1"/>
  <c r="N668" i="1"/>
  <c r="O668" i="1"/>
  <c r="P668" i="1"/>
  <c r="Q668" i="1"/>
  <c r="R668" i="1"/>
  <c r="S668" i="1"/>
  <c r="T668" i="1"/>
  <c r="U668" i="1"/>
  <c r="V668" i="1"/>
  <c r="AB668" i="1"/>
  <c r="AI668" i="1"/>
  <c r="AJ668" i="1"/>
  <c r="AK668" i="1"/>
  <c r="AP668" i="1"/>
  <c r="AR668" i="1"/>
  <c r="AY668" i="1"/>
  <c r="BE668" i="1"/>
  <c r="BF668" i="1"/>
  <c r="C669" i="1"/>
  <c r="E669" i="1"/>
  <c r="F669" i="1"/>
  <c r="G669" i="1"/>
  <c r="H669" i="1"/>
  <c r="L669" i="1"/>
  <c r="M669" i="1"/>
  <c r="N669" i="1"/>
  <c r="O669" i="1"/>
  <c r="P669" i="1"/>
  <c r="Q669" i="1"/>
  <c r="R669" i="1"/>
  <c r="S669" i="1"/>
  <c r="T669" i="1"/>
  <c r="U669" i="1"/>
  <c r="V669" i="1"/>
  <c r="AB669" i="1"/>
  <c r="AI669" i="1"/>
  <c r="AJ669" i="1"/>
  <c r="AK669" i="1"/>
  <c r="AP669" i="1"/>
  <c r="AR669" i="1"/>
  <c r="AY669" i="1"/>
  <c r="BE669" i="1"/>
  <c r="BF669" i="1"/>
  <c r="C670" i="1"/>
  <c r="E670" i="1"/>
  <c r="F670" i="1"/>
  <c r="G670" i="1"/>
  <c r="H670" i="1"/>
  <c r="L670" i="1"/>
  <c r="M670" i="1"/>
  <c r="N670" i="1"/>
  <c r="O670" i="1"/>
  <c r="P670" i="1"/>
  <c r="Q670" i="1"/>
  <c r="R670" i="1"/>
  <c r="S670" i="1"/>
  <c r="T670" i="1"/>
  <c r="U670" i="1"/>
  <c r="V670" i="1"/>
  <c r="AB670" i="1"/>
  <c r="AI670" i="1"/>
  <c r="AJ670" i="1"/>
  <c r="AK670" i="1"/>
  <c r="AP670" i="1"/>
  <c r="AR670" i="1"/>
  <c r="AY670" i="1"/>
  <c r="BE670" i="1"/>
  <c r="BF670" i="1"/>
  <c r="C671" i="1"/>
  <c r="E671" i="1"/>
  <c r="F671" i="1"/>
  <c r="G671" i="1"/>
  <c r="H671" i="1"/>
  <c r="L671" i="1"/>
  <c r="M671" i="1"/>
  <c r="N671" i="1"/>
  <c r="O671" i="1"/>
  <c r="P671" i="1"/>
  <c r="Q671" i="1"/>
  <c r="R671" i="1"/>
  <c r="S671" i="1"/>
  <c r="T671" i="1"/>
  <c r="U671" i="1"/>
  <c r="V671" i="1"/>
  <c r="AB671" i="1"/>
  <c r="AI671" i="1"/>
  <c r="AJ671" i="1"/>
  <c r="AK671" i="1"/>
  <c r="AP671" i="1"/>
  <c r="AR671" i="1"/>
  <c r="AY671" i="1"/>
  <c r="BE671" i="1"/>
  <c r="BF671" i="1"/>
  <c r="C672" i="1"/>
  <c r="E672" i="1"/>
  <c r="F672" i="1"/>
  <c r="G672" i="1"/>
  <c r="H672" i="1"/>
  <c r="L672" i="1"/>
  <c r="M672" i="1"/>
  <c r="N672" i="1"/>
  <c r="O672" i="1"/>
  <c r="P672" i="1"/>
  <c r="Q672" i="1"/>
  <c r="R672" i="1"/>
  <c r="S672" i="1"/>
  <c r="T672" i="1"/>
  <c r="U672" i="1"/>
  <c r="V672" i="1"/>
  <c r="AB672" i="1"/>
  <c r="AI672" i="1"/>
  <c r="AJ672" i="1"/>
  <c r="AK672" i="1"/>
  <c r="AP672" i="1"/>
  <c r="AR672" i="1"/>
  <c r="AY672" i="1"/>
  <c r="BE672" i="1"/>
  <c r="BF672" i="1"/>
  <c r="C673" i="1"/>
  <c r="E673" i="1"/>
  <c r="F673" i="1"/>
  <c r="G673" i="1"/>
  <c r="H673" i="1"/>
  <c r="L673" i="1"/>
  <c r="M673" i="1"/>
  <c r="N673" i="1"/>
  <c r="O673" i="1"/>
  <c r="P673" i="1"/>
  <c r="Q673" i="1"/>
  <c r="R673" i="1"/>
  <c r="S673" i="1"/>
  <c r="T673" i="1"/>
  <c r="U673" i="1"/>
  <c r="V673" i="1"/>
  <c r="AB673" i="1"/>
  <c r="AI673" i="1"/>
  <c r="AJ673" i="1"/>
  <c r="AK673" i="1"/>
  <c r="AP673" i="1"/>
  <c r="AR673" i="1"/>
  <c r="AY673" i="1"/>
  <c r="BE673" i="1"/>
  <c r="BF673" i="1"/>
  <c r="C674" i="1"/>
  <c r="E674" i="1"/>
  <c r="F674" i="1"/>
  <c r="G674" i="1"/>
  <c r="H674" i="1"/>
  <c r="L674" i="1"/>
  <c r="M674" i="1"/>
  <c r="N674" i="1"/>
  <c r="O674" i="1"/>
  <c r="P674" i="1"/>
  <c r="Q674" i="1"/>
  <c r="R674" i="1"/>
  <c r="S674" i="1"/>
  <c r="T674" i="1"/>
  <c r="U674" i="1"/>
  <c r="V674" i="1"/>
  <c r="AB674" i="1"/>
  <c r="AI674" i="1"/>
  <c r="AJ674" i="1"/>
  <c r="AK674" i="1"/>
  <c r="AP674" i="1"/>
  <c r="AR674" i="1"/>
  <c r="AY674" i="1"/>
  <c r="BE674" i="1"/>
  <c r="BF674" i="1"/>
  <c r="C675" i="1"/>
  <c r="E675" i="1"/>
  <c r="F675" i="1"/>
  <c r="G675" i="1"/>
  <c r="H675" i="1"/>
  <c r="L675" i="1"/>
  <c r="M675" i="1"/>
  <c r="N675" i="1"/>
  <c r="O675" i="1"/>
  <c r="P675" i="1"/>
  <c r="Q675" i="1"/>
  <c r="R675" i="1"/>
  <c r="S675" i="1"/>
  <c r="T675" i="1"/>
  <c r="U675" i="1"/>
  <c r="V675" i="1"/>
  <c r="AB675" i="1"/>
  <c r="AI675" i="1"/>
  <c r="AJ675" i="1"/>
  <c r="AK675" i="1"/>
  <c r="AP675" i="1"/>
  <c r="AR675" i="1"/>
  <c r="AY675" i="1"/>
  <c r="BE675" i="1"/>
  <c r="BF675" i="1"/>
  <c r="C676" i="1"/>
  <c r="E676" i="1"/>
  <c r="F676" i="1"/>
  <c r="G676" i="1"/>
  <c r="H676" i="1"/>
  <c r="L676" i="1"/>
  <c r="M676" i="1"/>
  <c r="N676" i="1"/>
  <c r="O676" i="1"/>
  <c r="P676" i="1"/>
  <c r="Q676" i="1"/>
  <c r="R676" i="1"/>
  <c r="S676" i="1"/>
  <c r="T676" i="1"/>
  <c r="U676" i="1"/>
  <c r="V676" i="1"/>
  <c r="AB676" i="1"/>
  <c r="AI676" i="1"/>
  <c r="AJ676" i="1"/>
  <c r="AK676" i="1"/>
  <c r="AP676" i="1"/>
  <c r="AR676" i="1"/>
  <c r="AY676" i="1"/>
  <c r="BE676" i="1"/>
  <c r="BF676" i="1"/>
  <c r="C677" i="1"/>
  <c r="E677" i="1"/>
  <c r="F677" i="1"/>
  <c r="G677" i="1"/>
  <c r="H677" i="1"/>
  <c r="L677" i="1"/>
  <c r="M677" i="1"/>
  <c r="N677" i="1"/>
  <c r="O677" i="1"/>
  <c r="P677" i="1"/>
  <c r="Q677" i="1"/>
  <c r="R677" i="1"/>
  <c r="S677" i="1"/>
  <c r="T677" i="1"/>
  <c r="U677" i="1"/>
  <c r="V677" i="1"/>
  <c r="AB677" i="1"/>
  <c r="AI677" i="1"/>
  <c r="AJ677" i="1"/>
  <c r="AK677" i="1"/>
  <c r="AP677" i="1"/>
  <c r="AR677" i="1"/>
  <c r="AY677" i="1"/>
  <c r="BE677" i="1"/>
  <c r="BF677" i="1"/>
  <c r="C678" i="1"/>
  <c r="E678" i="1"/>
  <c r="F678" i="1"/>
  <c r="G678" i="1"/>
  <c r="H678" i="1"/>
  <c r="L678" i="1"/>
  <c r="M678" i="1"/>
  <c r="N678" i="1"/>
  <c r="O678" i="1"/>
  <c r="P678" i="1"/>
  <c r="Q678" i="1"/>
  <c r="R678" i="1"/>
  <c r="S678" i="1"/>
  <c r="T678" i="1"/>
  <c r="U678" i="1"/>
  <c r="V678" i="1"/>
  <c r="AB678" i="1"/>
  <c r="AI678" i="1"/>
  <c r="AJ678" i="1"/>
  <c r="AK678" i="1"/>
  <c r="AP678" i="1"/>
  <c r="AR678" i="1"/>
  <c r="AY678" i="1"/>
  <c r="BE678" i="1"/>
  <c r="BF678" i="1"/>
  <c r="C679" i="1"/>
  <c r="E679" i="1"/>
  <c r="F679" i="1"/>
  <c r="G679" i="1"/>
  <c r="H679" i="1"/>
  <c r="L679" i="1"/>
  <c r="M679" i="1"/>
  <c r="N679" i="1"/>
  <c r="O679" i="1"/>
  <c r="P679" i="1"/>
  <c r="Q679" i="1"/>
  <c r="R679" i="1"/>
  <c r="S679" i="1"/>
  <c r="T679" i="1"/>
  <c r="U679" i="1"/>
  <c r="V679" i="1"/>
  <c r="AB679" i="1"/>
  <c r="AI679" i="1"/>
  <c r="AJ679" i="1"/>
  <c r="AK679" i="1"/>
  <c r="AP679" i="1"/>
  <c r="AR679" i="1"/>
  <c r="AY679" i="1"/>
  <c r="BE679" i="1"/>
  <c r="BF679" i="1"/>
  <c r="C680" i="1"/>
  <c r="E680" i="1"/>
  <c r="F680" i="1"/>
  <c r="G680" i="1"/>
  <c r="H680" i="1"/>
  <c r="L680" i="1"/>
  <c r="M680" i="1"/>
  <c r="N680" i="1"/>
  <c r="O680" i="1"/>
  <c r="P680" i="1"/>
  <c r="Q680" i="1"/>
  <c r="R680" i="1"/>
  <c r="S680" i="1"/>
  <c r="T680" i="1"/>
  <c r="U680" i="1"/>
  <c r="V680" i="1"/>
  <c r="AB680" i="1"/>
  <c r="AI680" i="1"/>
  <c r="AJ680" i="1"/>
  <c r="AK680" i="1"/>
  <c r="AP680" i="1"/>
  <c r="AR680" i="1"/>
  <c r="AY680" i="1"/>
  <c r="BE680" i="1"/>
  <c r="BF680" i="1"/>
  <c r="C681" i="1"/>
  <c r="E681" i="1"/>
  <c r="F681" i="1"/>
  <c r="G681" i="1"/>
  <c r="H681" i="1"/>
  <c r="L681" i="1"/>
  <c r="M681" i="1"/>
  <c r="N681" i="1"/>
  <c r="O681" i="1"/>
  <c r="P681" i="1"/>
  <c r="Q681" i="1"/>
  <c r="R681" i="1"/>
  <c r="S681" i="1"/>
  <c r="T681" i="1"/>
  <c r="U681" i="1"/>
  <c r="V681" i="1"/>
  <c r="AB681" i="1"/>
  <c r="AI681" i="1"/>
  <c r="AJ681" i="1"/>
  <c r="AK681" i="1"/>
  <c r="AP681" i="1"/>
  <c r="AR681" i="1"/>
  <c r="AY681" i="1"/>
  <c r="BE681" i="1"/>
  <c r="BF681" i="1"/>
  <c r="C682" i="1"/>
  <c r="E682" i="1"/>
  <c r="F682" i="1"/>
  <c r="G682" i="1"/>
  <c r="H682" i="1"/>
  <c r="L682" i="1"/>
  <c r="M682" i="1"/>
  <c r="N682" i="1"/>
  <c r="O682" i="1"/>
  <c r="P682" i="1"/>
  <c r="Q682" i="1"/>
  <c r="R682" i="1"/>
  <c r="S682" i="1"/>
  <c r="T682" i="1"/>
  <c r="U682" i="1"/>
  <c r="V682" i="1"/>
  <c r="AB682" i="1"/>
  <c r="AI682" i="1"/>
  <c r="AJ682" i="1"/>
  <c r="AK682" i="1"/>
  <c r="AP682" i="1"/>
  <c r="AR682" i="1"/>
  <c r="AY682" i="1"/>
  <c r="BE682" i="1"/>
  <c r="BF682" i="1"/>
  <c r="C683" i="1"/>
  <c r="E683" i="1"/>
  <c r="F683" i="1"/>
  <c r="G683" i="1"/>
  <c r="H683" i="1"/>
  <c r="L683" i="1"/>
  <c r="M683" i="1"/>
  <c r="N683" i="1"/>
  <c r="O683" i="1"/>
  <c r="P683" i="1"/>
  <c r="Q683" i="1"/>
  <c r="R683" i="1"/>
  <c r="S683" i="1"/>
  <c r="T683" i="1"/>
  <c r="U683" i="1"/>
  <c r="V683" i="1"/>
  <c r="AB683" i="1"/>
  <c r="AI683" i="1"/>
  <c r="AJ683" i="1"/>
  <c r="AK683" i="1"/>
  <c r="AP683" i="1"/>
  <c r="AR683" i="1"/>
  <c r="AY683" i="1"/>
  <c r="BE683" i="1"/>
  <c r="BF683" i="1"/>
  <c r="C684" i="1"/>
  <c r="E684" i="1"/>
  <c r="F684" i="1"/>
  <c r="G684" i="1"/>
  <c r="H684" i="1"/>
  <c r="L684" i="1"/>
  <c r="M684" i="1"/>
  <c r="N684" i="1"/>
  <c r="O684" i="1"/>
  <c r="P684" i="1"/>
  <c r="Q684" i="1"/>
  <c r="R684" i="1"/>
  <c r="S684" i="1"/>
  <c r="T684" i="1"/>
  <c r="U684" i="1"/>
  <c r="V684" i="1"/>
  <c r="AB684" i="1"/>
  <c r="AI684" i="1"/>
  <c r="AJ684" i="1"/>
  <c r="AK684" i="1"/>
  <c r="AP684" i="1"/>
  <c r="AR684" i="1"/>
  <c r="AY684" i="1"/>
  <c r="BE684" i="1"/>
  <c r="BF684" i="1"/>
  <c r="C685" i="1"/>
  <c r="E685" i="1"/>
  <c r="F685" i="1"/>
  <c r="G685" i="1"/>
  <c r="H685" i="1"/>
  <c r="L685" i="1"/>
  <c r="M685" i="1"/>
  <c r="N685" i="1"/>
  <c r="O685" i="1"/>
  <c r="P685" i="1"/>
  <c r="Q685" i="1"/>
  <c r="R685" i="1"/>
  <c r="S685" i="1"/>
  <c r="T685" i="1"/>
  <c r="U685" i="1"/>
  <c r="V685" i="1"/>
  <c r="AB685" i="1"/>
  <c r="AI685" i="1"/>
  <c r="AJ685" i="1"/>
  <c r="AK685" i="1"/>
  <c r="AP685" i="1"/>
  <c r="AR685" i="1"/>
  <c r="AY685" i="1"/>
  <c r="BE685" i="1"/>
  <c r="BF685" i="1"/>
  <c r="C686" i="1"/>
  <c r="E686" i="1"/>
  <c r="F686" i="1"/>
  <c r="G686" i="1"/>
  <c r="H686" i="1"/>
  <c r="L686" i="1"/>
  <c r="M686" i="1"/>
  <c r="N686" i="1"/>
  <c r="O686" i="1"/>
  <c r="P686" i="1"/>
  <c r="Q686" i="1"/>
  <c r="R686" i="1"/>
  <c r="S686" i="1"/>
  <c r="T686" i="1"/>
  <c r="U686" i="1"/>
  <c r="V686" i="1"/>
  <c r="AB686" i="1"/>
  <c r="AI686" i="1"/>
  <c r="AJ686" i="1"/>
  <c r="AK686" i="1"/>
  <c r="AP686" i="1"/>
  <c r="AR686" i="1"/>
  <c r="AY686" i="1"/>
  <c r="BE686" i="1"/>
  <c r="BF686" i="1"/>
  <c r="C687" i="1"/>
  <c r="E687" i="1"/>
  <c r="F687" i="1"/>
  <c r="G687" i="1"/>
  <c r="H687" i="1"/>
  <c r="L687" i="1"/>
  <c r="M687" i="1"/>
  <c r="N687" i="1"/>
  <c r="O687" i="1"/>
  <c r="P687" i="1"/>
  <c r="Q687" i="1"/>
  <c r="R687" i="1"/>
  <c r="S687" i="1"/>
  <c r="T687" i="1"/>
  <c r="U687" i="1"/>
  <c r="V687" i="1"/>
  <c r="AB687" i="1"/>
  <c r="AI687" i="1"/>
  <c r="AJ687" i="1"/>
  <c r="AK687" i="1"/>
  <c r="AP687" i="1"/>
  <c r="AR687" i="1"/>
  <c r="AY687" i="1"/>
  <c r="BE687" i="1"/>
  <c r="BF687" i="1"/>
  <c r="C688" i="1"/>
  <c r="E688" i="1"/>
  <c r="F688" i="1"/>
  <c r="G688" i="1"/>
  <c r="H688" i="1"/>
  <c r="L688" i="1"/>
  <c r="M688" i="1"/>
  <c r="N688" i="1"/>
  <c r="O688" i="1"/>
  <c r="P688" i="1"/>
  <c r="Q688" i="1"/>
  <c r="R688" i="1"/>
  <c r="S688" i="1"/>
  <c r="T688" i="1"/>
  <c r="U688" i="1"/>
  <c r="V688" i="1"/>
  <c r="AB688" i="1"/>
  <c r="AI688" i="1"/>
  <c r="AJ688" i="1"/>
  <c r="AK688" i="1"/>
  <c r="AP688" i="1"/>
  <c r="AR688" i="1"/>
  <c r="AY688" i="1"/>
  <c r="BE688" i="1"/>
  <c r="BF688" i="1"/>
  <c r="C689" i="1"/>
  <c r="E689" i="1"/>
  <c r="F689" i="1"/>
  <c r="G689" i="1"/>
  <c r="H689" i="1"/>
  <c r="L689" i="1"/>
  <c r="M689" i="1"/>
  <c r="N689" i="1"/>
  <c r="O689" i="1"/>
  <c r="P689" i="1"/>
  <c r="Q689" i="1"/>
  <c r="R689" i="1"/>
  <c r="S689" i="1"/>
  <c r="T689" i="1"/>
  <c r="U689" i="1"/>
  <c r="V689" i="1"/>
  <c r="AB689" i="1"/>
  <c r="AI689" i="1"/>
  <c r="AJ689" i="1"/>
  <c r="AK689" i="1"/>
  <c r="AP689" i="1"/>
  <c r="AR689" i="1"/>
  <c r="AY689" i="1"/>
  <c r="BE689" i="1"/>
  <c r="BF689" i="1"/>
  <c r="C690" i="1"/>
  <c r="E690" i="1"/>
  <c r="F690" i="1"/>
  <c r="G690" i="1"/>
  <c r="H690" i="1"/>
  <c r="L690" i="1"/>
  <c r="M690" i="1"/>
  <c r="N690" i="1"/>
  <c r="O690" i="1"/>
  <c r="P690" i="1"/>
  <c r="Q690" i="1"/>
  <c r="R690" i="1"/>
  <c r="S690" i="1"/>
  <c r="T690" i="1"/>
  <c r="U690" i="1"/>
  <c r="V690" i="1"/>
  <c r="AB690" i="1"/>
  <c r="AI690" i="1"/>
  <c r="AJ690" i="1"/>
  <c r="AK690" i="1"/>
  <c r="AP690" i="1"/>
  <c r="AR690" i="1"/>
  <c r="AY690" i="1"/>
  <c r="BE690" i="1"/>
  <c r="BF690" i="1"/>
  <c r="C691" i="1"/>
  <c r="E691" i="1"/>
  <c r="F691" i="1"/>
  <c r="G691" i="1"/>
  <c r="H691" i="1"/>
  <c r="L691" i="1"/>
  <c r="M691" i="1"/>
  <c r="N691" i="1"/>
  <c r="O691" i="1"/>
  <c r="P691" i="1"/>
  <c r="Q691" i="1"/>
  <c r="R691" i="1"/>
  <c r="S691" i="1"/>
  <c r="T691" i="1"/>
  <c r="U691" i="1"/>
  <c r="V691" i="1"/>
  <c r="AB691" i="1"/>
  <c r="AI691" i="1"/>
  <c r="AJ691" i="1"/>
  <c r="AK691" i="1"/>
  <c r="AP691" i="1"/>
  <c r="AR691" i="1"/>
  <c r="AY691" i="1"/>
  <c r="BE691" i="1"/>
  <c r="BF691" i="1"/>
  <c r="C692" i="1"/>
  <c r="E692" i="1"/>
  <c r="F692" i="1"/>
  <c r="G692" i="1"/>
  <c r="H692" i="1"/>
  <c r="L692" i="1"/>
  <c r="M692" i="1"/>
  <c r="N692" i="1"/>
  <c r="O692" i="1"/>
  <c r="P692" i="1"/>
  <c r="Q692" i="1"/>
  <c r="R692" i="1"/>
  <c r="S692" i="1"/>
  <c r="T692" i="1"/>
  <c r="U692" i="1"/>
  <c r="V692" i="1"/>
  <c r="AB692" i="1"/>
  <c r="AI692" i="1"/>
  <c r="AJ692" i="1"/>
  <c r="AK692" i="1"/>
  <c r="AP692" i="1"/>
  <c r="AR692" i="1"/>
  <c r="AY692" i="1"/>
  <c r="BE692" i="1"/>
  <c r="BF692" i="1"/>
  <c r="C693" i="1"/>
  <c r="E693" i="1"/>
  <c r="F693" i="1"/>
  <c r="G693" i="1"/>
  <c r="H693" i="1"/>
  <c r="L693" i="1"/>
  <c r="M693" i="1"/>
  <c r="N693" i="1"/>
  <c r="O693" i="1"/>
  <c r="P693" i="1"/>
  <c r="Q693" i="1"/>
  <c r="R693" i="1"/>
  <c r="S693" i="1"/>
  <c r="T693" i="1"/>
  <c r="U693" i="1"/>
  <c r="V693" i="1"/>
  <c r="AB693" i="1"/>
  <c r="AI693" i="1"/>
  <c r="AJ693" i="1"/>
  <c r="AK693" i="1"/>
  <c r="AP693" i="1"/>
  <c r="AR693" i="1"/>
  <c r="AY693" i="1"/>
  <c r="BE693" i="1"/>
  <c r="BF693" i="1"/>
  <c r="C694" i="1"/>
  <c r="E694" i="1"/>
  <c r="F694" i="1"/>
  <c r="G694" i="1"/>
  <c r="H694" i="1"/>
  <c r="L694" i="1"/>
  <c r="M694" i="1"/>
  <c r="N694" i="1"/>
  <c r="O694" i="1"/>
  <c r="P694" i="1"/>
  <c r="Q694" i="1"/>
  <c r="R694" i="1"/>
  <c r="S694" i="1"/>
  <c r="T694" i="1"/>
  <c r="U694" i="1"/>
  <c r="V694" i="1"/>
  <c r="AB694" i="1"/>
  <c r="AI694" i="1"/>
  <c r="AJ694" i="1"/>
  <c r="AK694" i="1"/>
  <c r="AP694" i="1"/>
  <c r="AR694" i="1"/>
  <c r="AY694" i="1"/>
  <c r="BE694" i="1"/>
  <c r="BF694" i="1"/>
  <c r="C695" i="1"/>
  <c r="E695" i="1"/>
  <c r="F695" i="1"/>
  <c r="G695" i="1"/>
  <c r="H695" i="1"/>
  <c r="L695" i="1"/>
  <c r="M695" i="1"/>
  <c r="N695" i="1"/>
  <c r="O695" i="1"/>
  <c r="P695" i="1"/>
  <c r="Q695" i="1"/>
  <c r="R695" i="1"/>
  <c r="S695" i="1"/>
  <c r="T695" i="1"/>
  <c r="U695" i="1"/>
  <c r="V695" i="1"/>
  <c r="AB695" i="1"/>
  <c r="AI695" i="1"/>
  <c r="AJ695" i="1"/>
  <c r="AK695" i="1"/>
  <c r="AP695" i="1"/>
  <c r="AR695" i="1"/>
  <c r="AY695" i="1"/>
  <c r="BE695" i="1"/>
  <c r="BF695" i="1"/>
  <c r="C696" i="1"/>
  <c r="E696" i="1"/>
  <c r="F696" i="1"/>
  <c r="G696" i="1"/>
  <c r="H696" i="1"/>
  <c r="L696" i="1"/>
  <c r="M696" i="1"/>
  <c r="N696" i="1"/>
  <c r="O696" i="1"/>
  <c r="P696" i="1"/>
  <c r="Q696" i="1"/>
  <c r="R696" i="1"/>
  <c r="S696" i="1"/>
  <c r="T696" i="1"/>
  <c r="U696" i="1"/>
  <c r="V696" i="1"/>
  <c r="AB696" i="1"/>
  <c r="AI696" i="1"/>
  <c r="AJ696" i="1"/>
  <c r="AK696" i="1"/>
  <c r="AP696" i="1"/>
  <c r="AR696" i="1"/>
  <c r="AY696" i="1"/>
  <c r="BE696" i="1"/>
  <c r="BF696" i="1"/>
  <c r="C697" i="1"/>
  <c r="E697" i="1"/>
  <c r="F697" i="1"/>
  <c r="G697" i="1"/>
  <c r="H697" i="1"/>
  <c r="L697" i="1"/>
  <c r="M697" i="1"/>
  <c r="N697" i="1"/>
  <c r="O697" i="1"/>
  <c r="P697" i="1"/>
  <c r="Q697" i="1"/>
  <c r="R697" i="1"/>
  <c r="S697" i="1"/>
  <c r="T697" i="1"/>
  <c r="U697" i="1"/>
  <c r="V697" i="1"/>
  <c r="AB697" i="1"/>
  <c r="AI697" i="1"/>
  <c r="AJ697" i="1"/>
  <c r="AK697" i="1"/>
  <c r="AP697" i="1"/>
  <c r="AR697" i="1"/>
  <c r="AY697" i="1"/>
  <c r="BE697" i="1"/>
  <c r="BF697" i="1"/>
  <c r="C698" i="1"/>
  <c r="E698" i="1"/>
  <c r="F698" i="1"/>
  <c r="G698" i="1"/>
  <c r="H698" i="1"/>
  <c r="L698" i="1"/>
  <c r="M698" i="1"/>
  <c r="N698" i="1"/>
  <c r="O698" i="1"/>
  <c r="P698" i="1"/>
  <c r="Q698" i="1"/>
  <c r="R698" i="1"/>
  <c r="S698" i="1"/>
  <c r="T698" i="1"/>
  <c r="U698" i="1"/>
  <c r="V698" i="1"/>
  <c r="AB698" i="1"/>
  <c r="AI698" i="1"/>
  <c r="AJ698" i="1"/>
  <c r="AK698" i="1"/>
  <c r="AP698" i="1"/>
  <c r="AR698" i="1"/>
  <c r="AY698" i="1"/>
  <c r="BE698" i="1"/>
  <c r="BF698" i="1"/>
  <c r="C699" i="1"/>
  <c r="E699" i="1"/>
  <c r="F699" i="1"/>
  <c r="G699" i="1"/>
  <c r="H699" i="1"/>
  <c r="L699" i="1"/>
  <c r="M699" i="1"/>
  <c r="N699" i="1"/>
  <c r="O699" i="1"/>
  <c r="P699" i="1"/>
  <c r="Q699" i="1"/>
  <c r="R699" i="1"/>
  <c r="S699" i="1"/>
  <c r="T699" i="1"/>
  <c r="U699" i="1"/>
  <c r="V699" i="1"/>
  <c r="AB699" i="1"/>
  <c r="AI699" i="1"/>
  <c r="AJ699" i="1"/>
  <c r="AK699" i="1"/>
  <c r="AP699" i="1"/>
  <c r="AR699" i="1"/>
  <c r="AY699" i="1"/>
  <c r="BE699" i="1"/>
  <c r="BF699" i="1"/>
  <c r="C700" i="1"/>
  <c r="E700" i="1"/>
  <c r="F700" i="1"/>
  <c r="G700" i="1"/>
  <c r="H700" i="1"/>
  <c r="L700" i="1"/>
  <c r="M700" i="1"/>
  <c r="N700" i="1"/>
  <c r="O700" i="1"/>
  <c r="P700" i="1"/>
  <c r="Q700" i="1"/>
  <c r="R700" i="1"/>
  <c r="S700" i="1"/>
  <c r="T700" i="1"/>
  <c r="U700" i="1"/>
  <c r="V700" i="1"/>
  <c r="AB700" i="1"/>
  <c r="AI700" i="1"/>
  <c r="AJ700" i="1"/>
  <c r="AK700" i="1"/>
  <c r="AP700" i="1"/>
  <c r="AR700" i="1"/>
  <c r="AY700" i="1"/>
  <c r="BE700" i="1"/>
  <c r="BF700" i="1"/>
  <c r="C701" i="1"/>
  <c r="E701" i="1"/>
  <c r="F701" i="1"/>
  <c r="G701" i="1"/>
  <c r="H701" i="1"/>
  <c r="L701" i="1"/>
  <c r="M701" i="1"/>
  <c r="N701" i="1"/>
  <c r="O701" i="1"/>
  <c r="P701" i="1"/>
  <c r="Q701" i="1"/>
  <c r="R701" i="1"/>
  <c r="S701" i="1"/>
  <c r="T701" i="1"/>
  <c r="U701" i="1"/>
  <c r="V701" i="1"/>
  <c r="AB701" i="1"/>
  <c r="AI701" i="1"/>
  <c r="AJ701" i="1"/>
  <c r="AK701" i="1"/>
  <c r="AP701" i="1"/>
  <c r="AR701" i="1"/>
  <c r="AY701" i="1"/>
  <c r="BE701" i="1"/>
  <c r="BF701" i="1"/>
  <c r="C702" i="1"/>
  <c r="E702" i="1"/>
  <c r="F702" i="1"/>
  <c r="G702" i="1"/>
  <c r="H702" i="1"/>
  <c r="L702" i="1"/>
  <c r="M702" i="1"/>
  <c r="N702" i="1"/>
  <c r="O702" i="1"/>
  <c r="P702" i="1"/>
  <c r="Q702" i="1"/>
  <c r="R702" i="1"/>
  <c r="S702" i="1"/>
  <c r="T702" i="1"/>
  <c r="U702" i="1"/>
  <c r="V702" i="1"/>
  <c r="AB702" i="1"/>
  <c r="AI702" i="1"/>
  <c r="AJ702" i="1"/>
  <c r="AK702" i="1"/>
  <c r="AP702" i="1"/>
  <c r="AR702" i="1"/>
  <c r="AY702" i="1"/>
  <c r="BE702" i="1"/>
  <c r="BF702" i="1"/>
  <c r="C703" i="1"/>
  <c r="E703" i="1"/>
  <c r="F703" i="1"/>
  <c r="G703" i="1"/>
  <c r="H703" i="1"/>
  <c r="L703" i="1"/>
  <c r="M703" i="1"/>
  <c r="N703" i="1"/>
  <c r="O703" i="1"/>
  <c r="P703" i="1"/>
  <c r="Q703" i="1"/>
  <c r="R703" i="1"/>
  <c r="S703" i="1"/>
  <c r="T703" i="1"/>
  <c r="U703" i="1"/>
  <c r="V703" i="1"/>
  <c r="AB703" i="1"/>
  <c r="AI703" i="1"/>
  <c r="AJ703" i="1"/>
  <c r="AK703" i="1"/>
  <c r="AP703" i="1"/>
  <c r="AR703" i="1"/>
  <c r="AY703" i="1"/>
  <c r="BE703" i="1"/>
  <c r="BF703" i="1"/>
  <c r="C704" i="1"/>
  <c r="E704" i="1"/>
  <c r="F704" i="1"/>
  <c r="G704" i="1"/>
  <c r="H704" i="1"/>
  <c r="L704" i="1"/>
  <c r="M704" i="1"/>
  <c r="N704" i="1"/>
  <c r="O704" i="1"/>
  <c r="P704" i="1"/>
  <c r="Q704" i="1"/>
  <c r="R704" i="1"/>
  <c r="S704" i="1"/>
  <c r="T704" i="1"/>
  <c r="U704" i="1"/>
  <c r="V704" i="1"/>
  <c r="AB704" i="1"/>
  <c r="AI704" i="1"/>
  <c r="AJ704" i="1"/>
  <c r="AK704" i="1"/>
  <c r="AP704" i="1"/>
  <c r="AR704" i="1"/>
  <c r="AY704" i="1"/>
  <c r="BE704" i="1"/>
  <c r="BF704" i="1"/>
  <c r="C705" i="1"/>
  <c r="E705" i="1"/>
  <c r="F705" i="1"/>
  <c r="G705" i="1"/>
  <c r="H705" i="1"/>
  <c r="L705" i="1"/>
  <c r="M705" i="1"/>
  <c r="N705" i="1"/>
  <c r="O705" i="1"/>
  <c r="P705" i="1"/>
  <c r="Q705" i="1"/>
  <c r="R705" i="1"/>
  <c r="S705" i="1"/>
  <c r="T705" i="1"/>
  <c r="U705" i="1"/>
  <c r="V705" i="1"/>
  <c r="AB705" i="1"/>
  <c r="AI705" i="1"/>
  <c r="AJ705" i="1"/>
  <c r="AK705" i="1"/>
  <c r="AP705" i="1"/>
  <c r="AR705" i="1"/>
  <c r="AY705" i="1"/>
  <c r="BE705" i="1"/>
  <c r="BF705" i="1"/>
  <c r="C706" i="1"/>
  <c r="E706" i="1"/>
  <c r="F706" i="1"/>
  <c r="G706" i="1"/>
  <c r="H706" i="1"/>
  <c r="L706" i="1"/>
  <c r="M706" i="1"/>
  <c r="N706" i="1"/>
  <c r="O706" i="1"/>
  <c r="P706" i="1"/>
  <c r="Q706" i="1"/>
  <c r="R706" i="1"/>
  <c r="S706" i="1"/>
  <c r="T706" i="1"/>
  <c r="U706" i="1"/>
  <c r="V706" i="1"/>
  <c r="AB706" i="1"/>
  <c r="AI706" i="1"/>
  <c r="AJ706" i="1"/>
  <c r="AK706" i="1"/>
  <c r="AP706" i="1"/>
  <c r="AR706" i="1"/>
  <c r="AY706" i="1"/>
  <c r="BE706" i="1"/>
  <c r="BF706" i="1"/>
  <c r="C707" i="1"/>
  <c r="E707" i="1"/>
  <c r="F707" i="1"/>
  <c r="G707" i="1"/>
  <c r="H707" i="1"/>
  <c r="L707" i="1"/>
  <c r="M707" i="1"/>
  <c r="N707" i="1"/>
  <c r="O707" i="1"/>
  <c r="P707" i="1"/>
  <c r="Q707" i="1"/>
  <c r="R707" i="1"/>
  <c r="S707" i="1"/>
  <c r="T707" i="1"/>
  <c r="U707" i="1"/>
  <c r="V707" i="1"/>
  <c r="AB707" i="1"/>
  <c r="AI707" i="1"/>
  <c r="AJ707" i="1"/>
  <c r="AK707" i="1"/>
  <c r="AP707" i="1"/>
  <c r="AR707" i="1"/>
  <c r="AY707" i="1"/>
  <c r="BE707" i="1"/>
  <c r="BF707" i="1"/>
  <c r="C708" i="1"/>
  <c r="E708" i="1"/>
  <c r="F708" i="1"/>
  <c r="G708" i="1"/>
  <c r="H708" i="1"/>
  <c r="L708" i="1"/>
  <c r="M708" i="1"/>
  <c r="N708" i="1"/>
  <c r="O708" i="1"/>
  <c r="P708" i="1"/>
  <c r="Q708" i="1"/>
  <c r="R708" i="1"/>
  <c r="S708" i="1"/>
  <c r="T708" i="1"/>
  <c r="U708" i="1"/>
  <c r="V708" i="1"/>
  <c r="AB708" i="1"/>
  <c r="AI708" i="1"/>
  <c r="AJ708" i="1"/>
  <c r="AK708" i="1"/>
  <c r="AP708" i="1"/>
  <c r="AR708" i="1"/>
  <c r="AY708" i="1"/>
  <c r="BE708" i="1"/>
  <c r="BF708" i="1"/>
  <c r="C709" i="1"/>
  <c r="E709" i="1"/>
  <c r="F709" i="1"/>
  <c r="G709" i="1"/>
  <c r="H709" i="1"/>
  <c r="L709" i="1"/>
  <c r="M709" i="1"/>
  <c r="N709" i="1"/>
  <c r="O709" i="1"/>
  <c r="P709" i="1"/>
  <c r="Q709" i="1"/>
  <c r="R709" i="1"/>
  <c r="S709" i="1"/>
  <c r="T709" i="1"/>
  <c r="U709" i="1"/>
  <c r="V709" i="1"/>
  <c r="AB709" i="1"/>
  <c r="AI709" i="1"/>
  <c r="AJ709" i="1"/>
  <c r="AK709" i="1"/>
  <c r="AP709" i="1"/>
  <c r="AR709" i="1"/>
  <c r="AY709" i="1"/>
  <c r="BE709" i="1"/>
  <c r="BF709" i="1"/>
  <c r="C710" i="1"/>
  <c r="E710" i="1"/>
  <c r="F710" i="1"/>
  <c r="G710" i="1"/>
  <c r="H710" i="1"/>
  <c r="L710" i="1"/>
  <c r="M710" i="1"/>
  <c r="N710" i="1"/>
  <c r="O710" i="1"/>
  <c r="P710" i="1"/>
  <c r="Q710" i="1"/>
  <c r="R710" i="1"/>
  <c r="S710" i="1"/>
  <c r="T710" i="1"/>
  <c r="U710" i="1"/>
  <c r="V710" i="1"/>
  <c r="AB710" i="1"/>
  <c r="AI710" i="1"/>
  <c r="AJ710" i="1"/>
  <c r="AK710" i="1"/>
  <c r="AP710" i="1"/>
  <c r="AR710" i="1"/>
  <c r="AY710" i="1"/>
  <c r="BE710" i="1"/>
  <c r="BF710" i="1"/>
  <c r="C711" i="1"/>
  <c r="E711" i="1"/>
  <c r="F711" i="1"/>
  <c r="G711" i="1"/>
  <c r="H711" i="1"/>
  <c r="L711" i="1"/>
  <c r="M711" i="1"/>
  <c r="N711" i="1"/>
  <c r="O711" i="1"/>
  <c r="P711" i="1"/>
  <c r="Q711" i="1"/>
  <c r="R711" i="1"/>
  <c r="S711" i="1"/>
  <c r="T711" i="1"/>
  <c r="U711" i="1"/>
  <c r="V711" i="1"/>
  <c r="AB711" i="1"/>
  <c r="AI711" i="1"/>
  <c r="AJ711" i="1"/>
  <c r="AK711" i="1"/>
  <c r="AP711" i="1"/>
  <c r="AR711" i="1"/>
  <c r="AY711" i="1"/>
  <c r="BE711" i="1"/>
  <c r="BF711" i="1"/>
  <c r="C712" i="1"/>
  <c r="E712" i="1"/>
  <c r="F712" i="1"/>
  <c r="G712" i="1"/>
  <c r="H712" i="1"/>
  <c r="L712" i="1"/>
  <c r="M712" i="1"/>
  <c r="N712" i="1"/>
  <c r="O712" i="1"/>
  <c r="P712" i="1"/>
  <c r="Q712" i="1"/>
  <c r="R712" i="1"/>
  <c r="S712" i="1"/>
  <c r="T712" i="1"/>
  <c r="U712" i="1"/>
  <c r="V712" i="1"/>
  <c r="AB712" i="1"/>
  <c r="AI712" i="1"/>
  <c r="AJ712" i="1"/>
  <c r="AK712" i="1"/>
  <c r="AP712" i="1"/>
  <c r="AR712" i="1"/>
  <c r="AY712" i="1"/>
  <c r="BE712" i="1"/>
  <c r="BF712" i="1"/>
  <c r="C713" i="1"/>
  <c r="E713" i="1"/>
  <c r="F713" i="1"/>
  <c r="G713" i="1"/>
  <c r="H713" i="1"/>
  <c r="L713" i="1"/>
  <c r="M713" i="1"/>
  <c r="N713" i="1"/>
  <c r="O713" i="1"/>
  <c r="P713" i="1"/>
  <c r="Q713" i="1"/>
  <c r="R713" i="1"/>
  <c r="S713" i="1"/>
  <c r="T713" i="1"/>
  <c r="U713" i="1"/>
  <c r="V713" i="1"/>
  <c r="AB713" i="1"/>
  <c r="AI713" i="1"/>
  <c r="AJ713" i="1"/>
  <c r="AK713" i="1"/>
  <c r="AP713" i="1"/>
  <c r="AR713" i="1"/>
  <c r="AY713" i="1"/>
  <c r="BE713" i="1"/>
  <c r="BF713" i="1"/>
  <c r="C714" i="1"/>
  <c r="E714" i="1"/>
  <c r="F714" i="1"/>
  <c r="G714" i="1"/>
  <c r="H714" i="1"/>
  <c r="L714" i="1"/>
  <c r="M714" i="1"/>
  <c r="N714" i="1"/>
  <c r="O714" i="1"/>
  <c r="P714" i="1"/>
  <c r="Q714" i="1"/>
  <c r="R714" i="1"/>
  <c r="S714" i="1"/>
  <c r="T714" i="1"/>
  <c r="U714" i="1"/>
  <c r="V714" i="1"/>
  <c r="AB714" i="1"/>
  <c r="AI714" i="1"/>
  <c r="AJ714" i="1"/>
  <c r="AK714" i="1"/>
  <c r="AP714" i="1"/>
  <c r="AR714" i="1"/>
  <c r="AY714" i="1"/>
  <c r="BE714" i="1"/>
  <c r="BF714" i="1"/>
  <c r="C715" i="1"/>
  <c r="E715" i="1"/>
  <c r="F715" i="1"/>
  <c r="G715" i="1"/>
  <c r="H715" i="1"/>
  <c r="L715" i="1"/>
  <c r="M715" i="1"/>
  <c r="N715" i="1"/>
  <c r="O715" i="1"/>
  <c r="P715" i="1"/>
  <c r="Q715" i="1"/>
  <c r="R715" i="1"/>
  <c r="S715" i="1"/>
  <c r="T715" i="1"/>
  <c r="U715" i="1"/>
  <c r="V715" i="1"/>
  <c r="AB715" i="1"/>
  <c r="AI715" i="1"/>
  <c r="AJ715" i="1"/>
  <c r="AK715" i="1"/>
  <c r="AP715" i="1"/>
  <c r="AR715" i="1"/>
  <c r="AY715" i="1"/>
  <c r="BE715" i="1"/>
  <c r="BF715" i="1"/>
  <c r="C716" i="1"/>
  <c r="E716" i="1"/>
  <c r="F716" i="1"/>
  <c r="G716" i="1"/>
  <c r="H716" i="1"/>
  <c r="L716" i="1"/>
  <c r="M716" i="1"/>
  <c r="N716" i="1"/>
  <c r="O716" i="1"/>
  <c r="P716" i="1"/>
  <c r="Q716" i="1"/>
  <c r="R716" i="1"/>
  <c r="S716" i="1"/>
  <c r="T716" i="1"/>
  <c r="U716" i="1"/>
  <c r="V716" i="1"/>
  <c r="AB716" i="1"/>
  <c r="AI716" i="1"/>
  <c r="AJ716" i="1"/>
  <c r="AK716" i="1"/>
  <c r="AP716" i="1"/>
  <c r="AR716" i="1"/>
  <c r="AY716" i="1"/>
  <c r="BE716" i="1"/>
  <c r="BF716" i="1"/>
  <c r="C717" i="1"/>
  <c r="E717" i="1"/>
  <c r="F717" i="1"/>
  <c r="G717" i="1"/>
  <c r="H717" i="1"/>
  <c r="L717" i="1"/>
  <c r="M717" i="1"/>
  <c r="N717" i="1"/>
  <c r="O717" i="1"/>
  <c r="P717" i="1"/>
  <c r="Q717" i="1"/>
  <c r="R717" i="1"/>
  <c r="S717" i="1"/>
  <c r="T717" i="1"/>
  <c r="U717" i="1"/>
  <c r="V717" i="1"/>
  <c r="AB717" i="1"/>
  <c r="AI717" i="1"/>
  <c r="AJ717" i="1"/>
  <c r="AK717" i="1"/>
  <c r="AP717" i="1"/>
  <c r="AR717" i="1"/>
  <c r="AY717" i="1"/>
  <c r="BE717" i="1"/>
  <c r="BF717" i="1"/>
  <c r="C718" i="1"/>
  <c r="E718" i="1"/>
  <c r="F718" i="1"/>
  <c r="G718" i="1"/>
  <c r="H718" i="1"/>
  <c r="L718" i="1"/>
  <c r="M718" i="1"/>
  <c r="N718" i="1"/>
  <c r="O718" i="1"/>
  <c r="P718" i="1"/>
  <c r="Q718" i="1"/>
  <c r="R718" i="1"/>
  <c r="S718" i="1"/>
  <c r="T718" i="1"/>
  <c r="U718" i="1"/>
  <c r="V718" i="1"/>
  <c r="AB718" i="1"/>
  <c r="AI718" i="1"/>
  <c r="AJ718" i="1"/>
  <c r="AK718" i="1"/>
  <c r="AP718" i="1"/>
  <c r="AR718" i="1"/>
  <c r="AY718" i="1"/>
  <c r="BE718" i="1"/>
  <c r="BF718" i="1"/>
  <c r="C719" i="1"/>
  <c r="E719" i="1"/>
  <c r="F719" i="1"/>
  <c r="G719" i="1"/>
  <c r="H719" i="1"/>
  <c r="L719" i="1"/>
  <c r="M719" i="1"/>
  <c r="N719" i="1"/>
  <c r="O719" i="1"/>
  <c r="P719" i="1"/>
  <c r="Q719" i="1"/>
  <c r="R719" i="1"/>
  <c r="S719" i="1"/>
  <c r="T719" i="1"/>
  <c r="U719" i="1"/>
  <c r="V719" i="1"/>
  <c r="AB719" i="1"/>
  <c r="AI719" i="1"/>
  <c r="AJ719" i="1"/>
  <c r="AK719" i="1"/>
  <c r="AP719" i="1"/>
  <c r="AR719" i="1"/>
  <c r="AY719" i="1"/>
  <c r="BE719" i="1"/>
  <c r="BF719" i="1"/>
  <c r="C720" i="1"/>
  <c r="E720" i="1"/>
  <c r="F720" i="1"/>
  <c r="G720" i="1"/>
  <c r="H720" i="1"/>
  <c r="L720" i="1"/>
  <c r="M720" i="1"/>
  <c r="N720" i="1"/>
  <c r="O720" i="1"/>
  <c r="P720" i="1"/>
  <c r="Q720" i="1"/>
  <c r="R720" i="1"/>
  <c r="S720" i="1"/>
  <c r="T720" i="1"/>
  <c r="U720" i="1"/>
  <c r="V720" i="1"/>
  <c r="AB720" i="1"/>
  <c r="AI720" i="1"/>
  <c r="AJ720" i="1"/>
  <c r="AK720" i="1"/>
  <c r="AP720" i="1"/>
  <c r="AR720" i="1"/>
  <c r="AY720" i="1"/>
  <c r="BE720" i="1"/>
  <c r="BF720" i="1"/>
  <c r="C721" i="1"/>
  <c r="E721" i="1"/>
  <c r="F721" i="1"/>
  <c r="G721" i="1"/>
  <c r="H721" i="1"/>
  <c r="L721" i="1"/>
  <c r="M721" i="1"/>
  <c r="N721" i="1"/>
  <c r="O721" i="1"/>
  <c r="P721" i="1"/>
  <c r="Q721" i="1"/>
  <c r="R721" i="1"/>
  <c r="S721" i="1"/>
  <c r="T721" i="1"/>
  <c r="U721" i="1"/>
  <c r="V721" i="1"/>
  <c r="AB721" i="1"/>
  <c r="AI721" i="1"/>
  <c r="AJ721" i="1"/>
  <c r="AK721" i="1"/>
  <c r="AP721" i="1"/>
  <c r="AR721" i="1"/>
  <c r="AY721" i="1"/>
  <c r="BE721" i="1"/>
  <c r="BF721" i="1"/>
  <c r="C722" i="1"/>
  <c r="E722" i="1"/>
  <c r="F722" i="1"/>
  <c r="G722" i="1"/>
  <c r="H722" i="1"/>
  <c r="L722" i="1"/>
  <c r="M722" i="1"/>
  <c r="N722" i="1"/>
  <c r="O722" i="1"/>
  <c r="P722" i="1"/>
  <c r="Q722" i="1"/>
  <c r="R722" i="1"/>
  <c r="S722" i="1"/>
  <c r="T722" i="1"/>
  <c r="U722" i="1"/>
  <c r="V722" i="1"/>
  <c r="AB722" i="1"/>
  <c r="AI722" i="1"/>
  <c r="AJ722" i="1"/>
  <c r="AK722" i="1"/>
  <c r="AP722" i="1"/>
  <c r="AR722" i="1"/>
  <c r="AY722" i="1"/>
  <c r="BE722" i="1"/>
  <c r="BF722" i="1"/>
  <c r="C723" i="1"/>
  <c r="E723" i="1"/>
  <c r="F723" i="1"/>
  <c r="G723" i="1"/>
  <c r="H723" i="1"/>
  <c r="L723" i="1"/>
  <c r="M723" i="1"/>
  <c r="N723" i="1"/>
  <c r="O723" i="1"/>
  <c r="P723" i="1"/>
  <c r="Q723" i="1"/>
  <c r="R723" i="1"/>
  <c r="S723" i="1"/>
  <c r="T723" i="1"/>
  <c r="U723" i="1"/>
  <c r="V723" i="1"/>
  <c r="AB723" i="1"/>
  <c r="AI723" i="1"/>
  <c r="AJ723" i="1"/>
  <c r="AK723" i="1"/>
  <c r="AP723" i="1"/>
  <c r="AR723" i="1"/>
  <c r="AY723" i="1"/>
  <c r="BE723" i="1"/>
  <c r="BF723" i="1"/>
  <c r="C724" i="1"/>
  <c r="E724" i="1"/>
  <c r="F724" i="1"/>
  <c r="G724" i="1"/>
  <c r="H724" i="1"/>
  <c r="L724" i="1"/>
  <c r="M724" i="1"/>
  <c r="N724" i="1"/>
  <c r="O724" i="1"/>
  <c r="P724" i="1"/>
  <c r="Q724" i="1"/>
  <c r="R724" i="1"/>
  <c r="S724" i="1"/>
  <c r="T724" i="1"/>
  <c r="U724" i="1"/>
  <c r="V724" i="1"/>
  <c r="AB724" i="1"/>
  <c r="AI724" i="1"/>
  <c r="AJ724" i="1"/>
  <c r="AK724" i="1"/>
  <c r="AP724" i="1"/>
  <c r="AR724" i="1"/>
  <c r="AY724" i="1"/>
  <c r="BE724" i="1"/>
  <c r="BF724" i="1"/>
  <c r="C725" i="1"/>
  <c r="E725" i="1"/>
  <c r="F725" i="1"/>
  <c r="G725" i="1"/>
  <c r="H725" i="1"/>
  <c r="L725" i="1"/>
  <c r="M725" i="1"/>
  <c r="N725" i="1"/>
  <c r="O725" i="1"/>
  <c r="P725" i="1"/>
  <c r="Q725" i="1"/>
  <c r="R725" i="1"/>
  <c r="S725" i="1"/>
  <c r="T725" i="1"/>
  <c r="U725" i="1"/>
  <c r="V725" i="1"/>
  <c r="AB725" i="1"/>
  <c r="AI725" i="1"/>
  <c r="AJ725" i="1"/>
  <c r="AK725" i="1"/>
  <c r="AP725" i="1"/>
  <c r="AR725" i="1"/>
  <c r="AY725" i="1"/>
  <c r="BE725" i="1"/>
  <c r="BF725" i="1"/>
  <c r="C726" i="1"/>
  <c r="E726" i="1"/>
  <c r="F726" i="1"/>
  <c r="G726" i="1"/>
  <c r="H726" i="1"/>
  <c r="L726" i="1"/>
  <c r="M726" i="1"/>
  <c r="N726" i="1"/>
  <c r="O726" i="1"/>
  <c r="P726" i="1"/>
  <c r="Q726" i="1"/>
  <c r="R726" i="1"/>
  <c r="S726" i="1"/>
  <c r="T726" i="1"/>
  <c r="U726" i="1"/>
  <c r="V726" i="1"/>
  <c r="AB726" i="1"/>
  <c r="AI726" i="1"/>
  <c r="AJ726" i="1"/>
  <c r="AK726" i="1"/>
  <c r="AP726" i="1"/>
  <c r="AR726" i="1"/>
  <c r="AY726" i="1"/>
  <c r="BE726" i="1"/>
  <c r="BF726" i="1"/>
  <c r="C727" i="1"/>
  <c r="E727" i="1"/>
  <c r="F727" i="1"/>
  <c r="G727" i="1"/>
  <c r="H727" i="1"/>
  <c r="L727" i="1"/>
  <c r="M727" i="1"/>
  <c r="N727" i="1"/>
  <c r="O727" i="1"/>
  <c r="P727" i="1"/>
  <c r="Q727" i="1"/>
  <c r="R727" i="1"/>
  <c r="S727" i="1"/>
  <c r="T727" i="1"/>
  <c r="U727" i="1"/>
  <c r="V727" i="1"/>
  <c r="AB727" i="1"/>
  <c r="AI727" i="1"/>
  <c r="AJ727" i="1"/>
  <c r="AK727" i="1"/>
  <c r="AP727" i="1"/>
  <c r="AR727" i="1"/>
  <c r="AY727" i="1"/>
  <c r="BE727" i="1"/>
  <c r="BF727" i="1"/>
  <c r="C728" i="1"/>
  <c r="E728" i="1"/>
  <c r="F728" i="1"/>
  <c r="G728" i="1"/>
  <c r="H728" i="1"/>
  <c r="L728" i="1"/>
  <c r="M728" i="1"/>
  <c r="N728" i="1"/>
  <c r="O728" i="1"/>
  <c r="P728" i="1"/>
  <c r="Q728" i="1"/>
  <c r="R728" i="1"/>
  <c r="S728" i="1"/>
  <c r="T728" i="1"/>
  <c r="U728" i="1"/>
  <c r="V728" i="1"/>
  <c r="AB728" i="1"/>
  <c r="AI728" i="1"/>
  <c r="AJ728" i="1"/>
  <c r="AK728" i="1"/>
  <c r="AP728" i="1"/>
  <c r="AR728" i="1"/>
  <c r="AY728" i="1"/>
  <c r="BE728" i="1"/>
  <c r="BF728" i="1"/>
  <c r="C729" i="1"/>
  <c r="E729" i="1"/>
  <c r="F729" i="1"/>
  <c r="G729" i="1"/>
  <c r="H729" i="1"/>
  <c r="L729" i="1"/>
  <c r="M729" i="1"/>
  <c r="N729" i="1"/>
  <c r="O729" i="1"/>
  <c r="P729" i="1"/>
  <c r="Q729" i="1"/>
  <c r="R729" i="1"/>
  <c r="S729" i="1"/>
  <c r="T729" i="1"/>
  <c r="U729" i="1"/>
  <c r="V729" i="1"/>
  <c r="AB729" i="1"/>
  <c r="AI729" i="1"/>
  <c r="AJ729" i="1"/>
  <c r="AK729" i="1"/>
  <c r="AP729" i="1"/>
  <c r="AR729" i="1"/>
  <c r="AY729" i="1"/>
  <c r="BE729" i="1"/>
  <c r="BF729" i="1"/>
  <c r="C730" i="1"/>
  <c r="E730" i="1"/>
  <c r="F730" i="1"/>
  <c r="G730" i="1"/>
  <c r="H730" i="1"/>
  <c r="L730" i="1"/>
  <c r="M730" i="1"/>
  <c r="N730" i="1"/>
  <c r="O730" i="1"/>
  <c r="P730" i="1"/>
  <c r="Q730" i="1"/>
  <c r="R730" i="1"/>
  <c r="S730" i="1"/>
  <c r="T730" i="1"/>
  <c r="U730" i="1"/>
  <c r="V730" i="1"/>
  <c r="AB730" i="1"/>
  <c r="AI730" i="1"/>
  <c r="AJ730" i="1"/>
  <c r="AK730" i="1"/>
  <c r="AP730" i="1"/>
  <c r="AR730" i="1"/>
  <c r="AY730" i="1"/>
  <c r="BE730" i="1"/>
  <c r="BF730" i="1"/>
  <c r="C731" i="1"/>
  <c r="E731" i="1"/>
  <c r="F731" i="1"/>
  <c r="G731" i="1"/>
  <c r="H731" i="1"/>
  <c r="L731" i="1"/>
  <c r="M731" i="1"/>
  <c r="N731" i="1"/>
  <c r="O731" i="1"/>
  <c r="P731" i="1"/>
  <c r="Q731" i="1"/>
  <c r="R731" i="1"/>
  <c r="S731" i="1"/>
  <c r="T731" i="1"/>
  <c r="U731" i="1"/>
  <c r="V731" i="1"/>
  <c r="AB731" i="1"/>
  <c r="AI731" i="1"/>
  <c r="AJ731" i="1"/>
  <c r="AK731" i="1"/>
  <c r="AP731" i="1"/>
  <c r="AR731" i="1"/>
  <c r="AY731" i="1"/>
  <c r="BE731" i="1"/>
  <c r="BF731" i="1"/>
  <c r="C732" i="1"/>
  <c r="E732" i="1"/>
  <c r="F732" i="1"/>
  <c r="G732" i="1"/>
  <c r="H732" i="1"/>
  <c r="L732" i="1"/>
  <c r="M732" i="1"/>
  <c r="N732" i="1"/>
  <c r="O732" i="1"/>
  <c r="P732" i="1"/>
  <c r="Q732" i="1"/>
  <c r="R732" i="1"/>
  <c r="S732" i="1"/>
  <c r="T732" i="1"/>
  <c r="U732" i="1"/>
  <c r="V732" i="1"/>
  <c r="AB732" i="1"/>
  <c r="AI732" i="1"/>
  <c r="AJ732" i="1"/>
  <c r="AK732" i="1"/>
  <c r="AP732" i="1"/>
  <c r="AR732" i="1"/>
  <c r="AY732" i="1"/>
  <c r="BE732" i="1"/>
  <c r="BF732" i="1"/>
  <c r="C733" i="1"/>
  <c r="E733" i="1"/>
  <c r="F733" i="1"/>
  <c r="G733" i="1"/>
  <c r="H733" i="1"/>
  <c r="L733" i="1"/>
  <c r="M733" i="1"/>
  <c r="N733" i="1"/>
  <c r="O733" i="1"/>
  <c r="P733" i="1"/>
  <c r="Q733" i="1"/>
  <c r="R733" i="1"/>
  <c r="S733" i="1"/>
  <c r="T733" i="1"/>
  <c r="U733" i="1"/>
  <c r="V733" i="1"/>
  <c r="AB733" i="1"/>
  <c r="AI733" i="1"/>
  <c r="AJ733" i="1"/>
  <c r="AK733" i="1"/>
  <c r="AP733" i="1"/>
  <c r="AR733" i="1"/>
  <c r="AY733" i="1"/>
  <c r="BE733" i="1"/>
  <c r="BF733" i="1"/>
  <c r="C734" i="1"/>
  <c r="E734" i="1"/>
  <c r="F734" i="1"/>
  <c r="G734" i="1"/>
  <c r="H734" i="1"/>
  <c r="L734" i="1"/>
  <c r="M734" i="1"/>
  <c r="N734" i="1"/>
  <c r="O734" i="1"/>
  <c r="P734" i="1"/>
  <c r="Q734" i="1"/>
  <c r="R734" i="1"/>
  <c r="S734" i="1"/>
  <c r="T734" i="1"/>
  <c r="U734" i="1"/>
  <c r="V734" i="1"/>
  <c r="AB734" i="1"/>
  <c r="AI734" i="1"/>
  <c r="AJ734" i="1"/>
  <c r="AK734" i="1"/>
  <c r="AP734" i="1"/>
  <c r="AR734" i="1"/>
  <c r="AY734" i="1"/>
  <c r="BE734" i="1"/>
  <c r="BF734" i="1"/>
  <c r="C735" i="1"/>
  <c r="E735" i="1"/>
  <c r="F735" i="1"/>
  <c r="G735" i="1"/>
  <c r="H735" i="1"/>
  <c r="L735" i="1"/>
  <c r="M735" i="1"/>
  <c r="N735" i="1"/>
  <c r="O735" i="1"/>
  <c r="P735" i="1"/>
  <c r="Q735" i="1"/>
  <c r="R735" i="1"/>
  <c r="S735" i="1"/>
  <c r="T735" i="1"/>
  <c r="U735" i="1"/>
  <c r="V735" i="1"/>
  <c r="AB735" i="1"/>
  <c r="AI735" i="1"/>
  <c r="AJ735" i="1"/>
  <c r="AK735" i="1"/>
  <c r="AP735" i="1"/>
  <c r="AR735" i="1"/>
  <c r="AY735" i="1"/>
  <c r="BE735" i="1"/>
  <c r="BF735" i="1"/>
  <c r="C736" i="1"/>
  <c r="E736" i="1"/>
  <c r="F736" i="1"/>
  <c r="G736" i="1"/>
  <c r="H736" i="1"/>
  <c r="L736" i="1"/>
  <c r="M736" i="1"/>
  <c r="N736" i="1"/>
  <c r="O736" i="1"/>
  <c r="P736" i="1"/>
  <c r="Q736" i="1"/>
  <c r="R736" i="1"/>
  <c r="S736" i="1"/>
  <c r="T736" i="1"/>
  <c r="U736" i="1"/>
  <c r="V736" i="1"/>
  <c r="AB736" i="1"/>
  <c r="AI736" i="1"/>
  <c r="AJ736" i="1"/>
  <c r="AK736" i="1"/>
  <c r="AP736" i="1"/>
  <c r="AR736" i="1"/>
  <c r="AY736" i="1"/>
  <c r="BE736" i="1"/>
  <c r="BF736" i="1"/>
  <c r="C737" i="1"/>
  <c r="E737" i="1"/>
  <c r="F737" i="1"/>
  <c r="G737" i="1"/>
  <c r="H737" i="1"/>
  <c r="L737" i="1"/>
  <c r="M737" i="1"/>
  <c r="N737" i="1"/>
  <c r="O737" i="1"/>
  <c r="P737" i="1"/>
  <c r="Q737" i="1"/>
  <c r="R737" i="1"/>
  <c r="S737" i="1"/>
  <c r="T737" i="1"/>
  <c r="U737" i="1"/>
  <c r="V737" i="1"/>
  <c r="AB737" i="1"/>
  <c r="AI737" i="1"/>
  <c r="AJ737" i="1"/>
  <c r="AK737" i="1"/>
  <c r="AP737" i="1"/>
  <c r="AR737" i="1"/>
  <c r="AY737" i="1"/>
  <c r="BE737" i="1"/>
  <c r="BF737" i="1"/>
  <c r="C738" i="1"/>
  <c r="E738" i="1"/>
  <c r="F738" i="1"/>
  <c r="G738" i="1"/>
  <c r="H738" i="1"/>
  <c r="L738" i="1"/>
  <c r="M738" i="1"/>
  <c r="N738" i="1"/>
  <c r="O738" i="1"/>
  <c r="P738" i="1"/>
  <c r="Q738" i="1"/>
  <c r="R738" i="1"/>
  <c r="S738" i="1"/>
  <c r="T738" i="1"/>
  <c r="U738" i="1"/>
  <c r="V738" i="1"/>
  <c r="AB738" i="1"/>
  <c r="AI738" i="1"/>
  <c r="AJ738" i="1"/>
  <c r="AK738" i="1"/>
  <c r="AP738" i="1"/>
  <c r="AR738" i="1"/>
  <c r="AY738" i="1"/>
  <c r="BE738" i="1"/>
  <c r="BF738" i="1"/>
  <c r="C739" i="1"/>
  <c r="E739" i="1"/>
  <c r="F739" i="1"/>
  <c r="G739" i="1"/>
  <c r="H739" i="1"/>
  <c r="L739" i="1"/>
  <c r="M739" i="1"/>
  <c r="N739" i="1"/>
  <c r="O739" i="1"/>
  <c r="P739" i="1"/>
  <c r="Q739" i="1"/>
  <c r="R739" i="1"/>
  <c r="S739" i="1"/>
  <c r="T739" i="1"/>
  <c r="U739" i="1"/>
  <c r="V739" i="1"/>
  <c r="AB739" i="1"/>
  <c r="AI739" i="1"/>
  <c r="AJ739" i="1"/>
  <c r="AK739" i="1"/>
  <c r="AP739" i="1"/>
  <c r="AR739" i="1"/>
  <c r="AY739" i="1"/>
  <c r="BE739" i="1"/>
  <c r="BF739" i="1"/>
  <c r="C740" i="1"/>
  <c r="E740" i="1"/>
  <c r="F740" i="1"/>
  <c r="G740" i="1"/>
  <c r="H740" i="1"/>
  <c r="L740" i="1"/>
  <c r="M740" i="1"/>
  <c r="N740" i="1"/>
  <c r="O740" i="1"/>
  <c r="P740" i="1"/>
  <c r="Q740" i="1"/>
  <c r="R740" i="1"/>
  <c r="S740" i="1"/>
  <c r="T740" i="1"/>
  <c r="U740" i="1"/>
  <c r="V740" i="1"/>
  <c r="AB740" i="1"/>
  <c r="AI740" i="1"/>
  <c r="AJ740" i="1"/>
  <c r="AK740" i="1"/>
  <c r="AP740" i="1"/>
  <c r="AR740" i="1"/>
  <c r="AY740" i="1"/>
  <c r="BE740" i="1"/>
  <c r="BF740" i="1"/>
  <c r="C741" i="1"/>
  <c r="E741" i="1"/>
  <c r="F741" i="1"/>
  <c r="G741" i="1"/>
  <c r="H741" i="1"/>
  <c r="L741" i="1"/>
  <c r="M741" i="1"/>
  <c r="N741" i="1"/>
  <c r="O741" i="1"/>
  <c r="P741" i="1"/>
  <c r="Q741" i="1"/>
  <c r="R741" i="1"/>
  <c r="S741" i="1"/>
  <c r="T741" i="1"/>
  <c r="U741" i="1"/>
  <c r="V741" i="1"/>
  <c r="AB741" i="1"/>
  <c r="AI741" i="1"/>
  <c r="AJ741" i="1"/>
  <c r="AK741" i="1"/>
  <c r="AP741" i="1"/>
  <c r="AR741" i="1"/>
  <c r="AY741" i="1"/>
  <c r="BE741" i="1"/>
  <c r="BF741" i="1"/>
  <c r="C742" i="1"/>
  <c r="E742" i="1"/>
  <c r="F742" i="1"/>
  <c r="G742" i="1"/>
  <c r="H742" i="1"/>
  <c r="L742" i="1"/>
  <c r="M742" i="1"/>
  <c r="N742" i="1"/>
  <c r="O742" i="1"/>
  <c r="P742" i="1"/>
  <c r="Q742" i="1"/>
  <c r="R742" i="1"/>
  <c r="S742" i="1"/>
  <c r="T742" i="1"/>
  <c r="U742" i="1"/>
  <c r="V742" i="1"/>
  <c r="AB742" i="1"/>
  <c r="AI742" i="1"/>
  <c r="AJ742" i="1"/>
  <c r="AK742" i="1"/>
  <c r="AP742" i="1"/>
  <c r="AR742" i="1"/>
  <c r="AY742" i="1"/>
  <c r="BE742" i="1"/>
  <c r="BF742" i="1"/>
  <c r="C743" i="1"/>
  <c r="E743" i="1"/>
  <c r="F743" i="1"/>
  <c r="G743" i="1"/>
  <c r="H743" i="1"/>
  <c r="L743" i="1"/>
  <c r="M743" i="1"/>
  <c r="N743" i="1"/>
  <c r="O743" i="1"/>
  <c r="P743" i="1"/>
  <c r="Q743" i="1"/>
  <c r="R743" i="1"/>
  <c r="S743" i="1"/>
  <c r="T743" i="1"/>
  <c r="U743" i="1"/>
  <c r="V743" i="1"/>
  <c r="AB743" i="1"/>
  <c r="AI743" i="1"/>
  <c r="AJ743" i="1"/>
  <c r="AK743" i="1"/>
  <c r="AP743" i="1"/>
  <c r="AR743" i="1"/>
  <c r="AY743" i="1"/>
  <c r="BE743" i="1"/>
  <c r="BF743" i="1"/>
  <c r="C744" i="1"/>
  <c r="E744" i="1"/>
  <c r="F744" i="1"/>
  <c r="G744" i="1"/>
  <c r="H744" i="1"/>
  <c r="L744" i="1"/>
  <c r="M744" i="1"/>
  <c r="N744" i="1"/>
  <c r="O744" i="1"/>
  <c r="P744" i="1"/>
  <c r="Q744" i="1"/>
  <c r="R744" i="1"/>
  <c r="S744" i="1"/>
  <c r="T744" i="1"/>
  <c r="U744" i="1"/>
  <c r="V744" i="1"/>
  <c r="AB744" i="1"/>
  <c r="AI744" i="1"/>
  <c r="AJ744" i="1"/>
  <c r="AK744" i="1"/>
  <c r="AP744" i="1"/>
  <c r="AR744" i="1"/>
  <c r="AY744" i="1"/>
  <c r="BE744" i="1"/>
  <c r="BF744" i="1"/>
  <c r="C745" i="1"/>
  <c r="E745" i="1"/>
  <c r="F745" i="1"/>
  <c r="G745" i="1"/>
  <c r="H745" i="1"/>
  <c r="L745" i="1"/>
  <c r="M745" i="1"/>
  <c r="N745" i="1"/>
  <c r="O745" i="1"/>
  <c r="P745" i="1"/>
  <c r="Q745" i="1"/>
  <c r="R745" i="1"/>
  <c r="S745" i="1"/>
  <c r="T745" i="1"/>
  <c r="U745" i="1"/>
  <c r="V745" i="1"/>
  <c r="AB745" i="1"/>
  <c r="AI745" i="1"/>
  <c r="AJ745" i="1"/>
  <c r="AK745" i="1"/>
  <c r="AP745" i="1"/>
  <c r="AR745" i="1"/>
  <c r="AY745" i="1"/>
  <c r="BE745" i="1"/>
  <c r="BF745" i="1"/>
  <c r="C746" i="1"/>
  <c r="E746" i="1"/>
  <c r="F746" i="1"/>
  <c r="G746" i="1"/>
  <c r="H746" i="1"/>
  <c r="L746" i="1"/>
  <c r="M746" i="1"/>
  <c r="N746" i="1"/>
  <c r="O746" i="1"/>
  <c r="P746" i="1"/>
  <c r="Q746" i="1"/>
  <c r="R746" i="1"/>
  <c r="S746" i="1"/>
  <c r="T746" i="1"/>
  <c r="U746" i="1"/>
  <c r="V746" i="1"/>
  <c r="AB746" i="1"/>
  <c r="AI746" i="1"/>
  <c r="AJ746" i="1"/>
  <c r="AK746" i="1"/>
  <c r="AP746" i="1"/>
  <c r="AR746" i="1"/>
  <c r="AY746" i="1"/>
  <c r="BE746" i="1"/>
  <c r="BF746" i="1"/>
  <c r="C747" i="1"/>
  <c r="E747" i="1"/>
  <c r="F747" i="1"/>
  <c r="G747" i="1"/>
  <c r="H747" i="1"/>
  <c r="L747" i="1"/>
  <c r="M747" i="1"/>
  <c r="N747" i="1"/>
  <c r="O747" i="1"/>
  <c r="P747" i="1"/>
  <c r="Q747" i="1"/>
  <c r="R747" i="1"/>
  <c r="S747" i="1"/>
  <c r="T747" i="1"/>
  <c r="U747" i="1"/>
  <c r="V747" i="1"/>
  <c r="AB747" i="1"/>
  <c r="AI747" i="1"/>
  <c r="AJ747" i="1"/>
  <c r="AK747" i="1"/>
  <c r="AP747" i="1"/>
  <c r="AR747" i="1"/>
  <c r="AY747" i="1"/>
  <c r="BE747" i="1"/>
  <c r="BF747" i="1"/>
  <c r="C748" i="1"/>
  <c r="E748" i="1"/>
  <c r="F748" i="1"/>
  <c r="G748" i="1"/>
  <c r="H748" i="1"/>
  <c r="L748" i="1"/>
  <c r="M748" i="1"/>
  <c r="N748" i="1"/>
  <c r="O748" i="1"/>
  <c r="P748" i="1"/>
  <c r="Q748" i="1"/>
  <c r="R748" i="1"/>
  <c r="S748" i="1"/>
  <c r="T748" i="1"/>
  <c r="U748" i="1"/>
  <c r="V748" i="1"/>
  <c r="AB748" i="1"/>
  <c r="AI748" i="1"/>
  <c r="AJ748" i="1"/>
  <c r="AK748" i="1"/>
  <c r="AP748" i="1"/>
  <c r="AR748" i="1"/>
  <c r="AY748" i="1"/>
  <c r="BE748" i="1"/>
  <c r="BF748" i="1"/>
  <c r="C749" i="1"/>
  <c r="E749" i="1"/>
  <c r="F749" i="1"/>
  <c r="G749" i="1"/>
  <c r="H749" i="1"/>
  <c r="L749" i="1"/>
  <c r="M749" i="1"/>
  <c r="N749" i="1"/>
  <c r="O749" i="1"/>
  <c r="P749" i="1"/>
  <c r="Q749" i="1"/>
  <c r="R749" i="1"/>
  <c r="S749" i="1"/>
  <c r="T749" i="1"/>
  <c r="U749" i="1"/>
  <c r="V749" i="1"/>
  <c r="AB749" i="1"/>
  <c r="AI749" i="1"/>
  <c r="AJ749" i="1"/>
  <c r="AK749" i="1"/>
  <c r="AP749" i="1"/>
  <c r="AR749" i="1"/>
  <c r="AY749" i="1"/>
  <c r="BE749" i="1"/>
  <c r="BF749" i="1"/>
  <c r="C750" i="1"/>
  <c r="E750" i="1"/>
  <c r="F750" i="1"/>
  <c r="G750" i="1"/>
  <c r="H750" i="1"/>
  <c r="L750" i="1"/>
  <c r="M750" i="1"/>
  <c r="N750" i="1"/>
  <c r="O750" i="1"/>
  <c r="P750" i="1"/>
  <c r="Q750" i="1"/>
  <c r="R750" i="1"/>
  <c r="S750" i="1"/>
  <c r="T750" i="1"/>
  <c r="U750" i="1"/>
  <c r="V750" i="1"/>
  <c r="AB750" i="1"/>
  <c r="AI750" i="1"/>
  <c r="AJ750" i="1"/>
  <c r="AK750" i="1"/>
  <c r="AP750" i="1"/>
  <c r="AR750" i="1"/>
  <c r="AY750" i="1"/>
  <c r="BE750" i="1"/>
  <c r="BF750" i="1"/>
  <c r="C751" i="1"/>
  <c r="E751" i="1"/>
  <c r="F751" i="1"/>
  <c r="G751" i="1"/>
  <c r="H751" i="1"/>
  <c r="L751" i="1"/>
  <c r="M751" i="1"/>
  <c r="N751" i="1"/>
  <c r="O751" i="1"/>
  <c r="P751" i="1"/>
  <c r="Q751" i="1"/>
  <c r="R751" i="1"/>
  <c r="S751" i="1"/>
  <c r="T751" i="1"/>
  <c r="U751" i="1"/>
  <c r="V751" i="1"/>
  <c r="AB751" i="1"/>
  <c r="AI751" i="1"/>
  <c r="AJ751" i="1"/>
  <c r="AK751" i="1"/>
  <c r="AP751" i="1"/>
  <c r="AR751" i="1"/>
  <c r="AY751" i="1"/>
  <c r="BE751" i="1"/>
  <c r="BF751" i="1"/>
  <c r="C752" i="1"/>
  <c r="E752" i="1"/>
  <c r="F752" i="1"/>
  <c r="G752" i="1"/>
  <c r="H752" i="1"/>
  <c r="L752" i="1"/>
  <c r="M752" i="1"/>
  <c r="N752" i="1"/>
  <c r="O752" i="1"/>
  <c r="P752" i="1"/>
  <c r="Q752" i="1"/>
  <c r="R752" i="1"/>
  <c r="S752" i="1"/>
  <c r="T752" i="1"/>
  <c r="U752" i="1"/>
  <c r="V752" i="1"/>
  <c r="AB752" i="1"/>
  <c r="AI752" i="1"/>
  <c r="AJ752" i="1"/>
  <c r="AK752" i="1"/>
  <c r="AP752" i="1"/>
  <c r="AR752" i="1"/>
  <c r="AY752" i="1"/>
  <c r="BE752" i="1"/>
  <c r="BF752" i="1"/>
  <c r="C753" i="1"/>
  <c r="E753" i="1"/>
  <c r="F753" i="1"/>
  <c r="G753" i="1"/>
  <c r="H753" i="1"/>
  <c r="L753" i="1"/>
  <c r="M753" i="1"/>
  <c r="N753" i="1"/>
  <c r="O753" i="1"/>
  <c r="P753" i="1"/>
  <c r="Q753" i="1"/>
  <c r="R753" i="1"/>
  <c r="S753" i="1"/>
  <c r="T753" i="1"/>
  <c r="U753" i="1"/>
  <c r="V753" i="1"/>
  <c r="AB753" i="1"/>
  <c r="AI753" i="1"/>
  <c r="AJ753" i="1"/>
  <c r="AK753" i="1"/>
  <c r="AP753" i="1"/>
  <c r="AR753" i="1"/>
  <c r="AY753" i="1"/>
  <c r="BE753" i="1"/>
  <c r="BF753" i="1"/>
  <c r="C754" i="1"/>
  <c r="E754" i="1"/>
  <c r="F754" i="1"/>
  <c r="G754" i="1"/>
  <c r="H754" i="1"/>
  <c r="L754" i="1"/>
  <c r="M754" i="1"/>
  <c r="N754" i="1"/>
  <c r="O754" i="1"/>
  <c r="P754" i="1"/>
  <c r="Q754" i="1"/>
  <c r="R754" i="1"/>
  <c r="S754" i="1"/>
  <c r="T754" i="1"/>
  <c r="U754" i="1"/>
  <c r="V754" i="1"/>
  <c r="AB754" i="1"/>
  <c r="AI754" i="1"/>
  <c r="AJ754" i="1"/>
  <c r="AK754" i="1"/>
  <c r="AP754" i="1"/>
  <c r="AR754" i="1"/>
  <c r="AY754" i="1"/>
  <c r="BE754" i="1"/>
  <c r="BF754" i="1"/>
  <c r="C755" i="1"/>
  <c r="E755" i="1"/>
  <c r="F755" i="1"/>
  <c r="G755" i="1"/>
  <c r="H755" i="1"/>
  <c r="L755" i="1"/>
  <c r="M755" i="1"/>
  <c r="N755" i="1"/>
  <c r="O755" i="1"/>
  <c r="P755" i="1"/>
  <c r="Q755" i="1"/>
  <c r="R755" i="1"/>
  <c r="S755" i="1"/>
  <c r="T755" i="1"/>
  <c r="U755" i="1"/>
  <c r="V755" i="1"/>
  <c r="AB755" i="1"/>
  <c r="AI755" i="1"/>
  <c r="AJ755" i="1"/>
  <c r="AK755" i="1"/>
  <c r="AP755" i="1"/>
  <c r="AR755" i="1"/>
  <c r="AY755" i="1"/>
  <c r="BE755" i="1"/>
  <c r="BF755" i="1"/>
  <c r="C756" i="1"/>
  <c r="E756" i="1"/>
  <c r="F756" i="1"/>
  <c r="G756" i="1"/>
  <c r="H756" i="1"/>
  <c r="L756" i="1"/>
  <c r="M756" i="1"/>
  <c r="N756" i="1"/>
  <c r="O756" i="1"/>
  <c r="P756" i="1"/>
  <c r="Q756" i="1"/>
  <c r="R756" i="1"/>
  <c r="S756" i="1"/>
  <c r="T756" i="1"/>
  <c r="U756" i="1"/>
  <c r="V756" i="1"/>
  <c r="AB756" i="1"/>
  <c r="AI756" i="1"/>
  <c r="AJ756" i="1"/>
  <c r="AK756" i="1"/>
  <c r="AP756" i="1"/>
  <c r="AR756" i="1"/>
  <c r="AY756" i="1"/>
  <c r="BE756" i="1"/>
  <c r="BF756" i="1"/>
  <c r="C757" i="1"/>
  <c r="E757" i="1"/>
  <c r="F757" i="1"/>
  <c r="G757" i="1"/>
  <c r="H757" i="1"/>
  <c r="L757" i="1"/>
  <c r="M757" i="1"/>
  <c r="N757" i="1"/>
  <c r="O757" i="1"/>
  <c r="P757" i="1"/>
  <c r="Q757" i="1"/>
  <c r="R757" i="1"/>
  <c r="S757" i="1"/>
  <c r="T757" i="1"/>
  <c r="U757" i="1"/>
  <c r="V757" i="1"/>
  <c r="AB757" i="1"/>
  <c r="AI757" i="1"/>
  <c r="AJ757" i="1"/>
  <c r="AK757" i="1"/>
  <c r="AP757" i="1"/>
  <c r="AR757" i="1"/>
  <c r="AY757" i="1"/>
  <c r="BE757" i="1"/>
  <c r="BF757" i="1"/>
  <c r="C758" i="1"/>
  <c r="E758" i="1"/>
  <c r="F758" i="1"/>
  <c r="G758" i="1"/>
  <c r="H758" i="1"/>
  <c r="L758" i="1"/>
  <c r="M758" i="1"/>
  <c r="N758" i="1"/>
  <c r="O758" i="1"/>
  <c r="P758" i="1"/>
  <c r="Q758" i="1"/>
  <c r="R758" i="1"/>
  <c r="S758" i="1"/>
  <c r="T758" i="1"/>
  <c r="U758" i="1"/>
  <c r="V758" i="1"/>
  <c r="AB758" i="1"/>
  <c r="AI758" i="1"/>
  <c r="AJ758" i="1"/>
  <c r="AK758" i="1"/>
  <c r="AP758" i="1"/>
  <c r="AR758" i="1"/>
  <c r="AY758" i="1"/>
  <c r="BE758" i="1"/>
  <c r="BF758" i="1"/>
  <c r="C759" i="1"/>
  <c r="E759" i="1"/>
  <c r="F759" i="1"/>
  <c r="G759" i="1"/>
  <c r="H759" i="1"/>
  <c r="L759" i="1"/>
  <c r="M759" i="1"/>
  <c r="N759" i="1"/>
  <c r="O759" i="1"/>
  <c r="P759" i="1"/>
  <c r="Q759" i="1"/>
  <c r="R759" i="1"/>
  <c r="S759" i="1"/>
  <c r="T759" i="1"/>
  <c r="U759" i="1"/>
  <c r="V759" i="1"/>
  <c r="AB759" i="1"/>
  <c r="AI759" i="1"/>
  <c r="AJ759" i="1"/>
  <c r="AK759" i="1"/>
  <c r="AP759" i="1"/>
  <c r="AR759" i="1"/>
  <c r="AY759" i="1"/>
  <c r="BE759" i="1"/>
  <c r="BF759" i="1"/>
  <c r="C760" i="1"/>
  <c r="E760" i="1"/>
  <c r="F760" i="1"/>
  <c r="G760" i="1"/>
  <c r="H760" i="1"/>
  <c r="L760" i="1"/>
  <c r="M760" i="1"/>
  <c r="N760" i="1"/>
  <c r="O760" i="1"/>
  <c r="P760" i="1"/>
  <c r="Q760" i="1"/>
  <c r="R760" i="1"/>
  <c r="S760" i="1"/>
  <c r="T760" i="1"/>
  <c r="U760" i="1"/>
  <c r="V760" i="1"/>
  <c r="AB760" i="1"/>
  <c r="AI760" i="1"/>
  <c r="AJ760" i="1"/>
  <c r="AK760" i="1"/>
  <c r="AP760" i="1"/>
  <c r="AR760" i="1"/>
  <c r="AY760" i="1"/>
  <c r="BE760" i="1"/>
  <c r="BF760" i="1"/>
  <c r="C761" i="1"/>
  <c r="E761" i="1"/>
  <c r="F761" i="1"/>
  <c r="G761" i="1"/>
  <c r="H761" i="1"/>
  <c r="L761" i="1"/>
  <c r="M761" i="1"/>
  <c r="N761" i="1"/>
  <c r="O761" i="1"/>
  <c r="P761" i="1"/>
  <c r="Q761" i="1"/>
  <c r="R761" i="1"/>
  <c r="S761" i="1"/>
  <c r="T761" i="1"/>
  <c r="U761" i="1"/>
  <c r="V761" i="1"/>
  <c r="AB761" i="1"/>
  <c r="AI761" i="1"/>
  <c r="AJ761" i="1"/>
  <c r="AK761" i="1"/>
  <c r="AP761" i="1"/>
  <c r="AR761" i="1"/>
  <c r="AY761" i="1"/>
  <c r="BE761" i="1"/>
  <c r="BF761" i="1"/>
  <c r="C762" i="1"/>
  <c r="E762" i="1"/>
  <c r="F762" i="1"/>
  <c r="G762" i="1"/>
  <c r="H762" i="1"/>
  <c r="L762" i="1"/>
  <c r="M762" i="1"/>
  <c r="N762" i="1"/>
  <c r="O762" i="1"/>
  <c r="P762" i="1"/>
  <c r="Q762" i="1"/>
  <c r="R762" i="1"/>
  <c r="S762" i="1"/>
  <c r="T762" i="1"/>
  <c r="U762" i="1"/>
  <c r="V762" i="1"/>
  <c r="AB762" i="1"/>
  <c r="AI762" i="1"/>
  <c r="AJ762" i="1"/>
  <c r="AK762" i="1"/>
  <c r="AP762" i="1"/>
  <c r="AR762" i="1"/>
  <c r="AY762" i="1"/>
  <c r="BE762" i="1"/>
  <c r="BF762" i="1"/>
  <c r="C763" i="1"/>
  <c r="E763" i="1"/>
  <c r="F763" i="1"/>
  <c r="G763" i="1"/>
  <c r="H763" i="1"/>
  <c r="L763" i="1"/>
  <c r="M763" i="1"/>
  <c r="N763" i="1"/>
  <c r="O763" i="1"/>
  <c r="P763" i="1"/>
  <c r="Q763" i="1"/>
  <c r="R763" i="1"/>
  <c r="S763" i="1"/>
  <c r="T763" i="1"/>
  <c r="U763" i="1"/>
  <c r="V763" i="1"/>
  <c r="AB763" i="1"/>
  <c r="AI763" i="1"/>
  <c r="AJ763" i="1"/>
  <c r="AK763" i="1"/>
  <c r="AP763" i="1"/>
  <c r="AR763" i="1"/>
  <c r="AY763" i="1"/>
  <c r="BE763" i="1"/>
  <c r="BF763" i="1"/>
  <c r="C764" i="1"/>
  <c r="E764" i="1"/>
  <c r="F764" i="1"/>
  <c r="G764" i="1"/>
  <c r="H764" i="1"/>
  <c r="L764" i="1"/>
  <c r="M764" i="1"/>
  <c r="N764" i="1"/>
  <c r="O764" i="1"/>
  <c r="P764" i="1"/>
  <c r="Q764" i="1"/>
  <c r="R764" i="1"/>
  <c r="S764" i="1"/>
  <c r="T764" i="1"/>
  <c r="U764" i="1"/>
  <c r="V764" i="1"/>
  <c r="AB764" i="1"/>
  <c r="AI764" i="1"/>
  <c r="AJ764" i="1"/>
  <c r="AK764" i="1"/>
  <c r="AP764" i="1"/>
  <c r="AR764" i="1"/>
  <c r="AY764" i="1"/>
  <c r="BE764" i="1"/>
  <c r="BF764" i="1"/>
  <c r="C765" i="1"/>
  <c r="E765" i="1"/>
  <c r="F765" i="1"/>
  <c r="G765" i="1"/>
  <c r="H765" i="1"/>
  <c r="L765" i="1"/>
  <c r="M765" i="1"/>
  <c r="N765" i="1"/>
  <c r="O765" i="1"/>
  <c r="P765" i="1"/>
  <c r="Q765" i="1"/>
  <c r="R765" i="1"/>
  <c r="S765" i="1"/>
  <c r="T765" i="1"/>
  <c r="U765" i="1"/>
  <c r="V765" i="1"/>
  <c r="AB765" i="1"/>
  <c r="AI765" i="1"/>
  <c r="AJ765" i="1"/>
  <c r="AK765" i="1"/>
  <c r="AP765" i="1"/>
  <c r="AR765" i="1"/>
  <c r="AY765" i="1"/>
  <c r="BE765" i="1"/>
  <c r="BF765" i="1"/>
  <c r="C766" i="1"/>
  <c r="E766" i="1"/>
  <c r="F766" i="1"/>
  <c r="G766" i="1"/>
  <c r="H766" i="1"/>
  <c r="L766" i="1"/>
  <c r="M766" i="1"/>
  <c r="N766" i="1"/>
  <c r="O766" i="1"/>
  <c r="P766" i="1"/>
  <c r="Q766" i="1"/>
  <c r="R766" i="1"/>
  <c r="S766" i="1"/>
  <c r="T766" i="1"/>
  <c r="U766" i="1"/>
  <c r="V766" i="1"/>
  <c r="AB766" i="1"/>
  <c r="AI766" i="1"/>
  <c r="AJ766" i="1"/>
  <c r="AK766" i="1"/>
  <c r="AP766" i="1"/>
  <c r="AR766" i="1"/>
  <c r="AY766" i="1"/>
  <c r="BE766" i="1"/>
  <c r="BF766" i="1"/>
  <c r="C767" i="1"/>
  <c r="E767" i="1"/>
  <c r="F767" i="1"/>
  <c r="G767" i="1"/>
  <c r="H767" i="1"/>
  <c r="L767" i="1"/>
  <c r="M767" i="1"/>
  <c r="N767" i="1"/>
  <c r="O767" i="1"/>
  <c r="P767" i="1"/>
  <c r="Q767" i="1"/>
  <c r="R767" i="1"/>
  <c r="S767" i="1"/>
  <c r="T767" i="1"/>
  <c r="U767" i="1"/>
  <c r="V767" i="1"/>
  <c r="AB767" i="1"/>
  <c r="AI767" i="1"/>
  <c r="AJ767" i="1"/>
  <c r="AK767" i="1"/>
  <c r="AP767" i="1"/>
  <c r="AR767" i="1"/>
  <c r="AY767" i="1"/>
  <c r="BE767" i="1"/>
  <c r="BF767" i="1"/>
  <c r="C768" i="1"/>
  <c r="E768" i="1"/>
  <c r="F768" i="1"/>
  <c r="G768" i="1"/>
  <c r="H768" i="1"/>
  <c r="L768" i="1"/>
  <c r="M768" i="1"/>
  <c r="N768" i="1"/>
  <c r="O768" i="1"/>
  <c r="P768" i="1"/>
  <c r="Q768" i="1"/>
  <c r="R768" i="1"/>
  <c r="S768" i="1"/>
  <c r="T768" i="1"/>
  <c r="U768" i="1"/>
  <c r="V768" i="1"/>
  <c r="AB768" i="1"/>
  <c r="AI768" i="1"/>
  <c r="AJ768" i="1"/>
  <c r="AK768" i="1"/>
  <c r="AP768" i="1"/>
  <c r="AR768" i="1"/>
  <c r="AY768" i="1"/>
  <c r="BE768" i="1"/>
  <c r="BF768" i="1"/>
  <c r="C769" i="1"/>
  <c r="E769" i="1"/>
  <c r="F769" i="1"/>
  <c r="G769" i="1"/>
  <c r="H769" i="1"/>
  <c r="L769" i="1"/>
  <c r="M769" i="1"/>
  <c r="N769" i="1"/>
  <c r="O769" i="1"/>
  <c r="P769" i="1"/>
  <c r="Q769" i="1"/>
  <c r="R769" i="1"/>
  <c r="S769" i="1"/>
  <c r="T769" i="1"/>
  <c r="U769" i="1"/>
  <c r="V769" i="1"/>
  <c r="AB769" i="1"/>
  <c r="AI769" i="1"/>
  <c r="AJ769" i="1"/>
  <c r="AK769" i="1"/>
  <c r="AP769" i="1"/>
  <c r="AR769" i="1"/>
  <c r="AY769" i="1"/>
  <c r="BE769" i="1"/>
  <c r="BF769" i="1"/>
  <c r="C770" i="1"/>
  <c r="E770" i="1"/>
  <c r="F770" i="1"/>
  <c r="G770" i="1"/>
  <c r="H770" i="1"/>
  <c r="L770" i="1"/>
  <c r="M770" i="1"/>
  <c r="N770" i="1"/>
  <c r="O770" i="1"/>
  <c r="P770" i="1"/>
  <c r="Q770" i="1"/>
  <c r="R770" i="1"/>
  <c r="S770" i="1"/>
  <c r="T770" i="1"/>
  <c r="U770" i="1"/>
  <c r="V770" i="1"/>
  <c r="AB770" i="1"/>
  <c r="AI770" i="1"/>
  <c r="AJ770" i="1"/>
  <c r="AK770" i="1"/>
  <c r="AP770" i="1"/>
  <c r="AR770" i="1"/>
  <c r="AY770" i="1"/>
  <c r="BE770" i="1"/>
  <c r="BF770" i="1"/>
  <c r="C771" i="1"/>
  <c r="E771" i="1"/>
  <c r="F771" i="1"/>
  <c r="G771" i="1"/>
  <c r="H771" i="1"/>
  <c r="L771" i="1"/>
  <c r="M771" i="1"/>
  <c r="N771" i="1"/>
  <c r="O771" i="1"/>
  <c r="P771" i="1"/>
  <c r="Q771" i="1"/>
  <c r="R771" i="1"/>
  <c r="S771" i="1"/>
  <c r="T771" i="1"/>
  <c r="U771" i="1"/>
  <c r="V771" i="1"/>
  <c r="AB771" i="1"/>
  <c r="AI771" i="1"/>
  <c r="AJ771" i="1"/>
  <c r="AK771" i="1"/>
  <c r="AP771" i="1"/>
  <c r="AR771" i="1"/>
  <c r="AY771" i="1"/>
  <c r="BE771" i="1"/>
  <c r="BF771" i="1"/>
  <c r="C772" i="1"/>
  <c r="E772" i="1"/>
  <c r="F772" i="1"/>
  <c r="G772" i="1"/>
  <c r="H772" i="1"/>
  <c r="L772" i="1"/>
  <c r="M772" i="1"/>
  <c r="N772" i="1"/>
  <c r="O772" i="1"/>
  <c r="P772" i="1"/>
  <c r="Q772" i="1"/>
  <c r="R772" i="1"/>
  <c r="S772" i="1"/>
  <c r="T772" i="1"/>
  <c r="U772" i="1"/>
  <c r="V772" i="1"/>
  <c r="AB772" i="1"/>
  <c r="AI772" i="1"/>
  <c r="AJ772" i="1"/>
  <c r="AK772" i="1"/>
  <c r="AP772" i="1"/>
  <c r="AR772" i="1"/>
  <c r="AY772" i="1"/>
  <c r="BE772" i="1"/>
  <c r="BF772" i="1"/>
  <c r="C773" i="1"/>
  <c r="E773" i="1"/>
  <c r="F773" i="1"/>
  <c r="G773" i="1"/>
  <c r="H773" i="1"/>
  <c r="L773" i="1"/>
  <c r="M773" i="1"/>
  <c r="N773" i="1"/>
  <c r="O773" i="1"/>
  <c r="P773" i="1"/>
  <c r="Q773" i="1"/>
  <c r="R773" i="1"/>
  <c r="S773" i="1"/>
  <c r="T773" i="1"/>
  <c r="U773" i="1"/>
  <c r="V773" i="1"/>
  <c r="AB773" i="1"/>
  <c r="AI773" i="1"/>
  <c r="AJ773" i="1"/>
  <c r="AK773" i="1"/>
  <c r="AP773" i="1"/>
  <c r="AR773" i="1"/>
  <c r="AY773" i="1"/>
  <c r="BE773" i="1"/>
  <c r="BF773" i="1"/>
  <c r="C774" i="1"/>
  <c r="E774" i="1"/>
  <c r="F774" i="1"/>
  <c r="G774" i="1"/>
  <c r="H774" i="1"/>
  <c r="L774" i="1"/>
  <c r="M774" i="1"/>
  <c r="N774" i="1"/>
  <c r="O774" i="1"/>
  <c r="P774" i="1"/>
  <c r="Q774" i="1"/>
  <c r="R774" i="1"/>
  <c r="S774" i="1"/>
  <c r="T774" i="1"/>
  <c r="U774" i="1"/>
  <c r="V774" i="1"/>
  <c r="AB774" i="1"/>
  <c r="AI774" i="1"/>
  <c r="AJ774" i="1"/>
  <c r="AK774" i="1"/>
  <c r="AP774" i="1"/>
  <c r="AR774" i="1"/>
  <c r="AY774" i="1"/>
  <c r="BE774" i="1"/>
  <c r="BF774" i="1"/>
  <c r="C775" i="1"/>
  <c r="E775" i="1"/>
  <c r="F775" i="1"/>
  <c r="G775" i="1"/>
  <c r="H775" i="1"/>
  <c r="L775" i="1"/>
  <c r="M775" i="1"/>
  <c r="N775" i="1"/>
  <c r="O775" i="1"/>
  <c r="P775" i="1"/>
  <c r="Q775" i="1"/>
  <c r="R775" i="1"/>
  <c r="S775" i="1"/>
  <c r="T775" i="1"/>
  <c r="U775" i="1"/>
  <c r="V775" i="1"/>
  <c r="AB775" i="1"/>
  <c r="AI775" i="1"/>
  <c r="AJ775" i="1"/>
  <c r="AK775" i="1"/>
  <c r="AP775" i="1"/>
  <c r="AR775" i="1"/>
  <c r="AY775" i="1"/>
  <c r="BE775" i="1"/>
  <c r="BF775" i="1"/>
  <c r="C776" i="1"/>
  <c r="E776" i="1"/>
  <c r="F776" i="1"/>
  <c r="G776" i="1"/>
  <c r="H776" i="1"/>
  <c r="L776" i="1"/>
  <c r="M776" i="1"/>
  <c r="N776" i="1"/>
  <c r="O776" i="1"/>
  <c r="P776" i="1"/>
  <c r="Q776" i="1"/>
  <c r="R776" i="1"/>
  <c r="S776" i="1"/>
  <c r="T776" i="1"/>
  <c r="U776" i="1"/>
  <c r="V776" i="1"/>
  <c r="AB776" i="1"/>
  <c r="AI776" i="1"/>
  <c r="AJ776" i="1"/>
  <c r="AK776" i="1"/>
  <c r="AP776" i="1"/>
  <c r="AR776" i="1"/>
  <c r="AY776" i="1"/>
  <c r="BE776" i="1"/>
  <c r="BF776" i="1"/>
  <c r="C777" i="1"/>
  <c r="E777" i="1"/>
  <c r="F777" i="1"/>
  <c r="G777" i="1"/>
  <c r="H777" i="1"/>
  <c r="L777" i="1"/>
  <c r="M777" i="1"/>
  <c r="N777" i="1"/>
  <c r="O777" i="1"/>
  <c r="P777" i="1"/>
  <c r="Q777" i="1"/>
  <c r="R777" i="1"/>
  <c r="S777" i="1"/>
  <c r="T777" i="1"/>
  <c r="U777" i="1"/>
  <c r="V777" i="1"/>
  <c r="AB777" i="1"/>
  <c r="AI777" i="1"/>
  <c r="AJ777" i="1"/>
  <c r="AK777" i="1"/>
  <c r="AP777" i="1"/>
  <c r="AR777" i="1"/>
  <c r="AY777" i="1"/>
  <c r="BE777" i="1"/>
  <c r="BF777" i="1"/>
  <c r="C778" i="1"/>
  <c r="E778" i="1"/>
  <c r="F778" i="1"/>
  <c r="G778" i="1"/>
  <c r="H778" i="1"/>
  <c r="L778" i="1"/>
  <c r="M778" i="1"/>
  <c r="N778" i="1"/>
  <c r="O778" i="1"/>
  <c r="P778" i="1"/>
  <c r="Q778" i="1"/>
  <c r="R778" i="1"/>
  <c r="S778" i="1"/>
  <c r="T778" i="1"/>
  <c r="U778" i="1"/>
  <c r="V778" i="1"/>
  <c r="AB778" i="1"/>
  <c r="AI778" i="1"/>
  <c r="AJ778" i="1"/>
  <c r="AK778" i="1"/>
  <c r="AP778" i="1"/>
  <c r="AR778" i="1"/>
  <c r="AY778" i="1"/>
  <c r="BE778" i="1"/>
  <c r="BF778" i="1"/>
  <c r="C779" i="1"/>
  <c r="E779" i="1"/>
  <c r="F779" i="1"/>
  <c r="G779" i="1"/>
  <c r="H779" i="1"/>
  <c r="L779" i="1"/>
  <c r="M779" i="1"/>
  <c r="N779" i="1"/>
  <c r="O779" i="1"/>
  <c r="P779" i="1"/>
  <c r="Q779" i="1"/>
  <c r="R779" i="1"/>
  <c r="S779" i="1"/>
  <c r="T779" i="1"/>
  <c r="U779" i="1"/>
  <c r="V779" i="1"/>
  <c r="AB779" i="1"/>
  <c r="AI779" i="1"/>
  <c r="AJ779" i="1"/>
  <c r="AK779" i="1"/>
  <c r="AP779" i="1"/>
  <c r="AR779" i="1"/>
  <c r="AY779" i="1"/>
  <c r="BE779" i="1"/>
  <c r="BF779" i="1"/>
  <c r="C780" i="1"/>
  <c r="E780" i="1"/>
  <c r="F780" i="1"/>
  <c r="G780" i="1"/>
  <c r="H780" i="1"/>
  <c r="L780" i="1"/>
  <c r="M780" i="1"/>
  <c r="N780" i="1"/>
  <c r="O780" i="1"/>
  <c r="P780" i="1"/>
  <c r="Q780" i="1"/>
  <c r="R780" i="1"/>
  <c r="S780" i="1"/>
  <c r="T780" i="1"/>
  <c r="U780" i="1"/>
  <c r="V780" i="1"/>
  <c r="AB780" i="1"/>
  <c r="AI780" i="1"/>
  <c r="AJ780" i="1"/>
  <c r="AK780" i="1"/>
  <c r="AP780" i="1"/>
  <c r="AR780" i="1"/>
  <c r="AY780" i="1"/>
  <c r="BE780" i="1"/>
  <c r="BF780" i="1"/>
  <c r="C781" i="1"/>
  <c r="E781" i="1"/>
  <c r="F781" i="1"/>
  <c r="G781" i="1"/>
  <c r="H781" i="1"/>
  <c r="L781" i="1"/>
  <c r="M781" i="1"/>
  <c r="N781" i="1"/>
  <c r="O781" i="1"/>
  <c r="P781" i="1"/>
  <c r="Q781" i="1"/>
  <c r="R781" i="1"/>
  <c r="S781" i="1"/>
  <c r="T781" i="1"/>
  <c r="U781" i="1"/>
  <c r="V781" i="1"/>
  <c r="AB781" i="1"/>
  <c r="AI781" i="1"/>
  <c r="AJ781" i="1"/>
  <c r="AK781" i="1"/>
  <c r="AP781" i="1"/>
  <c r="AR781" i="1"/>
  <c r="AY781" i="1"/>
  <c r="BE781" i="1"/>
  <c r="BF781" i="1"/>
  <c r="C782" i="1"/>
  <c r="E782" i="1"/>
  <c r="F782" i="1"/>
  <c r="G782" i="1"/>
  <c r="H782" i="1"/>
  <c r="L782" i="1"/>
  <c r="M782" i="1"/>
  <c r="N782" i="1"/>
  <c r="O782" i="1"/>
  <c r="P782" i="1"/>
  <c r="Q782" i="1"/>
  <c r="R782" i="1"/>
  <c r="S782" i="1"/>
  <c r="T782" i="1"/>
  <c r="U782" i="1"/>
  <c r="V782" i="1"/>
  <c r="AB782" i="1"/>
  <c r="AI782" i="1"/>
  <c r="AJ782" i="1"/>
  <c r="AK782" i="1"/>
  <c r="AP782" i="1"/>
  <c r="AR782" i="1"/>
  <c r="AY782" i="1"/>
  <c r="BE782" i="1"/>
  <c r="BF782" i="1"/>
  <c r="C783" i="1"/>
  <c r="E783" i="1"/>
  <c r="F783" i="1"/>
  <c r="G783" i="1"/>
  <c r="H783" i="1"/>
  <c r="L783" i="1"/>
  <c r="M783" i="1"/>
  <c r="N783" i="1"/>
  <c r="O783" i="1"/>
  <c r="P783" i="1"/>
  <c r="Q783" i="1"/>
  <c r="R783" i="1"/>
  <c r="S783" i="1"/>
  <c r="T783" i="1"/>
  <c r="U783" i="1"/>
  <c r="V783" i="1"/>
  <c r="AB783" i="1"/>
  <c r="AI783" i="1"/>
  <c r="AJ783" i="1"/>
  <c r="AK783" i="1"/>
  <c r="AP783" i="1"/>
  <c r="AR783" i="1"/>
  <c r="AY783" i="1"/>
  <c r="BE783" i="1"/>
  <c r="BF783" i="1"/>
  <c r="C784" i="1"/>
  <c r="E784" i="1"/>
  <c r="F784" i="1"/>
  <c r="G784" i="1"/>
  <c r="H784" i="1"/>
  <c r="L784" i="1"/>
  <c r="M784" i="1"/>
  <c r="N784" i="1"/>
  <c r="O784" i="1"/>
  <c r="P784" i="1"/>
  <c r="Q784" i="1"/>
  <c r="R784" i="1"/>
  <c r="S784" i="1"/>
  <c r="T784" i="1"/>
  <c r="U784" i="1"/>
  <c r="V784" i="1"/>
  <c r="AB784" i="1"/>
  <c r="AI784" i="1"/>
  <c r="AJ784" i="1"/>
  <c r="AK784" i="1"/>
  <c r="AP784" i="1"/>
  <c r="AR784" i="1"/>
  <c r="AY784" i="1"/>
  <c r="BE784" i="1"/>
  <c r="BF784" i="1"/>
  <c r="C785" i="1"/>
  <c r="E785" i="1"/>
  <c r="F785" i="1"/>
  <c r="G785" i="1"/>
  <c r="H785" i="1"/>
  <c r="L785" i="1"/>
  <c r="M785" i="1"/>
  <c r="N785" i="1"/>
  <c r="O785" i="1"/>
  <c r="P785" i="1"/>
  <c r="Q785" i="1"/>
  <c r="R785" i="1"/>
  <c r="S785" i="1"/>
  <c r="T785" i="1"/>
  <c r="U785" i="1"/>
  <c r="V785" i="1"/>
  <c r="AB785" i="1"/>
  <c r="AI785" i="1"/>
  <c r="AJ785" i="1"/>
  <c r="AK785" i="1"/>
  <c r="AP785" i="1"/>
  <c r="AR785" i="1"/>
  <c r="AY785" i="1"/>
  <c r="BE785" i="1"/>
  <c r="BF785" i="1"/>
  <c r="C786" i="1"/>
  <c r="E786" i="1"/>
  <c r="F786" i="1"/>
  <c r="G786" i="1"/>
  <c r="H786" i="1"/>
  <c r="L786" i="1"/>
  <c r="M786" i="1"/>
  <c r="N786" i="1"/>
  <c r="O786" i="1"/>
  <c r="P786" i="1"/>
  <c r="Q786" i="1"/>
  <c r="R786" i="1"/>
  <c r="S786" i="1"/>
  <c r="T786" i="1"/>
  <c r="U786" i="1"/>
  <c r="V786" i="1"/>
  <c r="AB786" i="1"/>
  <c r="AI786" i="1"/>
  <c r="AJ786" i="1"/>
  <c r="AK786" i="1"/>
  <c r="AP786" i="1"/>
  <c r="AR786" i="1"/>
  <c r="AY786" i="1"/>
  <c r="BE786" i="1"/>
  <c r="BF786" i="1"/>
  <c r="C787" i="1"/>
  <c r="E787" i="1"/>
  <c r="F787" i="1"/>
  <c r="G787" i="1"/>
  <c r="H787" i="1"/>
  <c r="L787" i="1"/>
  <c r="M787" i="1"/>
  <c r="N787" i="1"/>
  <c r="O787" i="1"/>
  <c r="P787" i="1"/>
  <c r="Q787" i="1"/>
  <c r="R787" i="1"/>
  <c r="S787" i="1"/>
  <c r="T787" i="1"/>
  <c r="U787" i="1"/>
  <c r="V787" i="1"/>
  <c r="AB787" i="1"/>
  <c r="AI787" i="1"/>
  <c r="AJ787" i="1"/>
  <c r="AK787" i="1"/>
  <c r="AP787" i="1"/>
  <c r="AR787" i="1"/>
  <c r="AY787" i="1"/>
  <c r="BE787" i="1"/>
  <c r="BF787" i="1"/>
  <c r="C788" i="1"/>
  <c r="E788" i="1"/>
  <c r="F788" i="1"/>
  <c r="G788" i="1"/>
  <c r="H788" i="1"/>
  <c r="L788" i="1"/>
  <c r="M788" i="1"/>
  <c r="N788" i="1"/>
  <c r="O788" i="1"/>
  <c r="P788" i="1"/>
  <c r="Q788" i="1"/>
  <c r="R788" i="1"/>
  <c r="S788" i="1"/>
  <c r="T788" i="1"/>
  <c r="U788" i="1"/>
  <c r="V788" i="1"/>
  <c r="AB788" i="1"/>
  <c r="AI788" i="1"/>
  <c r="AJ788" i="1"/>
  <c r="AK788" i="1"/>
  <c r="AP788" i="1"/>
  <c r="AR788" i="1"/>
  <c r="AY788" i="1"/>
  <c r="BE788" i="1"/>
  <c r="BF788" i="1"/>
  <c r="C789" i="1"/>
  <c r="E789" i="1"/>
  <c r="F789" i="1"/>
  <c r="G789" i="1"/>
  <c r="H789" i="1"/>
  <c r="L789" i="1"/>
  <c r="M789" i="1"/>
  <c r="N789" i="1"/>
  <c r="O789" i="1"/>
  <c r="P789" i="1"/>
  <c r="Q789" i="1"/>
  <c r="R789" i="1"/>
  <c r="S789" i="1"/>
  <c r="T789" i="1"/>
  <c r="U789" i="1"/>
  <c r="V789" i="1"/>
  <c r="AB789" i="1"/>
  <c r="AI789" i="1"/>
  <c r="AJ789" i="1"/>
  <c r="AK789" i="1"/>
  <c r="AP789" i="1"/>
  <c r="AR789" i="1"/>
  <c r="AY789" i="1"/>
  <c r="BE789" i="1"/>
  <c r="BF789" i="1"/>
  <c r="C790" i="1"/>
  <c r="E790" i="1"/>
  <c r="F790" i="1"/>
  <c r="G790" i="1"/>
  <c r="H790" i="1"/>
  <c r="L790" i="1"/>
  <c r="M790" i="1"/>
  <c r="N790" i="1"/>
  <c r="O790" i="1"/>
  <c r="P790" i="1"/>
  <c r="Q790" i="1"/>
  <c r="R790" i="1"/>
  <c r="S790" i="1"/>
  <c r="T790" i="1"/>
  <c r="U790" i="1"/>
  <c r="V790" i="1"/>
  <c r="AB790" i="1"/>
  <c r="AI790" i="1"/>
  <c r="AJ790" i="1"/>
  <c r="AK790" i="1"/>
  <c r="AP790" i="1"/>
  <c r="AR790" i="1"/>
  <c r="AY790" i="1"/>
  <c r="BE790" i="1"/>
  <c r="BF790" i="1"/>
  <c r="C791" i="1"/>
  <c r="E791" i="1"/>
  <c r="F791" i="1"/>
  <c r="G791" i="1"/>
  <c r="H791" i="1"/>
  <c r="L791" i="1"/>
  <c r="M791" i="1"/>
  <c r="N791" i="1"/>
  <c r="O791" i="1"/>
  <c r="P791" i="1"/>
  <c r="Q791" i="1"/>
  <c r="R791" i="1"/>
  <c r="S791" i="1"/>
  <c r="T791" i="1"/>
  <c r="U791" i="1"/>
  <c r="V791" i="1"/>
  <c r="AB791" i="1"/>
  <c r="AI791" i="1"/>
  <c r="AJ791" i="1"/>
  <c r="AK791" i="1"/>
  <c r="AP791" i="1"/>
  <c r="AR791" i="1"/>
  <c r="AY791" i="1"/>
  <c r="BE791" i="1"/>
  <c r="BF791" i="1"/>
  <c r="C792" i="1"/>
  <c r="E792" i="1"/>
  <c r="F792" i="1"/>
  <c r="G792" i="1"/>
  <c r="H792" i="1"/>
  <c r="L792" i="1"/>
  <c r="M792" i="1"/>
  <c r="N792" i="1"/>
  <c r="O792" i="1"/>
  <c r="P792" i="1"/>
  <c r="Q792" i="1"/>
  <c r="R792" i="1"/>
  <c r="S792" i="1"/>
  <c r="T792" i="1"/>
  <c r="U792" i="1"/>
  <c r="V792" i="1"/>
  <c r="AB792" i="1"/>
  <c r="AI792" i="1"/>
  <c r="AJ792" i="1"/>
  <c r="AK792" i="1"/>
  <c r="AP792" i="1"/>
  <c r="AR792" i="1"/>
  <c r="AY792" i="1"/>
  <c r="BE792" i="1"/>
  <c r="BF792" i="1"/>
  <c r="C793" i="1"/>
  <c r="E793" i="1"/>
  <c r="F793" i="1"/>
  <c r="G793" i="1"/>
  <c r="H793" i="1"/>
  <c r="L793" i="1"/>
  <c r="M793" i="1"/>
  <c r="N793" i="1"/>
  <c r="O793" i="1"/>
  <c r="P793" i="1"/>
  <c r="Q793" i="1"/>
  <c r="R793" i="1"/>
  <c r="S793" i="1"/>
  <c r="T793" i="1"/>
  <c r="U793" i="1"/>
  <c r="V793" i="1"/>
  <c r="AB793" i="1"/>
  <c r="AI793" i="1"/>
  <c r="AJ793" i="1"/>
  <c r="AK793" i="1"/>
  <c r="AP793" i="1"/>
  <c r="AR793" i="1"/>
  <c r="AY793" i="1"/>
  <c r="BE793" i="1"/>
  <c r="BF793" i="1"/>
  <c r="C794" i="1"/>
  <c r="E794" i="1"/>
  <c r="F794" i="1"/>
  <c r="G794" i="1"/>
  <c r="H794" i="1"/>
  <c r="L794" i="1"/>
  <c r="M794" i="1"/>
  <c r="N794" i="1"/>
  <c r="O794" i="1"/>
  <c r="P794" i="1"/>
  <c r="Q794" i="1"/>
  <c r="R794" i="1"/>
  <c r="S794" i="1"/>
  <c r="T794" i="1"/>
  <c r="U794" i="1"/>
  <c r="V794" i="1"/>
  <c r="AB794" i="1"/>
  <c r="AI794" i="1"/>
  <c r="AJ794" i="1"/>
  <c r="AK794" i="1"/>
  <c r="AP794" i="1"/>
  <c r="AR794" i="1"/>
  <c r="AY794" i="1"/>
  <c r="BE794" i="1"/>
  <c r="BF794" i="1"/>
  <c r="C795" i="1"/>
  <c r="E795" i="1"/>
  <c r="F795" i="1"/>
  <c r="G795" i="1"/>
  <c r="H795" i="1"/>
  <c r="L795" i="1"/>
  <c r="M795" i="1"/>
  <c r="N795" i="1"/>
  <c r="O795" i="1"/>
  <c r="P795" i="1"/>
  <c r="Q795" i="1"/>
  <c r="R795" i="1"/>
  <c r="S795" i="1"/>
  <c r="T795" i="1"/>
  <c r="U795" i="1"/>
  <c r="V795" i="1"/>
  <c r="AB795" i="1"/>
  <c r="AI795" i="1"/>
  <c r="AJ795" i="1"/>
  <c r="AK795" i="1"/>
  <c r="AP795" i="1"/>
  <c r="AR795" i="1"/>
  <c r="AY795" i="1"/>
  <c r="BE795" i="1"/>
  <c r="BF795" i="1"/>
  <c r="C796" i="1"/>
  <c r="E796" i="1"/>
  <c r="F796" i="1"/>
  <c r="G796" i="1"/>
  <c r="H796" i="1"/>
  <c r="L796" i="1"/>
  <c r="M796" i="1"/>
  <c r="N796" i="1"/>
  <c r="O796" i="1"/>
  <c r="P796" i="1"/>
  <c r="Q796" i="1"/>
  <c r="R796" i="1"/>
  <c r="S796" i="1"/>
  <c r="T796" i="1"/>
  <c r="U796" i="1"/>
  <c r="V796" i="1"/>
  <c r="AB796" i="1"/>
  <c r="AI796" i="1"/>
  <c r="AJ796" i="1"/>
  <c r="AK796" i="1"/>
  <c r="AP796" i="1"/>
  <c r="AR796" i="1"/>
  <c r="AY796" i="1"/>
  <c r="BE796" i="1"/>
  <c r="BF796" i="1"/>
  <c r="C797" i="1"/>
  <c r="E797" i="1"/>
  <c r="F797" i="1"/>
  <c r="G797" i="1"/>
  <c r="H797" i="1"/>
  <c r="L797" i="1"/>
  <c r="M797" i="1"/>
  <c r="N797" i="1"/>
  <c r="O797" i="1"/>
  <c r="P797" i="1"/>
  <c r="Q797" i="1"/>
  <c r="R797" i="1"/>
  <c r="S797" i="1"/>
  <c r="T797" i="1"/>
  <c r="U797" i="1"/>
  <c r="V797" i="1"/>
  <c r="AB797" i="1"/>
  <c r="AI797" i="1"/>
  <c r="AJ797" i="1"/>
  <c r="AK797" i="1"/>
  <c r="AP797" i="1"/>
  <c r="AR797" i="1"/>
  <c r="AY797" i="1"/>
  <c r="BE797" i="1"/>
  <c r="BF797" i="1"/>
  <c r="C798" i="1"/>
  <c r="E798" i="1"/>
  <c r="F798" i="1"/>
  <c r="G798" i="1"/>
  <c r="H798" i="1"/>
  <c r="L798" i="1"/>
  <c r="M798" i="1"/>
  <c r="N798" i="1"/>
  <c r="O798" i="1"/>
  <c r="P798" i="1"/>
  <c r="Q798" i="1"/>
  <c r="R798" i="1"/>
  <c r="S798" i="1"/>
  <c r="T798" i="1"/>
  <c r="U798" i="1"/>
  <c r="V798" i="1"/>
  <c r="AB798" i="1"/>
  <c r="AI798" i="1"/>
  <c r="AJ798" i="1"/>
  <c r="AK798" i="1"/>
  <c r="AP798" i="1"/>
  <c r="AR798" i="1"/>
  <c r="AY798" i="1"/>
  <c r="BE798" i="1"/>
  <c r="BF798" i="1"/>
  <c r="C799" i="1"/>
  <c r="E799" i="1"/>
  <c r="F799" i="1"/>
  <c r="G799" i="1"/>
  <c r="H799" i="1"/>
  <c r="L799" i="1"/>
  <c r="M799" i="1"/>
  <c r="N799" i="1"/>
  <c r="O799" i="1"/>
  <c r="P799" i="1"/>
  <c r="Q799" i="1"/>
  <c r="R799" i="1"/>
  <c r="S799" i="1"/>
  <c r="T799" i="1"/>
  <c r="U799" i="1"/>
  <c r="V799" i="1"/>
  <c r="AI799" i="1"/>
  <c r="AJ799" i="1"/>
  <c r="AK799" i="1"/>
  <c r="AP799" i="1"/>
  <c r="AR799" i="1"/>
  <c r="AY799" i="1"/>
  <c r="BE799" i="1"/>
  <c r="BF799" i="1"/>
  <c r="C800" i="1"/>
  <c r="E800" i="1"/>
  <c r="F800" i="1"/>
  <c r="G800" i="1"/>
  <c r="H800" i="1"/>
  <c r="L800" i="1"/>
  <c r="M800" i="1"/>
  <c r="N800" i="1"/>
  <c r="O800" i="1"/>
  <c r="P800" i="1"/>
  <c r="Q800" i="1"/>
  <c r="R800" i="1"/>
  <c r="S800" i="1"/>
  <c r="T800" i="1"/>
  <c r="U800" i="1"/>
  <c r="V800" i="1"/>
  <c r="AI800" i="1"/>
  <c r="AJ800" i="1"/>
  <c r="AK800" i="1"/>
  <c r="AP800" i="1"/>
  <c r="AR800" i="1"/>
  <c r="AY800" i="1"/>
  <c r="BE800" i="1"/>
  <c r="BF800" i="1"/>
  <c r="C801" i="1"/>
  <c r="E801" i="1"/>
  <c r="F801" i="1"/>
  <c r="G801" i="1"/>
  <c r="H801" i="1"/>
  <c r="L801" i="1"/>
  <c r="M801" i="1"/>
  <c r="N801" i="1"/>
  <c r="O801" i="1"/>
  <c r="P801" i="1"/>
  <c r="Q801" i="1"/>
  <c r="R801" i="1"/>
  <c r="S801" i="1"/>
  <c r="T801" i="1"/>
  <c r="U801" i="1"/>
  <c r="V801" i="1"/>
  <c r="AI801" i="1"/>
  <c r="AJ801" i="1"/>
  <c r="AK801" i="1"/>
  <c r="AP801" i="1"/>
  <c r="AR801" i="1"/>
  <c r="AY801" i="1"/>
  <c r="BE801" i="1"/>
  <c r="BF801" i="1"/>
  <c r="C802" i="1"/>
  <c r="E802" i="1"/>
  <c r="F802" i="1"/>
  <c r="G802" i="1"/>
  <c r="H802" i="1"/>
  <c r="L802" i="1"/>
  <c r="M802" i="1"/>
  <c r="N802" i="1"/>
  <c r="O802" i="1"/>
  <c r="P802" i="1"/>
  <c r="Q802" i="1"/>
  <c r="R802" i="1"/>
  <c r="S802" i="1"/>
  <c r="T802" i="1"/>
  <c r="U802" i="1"/>
  <c r="V802" i="1"/>
  <c r="AI802" i="1"/>
  <c r="AJ802" i="1"/>
  <c r="AK802" i="1"/>
  <c r="AP802" i="1"/>
  <c r="AR802" i="1"/>
  <c r="AY802" i="1"/>
  <c r="BE802" i="1"/>
  <c r="BF802" i="1"/>
  <c r="C803" i="1"/>
  <c r="E803" i="1"/>
  <c r="F803" i="1"/>
  <c r="G803" i="1"/>
  <c r="H803" i="1"/>
  <c r="L803" i="1"/>
  <c r="M803" i="1"/>
  <c r="N803" i="1"/>
  <c r="O803" i="1"/>
  <c r="P803" i="1"/>
  <c r="Q803" i="1"/>
  <c r="R803" i="1"/>
  <c r="S803" i="1"/>
  <c r="T803" i="1"/>
  <c r="U803" i="1"/>
  <c r="V803" i="1"/>
  <c r="AI803" i="1"/>
  <c r="AJ803" i="1"/>
  <c r="AK803" i="1"/>
  <c r="AP803" i="1"/>
  <c r="AR803" i="1"/>
  <c r="AY803" i="1"/>
  <c r="BE803" i="1"/>
  <c r="BF803" i="1"/>
  <c r="C804" i="1"/>
  <c r="E804" i="1"/>
  <c r="F804" i="1"/>
  <c r="G804" i="1"/>
  <c r="H804" i="1"/>
  <c r="L804" i="1"/>
  <c r="M804" i="1"/>
  <c r="N804" i="1"/>
  <c r="O804" i="1"/>
  <c r="P804" i="1"/>
  <c r="Q804" i="1"/>
  <c r="R804" i="1"/>
  <c r="S804" i="1"/>
  <c r="T804" i="1"/>
  <c r="U804" i="1"/>
  <c r="V804" i="1"/>
  <c r="AI804" i="1"/>
  <c r="AJ804" i="1"/>
  <c r="AK804" i="1"/>
  <c r="AP804" i="1"/>
  <c r="AR804" i="1"/>
  <c r="AY804" i="1"/>
  <c r="BE804" i="1"/>
  <c r="BF804" i="1"/>
  <c r="C805" i="1"/>
  <c r="E805" i="1"/>
  <c r="F805" i="1"/>
  <c r="G805" i="1"/>
  <c r="H805" i="1"/>
  <c r="L805" i="1"/>
  <c r="M805" i="1"/>
  <c r="N805" i="1"/>
  <c r="O805" i="1"/>
  <c r="P805" i="1"/>
  <c r="Q805" i="1"/>
  <c r="R805" i="1"/>
  <c r="S805" i="1"/>
  <c r="T805" i="1"/>
  <c r="U805" i="1"/>
  <c r="V805" i="1"/>
  <c r="AI805" i="1"/>
  <c r="AJ805" i="1"/>
  <c r="AK805" i="1"/>
  <c r="AP805" i="1"/>
  <c r="AR805" i="1"/>
  <c r="AY805" i="1"/>
  <c r="BE805" i="1"/>
  <c r="BF805" i="1"/>
  <c r="C806" i="1"/>
  <c r="E806" i="1"/>
  <c r="F806" i="1"/>
  <c r="G806" i="1"/>
  <c r="H806" i="1"/>
  <c r="L806" i="1"/>
  <c r="M806" i="1"/>
  <c r="N806" i="1"/>
  <c r="O806" i="1"/>
  <c r="P806" i="1"/>
  <c r="Q806" i="1"/>
  <c r="R806" i="1"/>
  <c r="S806" i="1"/>
  <c r="T806" i="1"/>
  <c r="U806" i="1"/>
  <c r="V806" i="1"/>
  <c r="AI806" i="1"/>
  <c r="AJ806" i="1"/>
  <c r="AK806" i="1"/>
  <c r="AP806" i="1"/>
  <c r="AR806" i="1"/>
  <c r="AY806" i="1"/>
  <c r="BE806" i="1"/>
  <c r="BF806" i="1"/>
  <c r="C807" i="1"/>
  <c r="E807" i="1"/>
  <c r="F807" i="1"/>
  <c r="G807" i="1"/>
  <c r="H807" i="1"/>
  <c r="L807" i="1"/>
  <c r="M807" i="1"/>
  <c r="N807" i="1"/>
  <c r="O807" i="1"/>
  <c r="P807" i="1"/>
  <c r="Q807" i="1"/>
  <c r="R807" i="1"/>
  <c r="S807" i="1"/>
  <c r="T807" i="1"/>
  <c r="U807" i="1"/>
  <c r="V807" i="1"/>
  <c r="AI807" i="1"/>
  <c r="AJ807" i="1"/>
  <c r="AK807" i="1"/>
  <c r="AP807" i="1"/>
  <c r="AR807" i="1"/>
  <c r="AY807" i="1"/>
  <c r="BE807" i="1"/>
  <c r="BF807" i="1"/>
  <c r="C808" i="1"/>
  <c r="E808" i="1"/>
  <c r="F808" i="1"/>
  <c r="G808" i="1"/>
  <c r="H808" i="1"/>
  <c r="L808" i="1"/>
  <c r="M808" i="1"/>
  <c r="N808" i="1"/>
  <c r="O808" i="1"/>
  <c r="P808" i="1"/>
  <c r="Q808" i="1"/>
  <c r="R808" i="1"/>
  <c r="S808" i="1"/>
  <c r="T808" i="1"/>
  <c r="U808" i="1"/>
  <c r="V808" i="1"/>
  <c r="AI808" i="1"/>
  <c r="AJ808" i="1"/>
  <c r="AK808" i="1"/>
  <c r="AP808" i="1"/>
  <c r="AR808" i="1"/>
  <c r="AY808" i="1"/>
  <c r="BE808" i="1"/>
  <c r="BF808" i="1"/>
  <c r="C809" i="1"/>
  <c r="E809" i="1"/>
  <c r="F809" i="1"/>
  <c r="G809" i="1"/>
  <c r="H809" i="1"/>
  <c r="L809" i="1"/>
  <c r="M809" i="1"/>
  <c r="N809" i="1"/>
  <c r="O809" i="1"/>
  <c r="P809" i="1"/>
  <c r="Q809" i="1"/>
  <c r="R809" i="1"/>
  <c r="S809" i="1"/>
  <c r="T809" i="1"/>
  <c r="U809" i="1"/>
  <c r="V809" i="1"/>
  <c r="AI809" i="1"/>
  <c r="AJ809" i="1"/>
  <c r="AK809" i="1"/>
  <c r="AP809" i="1"/>
  <c r="AR809" i="1"/>
  <c r="AY809" i="1"/>
  <c r="BE809" i="1"/>
  <c r="BF809" i="1"/>
  <c r="C810" i="1"/>
  <c r="E810" i="1"/>
  <c r="F810" i="1"/>
  <c r="G810" i="1"/>
  <c r="H810" i="1"/>
  <c r="L810" i="1"/>
  <c r="M810" i="1"/>
  <c r="N810" i="1"/>
  <c r="O810" i="1"/>
  <c r="P810" i="1"/>
  <c r="Q810" i="1"/>
  <c r="R810" i="1"/>
  <c r="S810" i="1"/>
  <c r="T810" i="1"/>
  <c r="U810" i="1"/>
  <c r="V810" i="1"/>
  <c r="AI810" i="1"/>
  <c r="AJ810" i="1"/>
  <c r="AK810" i="1"/>
  <c r="AP810" i="1"/>
  <c r="AR810" i="1"/>
  <c r="AY810" i="1"/>
  <c r="BE810" i="1"/>
  <c r="BF810" i="1"/>
  <c r="C811" i="1"/>
  <c r="E811" i="1"/>
  <c r="F811" i="1"/>
  <c r="G811" i="1"/>
  <c r="H811" i="1"/>
  <c r="L811" i="1"/>
  <c r="M811" i="1"/>
  <c r="N811" i="1"/>
  <c r="O811" i="1"/>
  <c r="P811" i="1"/>
  <c r="Q811" i="1"/>
  <c r="R811" i="1"/>
  <c r="S811" i="1"/>
  <c r="T811" i="1"/>
  <c r="U811" i="1"/>
  <c r="V811" i="1"/>
  <c r="AI811" i="1"/>
  <c r="AJ811" i="1"/>
  <c r="AK811" i="1"/>
  <c r="AP811" i="1"/>
  <c r="AR811" i="1"/>
  <c r="AY811" i="1"/>
  <c r="BE811" i="1"/>
  <c r="BF811" i="1"/>
  <c r="C812" i="1"/>
  <c r="E812" i="1"/>
  <c r="F812" i="1"/>
  <c r="G812" i="1"/>
  <c r="H812" i="1"/>
  <c r="L812" i="1"/>
  <c r="M812" i="1"/>
  <c r="N812" i="1"/>
  <c r="O812" i="1"/>
  <c r="P812" i="1"/>
  <c r="Q812" i="1"/>
  <c r="R812" i="1"/>
  <c r="S812" i="1"/>
  <c r="T812" i="1"/>
  <c r="U812" i="1"/>
  <c r="V812" i="1"/>
  <c r="AI812" i="1"/>
  <c r="AJ812" i="1"/>
  <c r="AK812" i="1"/>
  <c r="AP812" i="1"/>
  <c r="AR812" i="1"/>
  <c r="AY812" i="1"/>
  <c r="BE812" i="1"/>
  <c r="BF812" i="1"/>
  <c r="C813" i="1"/>
  <c r="E813" i="1"/>
  <c r="F813" i="1"/>
  <c r="G813" i="1"/>
  <c r="H813" i="1"/>
  <c r="L813" i="1"/>
  <c r="M813" i="1"/>
  <c r="N813" i="1"/>
  <c r="O813" i="1"/>
  <c r="P813" i="1"/>
  <c r="Q813" i="1"/>
  <c r="R813" i="1"/>
  <c r="S813" i="1"/>
  <c r="T813" i="1"/>
  <c r="U813" i="1"/>
  <c r="V813" i="1"/>
  <c r="AI813" i="1"/>
  <c r="AJ813" i="1"/>
  <c r="AK813" i="1"/>
  <c r="AP813" i="1"/>
  <c r="AR813" i="1"/>
  <c r="AY813" i="1"/>
  <c r="BE813" i="1"/>
  <c r="BF813" i="1"/>
  <c r="C814" i="1"/>
  <c r="E814" i="1"/>
  <c r="F814" i="1"/>
  <c r="G814" i="1"/>
  <c r="H814" i="1"/>
  <c r="L814" i="1"/>
  <c r="M814" i="1"/>
  <c r="N814" i="1"/>
  <c r="O814" i="1"/>
  <c r="P814" i="1"/>
  <c r="Q814" i="1"/>
  <c r="R814" i="1"/>
  <c r="S814" i="1"/>
  <c r="T814" i="1"/>
  <c r="U814" i="1"/>
  <c r="V814" i="1"/>
  <c r="AI814" i="1"/>
  <c r="AJ814" i="1"/>
  <c r="AK814" i="1"/>
  <c r="AP814" i="1"/>
  <c r="AR814" i="1"/>
  <c r="AY814" i="1"/>
  <c r="BE814" i="1"/>
  <c r="BF814" i="1"/>
  <c r="C815" i="1"/>
  <c r="E815" i="1"/>
  <c r="F815" i="1"/>
  <c r="G815" i="1"/>
  <c r="H815" i="1"/>
  <c r="L815" i="1"/>
  <c r="M815" i="1"/>
  <c r="N815" i="1"/>
  <c r="O815" i="1"/>
  <c r="P815" i="1"/>
  <c r="Q815" i="1"/>
  <c r="R815" i="1"/>
  <c r="S815" i="1"/>
  <c r="T815" i="1"/>
  <c r="U815" i="1"/>
  <c r="V815" i="1"/>
  <c r="AI815" i="1"/>
  <c r="AJ815" i="1"/>
  <c r="AK815" i="1"/>
  <c r="AP815" i="1"/>
  <c r="AR815" i="1"/>
  <c r="AY815" i="1"/>
  <c r="BE815" i="1"/>
  <c r="BF815" i="1"/>
  <c r="C816" i="1"/>
  <c r="E816" i="1"/>
  <c r="F816" i="1"/>
  <c r="G816" i="1"/>
  <c r="H816" i="1"/>
  <c r="L816" i="1"/>
  <c r="M816" i="1"/>
  <c r="N816" i="1"/>
  <c r="O816" i="1"/>
  <c r="P816" i="1"/>
  <c r="Q816" i="1"/>
  <c r="R816" i="1"/>
  <c r="S816" i="1"/>
  <c r="T816" i="1"/>
  <c r="U816" i="1"/>
  <c r="V816" i="1"/>
  <c r="AI816" i="1"/>
  <c r="AJ816" i="1"/>
  <c r="AK816" i="1"/>
  <c r="AP816" i="1"/>
  <c r="AR816" i="1"/>
  <c r="AY816" i="1"/>
  <c r="BE816" i="1"/>
  <c r="BF816" i="1"/>
  <c r="C817" i="1"/>
  <c r="E817" i="1"/>
  <c r="F817" i="1"/>
  <c r="G817" i="1"/>
  <c r="H817" i="1"/>
  <c r="L817" i="1"/>
  <c r="M817" i="1"/>
  <c r="N817" i="1"/>
  <c r="O817" i="1"/>
  <c r="P817" i="1"/>
  <c r="Q817" i="1"/>
  <c r="R817" i="1"/>
  <c r="S817" i="1"/>
  <c r="T817" i="1"/>
  <c r="U817" i="1"/>
  <c r="V817" i="1"/>
  <c r="AI817" i="1"/>
  <c r="AJ817" i="1"/>
  <c r="AK817" i="1"/>
  <c r="AP817" i="1"/>
  <c r="AR817" i="1"/>
  <c r="AY817" i="1"/>
  <c r="BE817" i="1"/>
  <c r="BF817" i="1"/>
  <c r="C818" i="1"/>
  <c r="E818" i="1"/>
  <c r="F818" i="1"/>
  <c r="G818" i="1"/>
  <c r="H818" i="1"/>
  <c r="L818" i="1"/>
  <c r="M818" i="1"/>
  <c r="N818" i="1"/>
  <c r="O818" i="1"/>
  <c r="P818" i="1"/>
  <c r="Q818" i="1"/>
  <c r="R818" i="1"/>
  <c r="S818" i="1"/>
  <c r="T818" i="1"/>
  <c r="U818" i="1"/>
  <c r="V818" i="1"/>
  <c r="AI818" i="1"/>
  <c r="AJ818" i="1"/>
  <c r="AK818" i="1"/>
  <c r="AP818" i="1"/>
  <c r="AR818" i="1"/>
  <c r="AY818" i="1"/>
  <c r="BE818" i="1"/>
  <c r="BF818" i="1"/>
  <c r="C819" i="1"/>
  <c r="E819" i="1"/>
  <c r="F819" i="1"/>
  <c r="G819" i="1"/>
  <c r="H819" i="1"/>
  <c r="L819" i="1"/>
  <c r="M819" i="1"/>
  <c r="N819" i="1"/>
  <c r="O819" i="1"/>
  <c r="P819" i="1"/>
  <c r="Q819" i="1"/>
  <c r="R819" i="1"/>
  <c r="S819" i="1"/>
  <c r="T819" i="1"/>
  <c r="U819" i="1"/>
  <c r="V819" i="1"/>
  <c r="AI819" i="1"/>
  <c r="AJ819" i="1"/>
  <c r="AK819" i="1"/>
  <c r="AP819" i="1"/>
  <c r="AR819" i="1"/>
  <c r="AY819" i="1"/>
  <c r="BE819" i="1"/>
  <c r="BF819" i="1"/>
  <c r="C820" i="1"/>
  <c r="E820" i="1"/>
  <c r="F820" i="1"/>
  <c r="G820" i="1"/>
  <c r="H820" i="1"/>
  <c r="L820" i="1"/>
  <c r="M820" i="1"/>
  <c r="N820" i="1"/>
  <c r="O820" i="1"/>
  <c r="P820" i="1"/>
  <c r="Q820" i="1"/>
  <c r="R820" i="1"/>
  <c r="S820" i="1"/>
  <c r="T820" i="1"/>
  <c r="U820" i="1"/>
  <c r="V820" i="1"/>
  <c r="AI820" i="1"/>
  <c r="AJ820" i="1"/>
  <c r="AK820" i="1"/>
  <c r="AP820" i="1"/>
  <c r="AR820" i="1"/>
  <c r="AY820" i="1"/>
  <c r="BE820" i="1"/>
  <c r="BF820" i="1"/>
  <c r="C821" i="1"/>
  <c r="E821" i="1"/>
  <c r="F821" i="1"/>
  <c r="G821" i="1"/>
  <c r="H821" i="1"/>
  <c r="L821" i="1"/>
  <c r="M821" i="1"/>
  <c r="N821" i="1"/>
  <c r="O821" i="1"/>
  <c r="P821" i="1"/>
  <c r="Q821" i="1"/>
  <c r="R821" i="1"/>
  <c r="S821" i="1"/>
  <c r="T821" i="1"/>
  <c r="U821" i="1"/>
  <c r="V821" i="1"/>
  <c r="AI821" i="1"/>
  <c r="AJ821" i="1"/>
  <c r="AK821" i="1"/>
  <c r="AP821" i="1"/>
  <c r="AR821" i="1"/>
  <c r="AY821" i="1"/>
  <c r="BE821" i="1"/>
  <c r="BF821" i="1"/>
  <c r="C822" i="1"/>
  <c r="E822" i="1"/>
  <c r="F822" i="1"/>
  <c r="G822" i="1"/>
  <c r="H822" i="1"/>
  <c r="L822" i="1"/>
  <c r="M822" i="1"/>
  <c r="N822" i="1"/>
  <c r="O822" i="1"/>
  <c r="P822" i="1"/>
  <c r="Q822" i="1"/>
  <c r="R822" i="1"/>
  <c r="S822" i="1"/>
  <c r="T822" i="1"/>
  <c r="U822" i="1"/>
  <c r="V822" i="1"/>
  <c r="AI822" i="1"/>
  <c r="AJ822" i="1"/>
  <c r="AK822" i="1"/>
  <c r="AP822" i="1"/>
  <c r="AR822" i="1"/>
  <c r="AY822" i="1"/>
  <c r="BE822" i="1"/>
  <c r="BF822" i="1"/>
  <c r="C823" i="1"/>
  <c r="E823" i="1"/>
  <c r="F823" i="1"/>
  <c r="G823" i="1"/>
  <c r="H823" i="1"/>
  <c r="L823" i="1"/>
  <c r="M823" i="1"/>
  <c r="N823" i="1"/>
  <c r="O823" i="1"/>
  <c r="P823" i="1"/>
  <c r="Q823" i="1"/>
  <c r="R823" i="1"/>
  <c r="S823" i="1"/>
  <c r="T823" i="1"/>
  <c r="U823" i="1"/>
  <c r="V823" i="1"/>
  <c r="AI823" i="1"/>
  <c r="AJ823" i="1"/>
  <c r="AK823" i="1"/>
  <c r="AP823" i="1"/>
  <c r="AR823" i="1"/>
  <c r="AY823" i="1"/>
  <c r="BE823" i="1"/>
  <c r="BF823" i="1"/>
  <c r="C824" i="1"/>
  <c r="E824" i="1"/>
  <c r="F824" i="1"/>
  <c r="G824" i="1"/>
  <c r="H824" i="1"/>
  <c r="L824" i="1"/>
  <c r="M824" i="1"/>
  <c r="N824" i="1"/>
  <c r="O824" i="1"/>
  <c r="P824" i="1"/>
  <c r="Q824" i="1"/>
  <c r="R824" i="1"/>
  <c r="S824" i="1"/>
  <c r="T824" i="1"/>
  <c r="U824" i="1"/>
  <c r="V824" i="1"/>
  <c r="AI824" i="1"/>
  <c r="AJ824" i="1"/>
  <c r="AK824" i="1"/>
  <c r="AP824" i="1"/>
  <c r="AR824" i="1"/>
  <c r="AY824" i="1"/>
  <c r="BE824" i="1"/>
  <c r="BF824" i="1"/>
  <c r="C825" i="1"/>
  <c r="E825" i="1"/>
  <c r="F825" i="1"/>
  <c r="G825" i="1"/>
  <c r="H825" i="1"/>
  <c r="L825" i="1"/>
  <c r="M825" i="1"/>
  <c r="N825" i="1"/>
  <c r="O825" i="1"/>
  <c r="P825" i="1"/>
  <c r="Q825" i="1"/>
  <c r="R825" i="1"/>
  <c r="S825" i="1"/>
  <c r="T825" i="1"/>
  <c r="U825" i="1"/>
  <c r="V825" i="1"/>
  <c r="AI825" i="1"/>
  <c r="AJ825" i="1"/>
  <c r="AK825" i="1"/>
  <c r="AP825" i="1"/>
  <c r="AR825" i="1"/>
  <c r="AY825" i="1"/>
  <c r="BE825" i="1"/>
  <c r="BF825" i="1"/>
  <c r="C826" i="1"/>
  <c r="E826" i="1"/>
  <c r="F826" i="1"/>
  <c r="G826" i="1"/>
  <c r="H826" i="1"/>
  <c r="L826" i="1"/>
  <c r="M826" i="1"/>
  <c r="N826" i="1"/>
  <c r="O826" i="1"/>
  <c r="P826" i="1"/>
  <c r="Q826" i="1"/>
  <c r="R826" i="1"/>
  <c r="S826" i="1"/>
  <c r="T826" i="1"/>
  <c r="U826" i="1"/>
  <c r="V826" i="1"/>
  <c r="AI826" i="1"/>
  <c r="AJ826" i="1"/>
  <c r="AK826" i="1"/>
  <c r="AP826" i="1"/>
  <c r="AR826" i="1"/>
  <c r="AY826" i="1"/>
  <c r="BE826" i="1"/>
  <c r="BF826" i="1"/>
  <c r="C827" i="1"/>
  <c r="E827" i="1"/>
  <c r="F827" i="1"/>
  <c r="G827" i="1"/>
  <c r="H827" i="1"/>
  <c r="L827" i="1"/>
  <c r="M827" i="1"/>
  <c r="N827" i="1"/>
  <c r="O827" i="1"/>
  <c r="P827" i="1"/>
  <c r="Q827" i="1"/>
  <c r="R827" i="1"/>
  <c r="S827" i="1"/>
  <c r="T827" i="1"/>
  <c r="U827" i="1"/>
  <c r="V827" i="1"/>
  <c r="AI827" i="1"/>
  <c r="AJ827" i="1"/>
  <c r="AK827" i="1"/>
  <c r="AP827" i="1"/>
  <c r="AR827" i="1"/>
  <c r="AY827" i="1"/>
  <c r="BE827" i="1"/>
  <c r="BF827" i="1"/>
  <c r="C828" i="1"/>
  <c r="E828" i="1"/>
  <c r="F828" i="1"/>
  <c r="G828" i="1"/>
  <c r="H828" i="1"/>
  <c r="L828" i="1"/>
  <c r="M828" i="1"/>
  <c r="N828" i="1"/>
  <c r="O828" i="1"/>
  <c r="P828" i="1"/>
  <c r="Q828" i="1"/>
  <c r="R828" i="1"/>
  <c r="S828" i="1"/>
  <c r="T828" i="1"/>
  <c r="U828" i="1"/>
  <c r="V828" i="1"/>
  <c r="AI828" i="1"/>
  <c r="AJ828" i="1"/>
  <c r="AK828" i="1"/>
  <c r="AP828" i="1"/>
  <c r="AR828" i="1"/>
  <c r="AY828" i="1"/>
  <c r="BE828" i="1"/>
  <c r="BF828" i="1"/>
  <c r="C829" i="1"/>
  <c r="E829" i="1"/>
  <c r="F829" i="1"/>
  <c r="G829" i="1"/>
  <c r="H829" i="1"/>
  <c r="L829" i="1"/>
  <c r="M829" i="1"/>
  <c r="N829" i="1"/>
  <c r="O829" i="1"/>
  <c r="P829" i="1"/>
  <c r="Q829" i="1"/>
  <c r="R829" i="1"/>
  <c r="S829" i="1"/>
  <c r="T829" i="1"/>
  <c r="U829" i="1"/>
  <c r="V829" i="1"/>
  <c r="AI829" i="1"/>
  <c r="AJ829" i="1"/>
  <c r="AK829" i="1"/>
  <c r="AP829" i="1"/>
  <c r="AR829" i="1"/>
  <c r="AY829" i="1"/>
  <c r="BE829" i="1"/>
  <c r="BF829" i="1"/>
  <c r="C830" i="1"/>
  <c r="E830" i="1"/>
  <c r="F830" i="1"/>
  <c r="G830" i="1"/>
  <c r="H830" i="1"/>
  <c r="L830" i="1"/>
  <c r="M830" i="1"/>
  <c r="N830" i="1"/>
  <c r="O830" i="1"/>
  <c r="P830" i="1"/>
  <c r="Q830" i="1"/>
  <c r="R830" i="1"/>
  <c r="S830" i="1"/>
  <c r="T830" i="1"/>
  <c r="U830" i="1"/>
  <c r="V830" i="1"/>
  <c r="AI830" i="1"/>
  <c r="AJ830" i="1"/>
  <c r="AK830" i="1"/>
  <c r="AP830" i="1"/>
  <c r="AR830" i="1"/>
  <c r="AY830" i="1"/>
  <c r="BE830" i="1"/>
  <c r="BF830" i="1"/>
  <c r="C831" i="1"/>
  <c r="E831" i="1"/>
  <c r="F831" i="1"/>
  <c r="G831" i="1"/>
  <c r="H831" i="1"/>
  <c r="L831" i="1"/>
  <c r="M831" i="1"/>
  <c r="N831" i="1"/>
  <c r="O831" i="1"/>
  <c r="P831" i="1"/>
  <c r="Q831" i="1"/>
  <c r="R831" i="1"/>
  <c r="S831" i="1"/>
  <c r="T831" i="1"/>
  <c r="U831" i="1"/>
  <c r="V831" i="1"/>
  <c r="AI831" i="1"/>
  <c r="AJ831" i="1"/>
  <c r="AK831" i="1"/>
  <c r="AP831" i="1"/>
  <c r="AR831" i="1"/>
  <c r="AY831" i="1"/>
  <c r="BE831" i="1"/>
  <c r="BF831" i="1"/>
  <c r="C832" i="1"/>
  <c r="E832" i="1"/>
  <c r="F832" i="1"/>
  <c r="G832" i="1"/>
  <c r="H832" i="1"/>
  <c r="L832" i="1"/>
  <c r="M832" i="1"/>
  <c r="N832" i="1"/>
  <c r="O832" i="1"/>
  <c r="P832" i="1"/>
  <c r="Q832" i="1"/>
  <c r="R832" i="1"/>
  <c r="S832" i="1"/>
  <c r="T832" i="1"/>
  <c r="U832" i="1"/>
  <c r="V832" i="1"/>
  <c r="AI832" i="1"/>
  <c r="AJ832" i="1"/>
  <c r="AK832" i="1"/>
  <c r="AP832" i="1"/>
  <c r="AR832" i="1"/>
  <c r="AY832" i="1"/>
  <c r="BE832" i="1"/>
  <c r="BF832" i="1"/>
  <c r="C833" i="1"/>
  <c r="E833" i="1"/>
  <c r="F833" i="1"/>
  <c r="G833" i="1"/>
  <c r="H833" i="1"/>
  <c r="L833" i="1"/>
  <c r="M833" i="1"/>
  <c r="N833" i="1"/>
  <c r="O833" i="1"/>
  <c r="P833" i="1"/>
  <c r="Q833" i="1"/>
  <c r="R833" i="1"/>
  <c r="S833" i="1"/>
  <c r="T833" i="1"/>
  <c r="U833" i="1"/>
  <c r="V833" i="1"/>
  <c r="AI833" i="1"/>
  <c r="AJ833" i="1"/>
  <c r="AK833" i="1"/>
  <c r="AP833" i="1"/>
  <c r="AR833" i="1"/>
  <c r="AY833" i="1"/>
  <c r="BE833" i="1"/>
  <c r="BF833" i="1"/>
  <c r="C834" i="1"/>
  <c r="E834" i="1"/>
  <c r="F834" i="1"/>
  <c r="G834" i="1"/>
  <c r="H834" i="1"/>
  <c r="L834" i="1"/>
  <c r="M834" i="1"/>
  <c r="N834" i="1"/>
  <c r="O834" i="1"/>
  <c r="P834" i="1"/>
  <c r="Q834" i="1"/>
  <c r="R834" i="1"/>
  <c r="S834" i="1"/>
  <c r="T834" i="1"/>
  <c r="U834" i="1"/>
  <c r="V834" i="1"/>
  <c r="AI834" i="1"/>
  <c r="AJ834" i="1"/>
  <c r="AK834" i="1"/>
  <c r="AP834" i="1"/>
  <c r="AR834" i="1"/>
  <c r="AY834" i="1"/>
  <c r="BE834" i="1"/>
  <c r="BF834" i="1"/>
  <c r="C835" i="1"/>
  <c r="E835" i="1"/>
  <c r="F835" i="1"/>
  <c r="G835" i="1"/>
  <c r="H835" i="1"/>
  <c r="L835" i="1"/>
  <c r="M835" i="1"/>
  <c r="N835" i="1"/>
  <c r="O835" i="1"/>
  <c r="P835" i="1"/>
  <c r="Q835" i="1"/>
  <c r="R835" i="1"/>
  <c r="S835" i="1"/>
  <c r="T835" i="1"/>
  <c r="U835" i="1"/>
  <c r="V835" i="1"/>
  <c r="AI835" i="1"/>
  <c r="AJ835" i="1"/>
  <c r="AK835" i="1"/>
  <c r="AP835" i="1"/>
  <c r="AR835" i="1"/>
  <c r="AY835" i="1"/>
  <c r="BE835" i="1"/>
  <c r="BF835" i="1"/>
  <c r="C836" i="1"/>
  <c r="E836" i="1"/>
  <c r="F836" i="1"/>
  <c r="G836" i="1"/>
  <c r="H836" i="1"/>
  <c r="L836" i="1"/>
  <c r="M836" i="1"/>
  <c r="N836" i="1"/>
  <c r="O836" i="1"/>
  <c r="P836" i="1"/>
  <c r="Q836" i="1"/>
  <c r="R836" i="1"/>
  <c r="S836" i="1"/>
  <c r="T836" i="1"/>
  <c r="U836" i="1"/>
  <c r="V836" i="1"/>
  <c r="AI836" i="1"/>
  <c r="AJ836" i="1"/>
  <c r="AK836" i="1"/>
  <c r="AP836" i="1"/>
  <c r="AR836" i="1"/>
  <c r="AY836" i="1"/>
  <c r="BE836" i="1"/>
  <c r="BF836" i="1"/>
  <c r="C837" i="1"/>
  <c r="E837" i="1"/>
  <c r="F837" i="1"/>
  <c r="G837" i="1"/>
  <c r="H837" i="1"/>
  <c r="L837" i="1"/>
  <c r="M837" i="1"/>
  <c r="N837" i="1"/>
  <c r="O837" i="1"/>
  <c r="P837" i="1"/>
  <c r="Q837" i="1"/>
  <c r="R837" i="1"/>
  <c r="S837" i="1"/>
  <c r="T837" i="1"/>
  <c r="U837" i="1"/>
  <c r="V837" i="1"/>
  <c r="AI837" i="1"/>
  <c r="AJ837" i="1"/>
  <c r="AK837" i="1"/>
  <c r="AP837" i="1"/>
  <c r="AR837" i="1"/>
  <c r="AY837" i="1"/>
  <c r="BE837" i="1"/>
  <c r="BF837" i="1"/>
  <c r="C838" i="1"/>
  <c r="E838" i="1"/>
  <c r="F838" i="1"/>
  <c r="G838" i="1"/>
  <c r="H838" i="1"/>
  <c r="L838" i="1"/>
  <c r="M838" i="1"/>
  <c r="N838" i="1"/>
  <c r="O838" i="1"/>
  <c r="P838" i="1"/>
  <c r="Q838" i="1"/>
  <c r="R838" i="1"/>
  <c r="S838" i="1"/>
  <c r="T838" i="1"/>
  <c r="U838" i="1"/>
  <c r="V838" i="1"/>
  <c r="AI838" i="1"/>
  <c r="AJ838" i="1"/>
  <c r="AK838" i="1"/>
  <c r="AP838" i="1"/>
  <c r="AR838" i="1"/>
  <c r="AY838" i="1"/>
  <c r="BE838" i="1"/>
  <c r="BF838" i="1"/>
  <c r="C839" i="1"/>
  <c r="E839" i="1"/>
  <c r="F839" i="1"/>
  <c r="G839" i="1"/>
  <c r="H839" i="1"/>
  <c r="L839" i="1"/>
  <c r="M839" i="1"/>
  <c r="N839" i="1"/>
  <c r="O839" i="1"/>
  <c r="P839" i="1"/>
  <c r="Q839" i="1"/>
  <c r="R839" i="1"/>
  <c r="S839" i="1"/>
  <c r="T839" i="1"/>
  <c r="U839" i="1"/>
  <c r="V839" i="1"/>
  <c r="AI839" i="1"/>
  <c r="AJ839" i="1"/>
  <c r="AK839" i="1"/>
  <c r="AP839" i="1"/>
  <c r="AR839" i="1"/>
  <c r="AY839" i="1"/>
  <c r="BE839" i="1"/>
  <c r="BF839" i="1"/>
  <c r="C840" i="1"/>
  <c r="E840" i="1"/>
  <c r="F840" i="1"/>
  <c r="G840" i="1"/>
  <c r="H840" i="1"/>
  <c r="L840" i="1"/>
  <c r="M840" i="1"/>
  <c r="N840" i="1"/>
  <c r="O840" i="1"/>
  <c r="P840" i="1"/>
  <c r="Q840" i="1"/>
  <c r="R840" i="1"/>
  <c r="S840" i="1"/>
  <c r="T840" i="1"/>
  <c r="U840" i="1"/>
  <c r="V840" i="1"/>
  <c r="AI840" i="1"/>
  <c r="AJ840" i="1"/>
  <c r="AK840" i="1"/>
  <c r="AP840" i="1"/>
  <c r="AR840" i="1"/>
  <c r="AY840" i="1"/>
  <c r="BE840" i="1"/>
  <c r="BF840" i="1"/>
  <c r="C841" i="1"/>
  <c r="E841" i="1"/>
  <c r="F841" i="1"/>
  <c r="G841" i="1"/>
  <c r="H841" i="1"/>
  <c r="L841" i="1"/>
  <c r="M841" i="1"/>
  <c r="N841" i="1"/>
  <c r="O841" i="1"/>
  <c r="P841" i="1"/>
  <c r="Q841" i="1"/>
  <c r="R841" i="1"/>
  <c r="S841" i="1"/>
  <c r="T841" i="1"/>
  <c r="U841" i="1"/>
  <c r="V841" i="1"/>
  <c r="AI841" i="1"/>
  <c r="AJ841" i="1"/>
  <c r="AK841" i="1"/>
  <c r="AP841" i="1"/>
  <c r="AR841" i="1"/>
  <c r="AY841" i="1"/>
  <c r="BE841" i="1"/>
  <c r="BF841" i="1"/>
  <c r="C842" i="1"/>
  <c r="E842" i="1"/>
  <c r="F842" i="1"/>
  <c r="G842" i="1"/>
  <c r="H842" i="1"/>
  <c r="L842" i="1"/>
  <c r="M842" i="1"/>
  <c r="N842" i="1"/>
  <c r="O842" i="1"/>
  <c r="P842" i="1"/>
  <c r="Q842" i="1"/>
  <c r="R842" i="1"/>
  <c r="S842" i="1"/>
  <c r="T842" i="1"/>
  <c r="U842" i="1"/>
  <c r="V842" i="1"/>
  <c r="AI842" i="1"/>
  <c r="AJ842" i="1"/>
  <c r="AK842" i="1"/>
  <c r="AP842" i="1"/>
  <c r="AR842" i="1"/>
  <c r="AY842" i="1"/>
  <c r="BE842" i="1"/>
  <c r="BF842" i="1"/>
  <c r="C843" i="1"/>
  <c r="E843" i="1"/>
  <c r="F843" i="1"/>
  <c r="G843" i="1"/>
  <c r="H843" i="1"/>
  <c r="L843" i="1"/>
  <c r="M843" i="1"/>
  <c r="N843" i="1"/>
  <c r="O843" i="1"/>
  <c r="P843" i="1"/>
  <c r="Q843" i="1"/>
  <c r="R843" i="1"/>
  <c r="S843" i="1"/>
  <c r="T843" i="1"/>
  <c r="U843" i="1"/>
  <c r="V843" i="1"/>
  <c r="AI843" i="1"/>
  <c r="AJ843" i="1"/>
  <c r="AK843" i="1"/>
  <c r="AP843" i="1"/>
  <c r="AR843" i="1"/>
  <c r="AY843" i="1"/>
  <c r="BE843" i="1"/>
  <c r="BF843" i="1"/>
  <c r="C844" i="1"/>
  <c r="E844" i="1"/>
  <c r="F844" i="1"/>
  <c r="G844" i="1"/>
  <c r="H844" i="1"/>
  <c r="L844" i="1"/>
  <c r="M844" i="1"/>
  <c r="N844" i="1"/>
  <c r="O844" i="1"/>
  <c r="P844" i="1"/>
  <c r="Q844" i="1"/>
  <c r="R844" i="1"/>
  <c r="S844" i="1"/>
  <c r="T844" i="1"/>
  <c r="U844" i="1"/>
  <c r="V844" i="1"/>
  <c r="AI844" i="1"/>
  <c r="AJ844" i="1"/>
  <c r="AK844" i="1"/>
  <c r="AP844" i="1"/>
  <c r="AR844" i="1"/>
  <c r="AY844" i="1"/>
  <c r="BE844" i="1"/>
  <c r="BF844" i="1"/>
  <c r="C845" i="1"/>
  <c r="E845" i="1"/>
  <c r="F845" i="1"/>
  <c r="G845" i="1"/>
  <c r="H845" i="1"/>
  <c r="L845" i="1"/>
  <c r="M845" i="1"/>
  <c r="N845" i="1"/>
  <c r="O845" i="1"/>
  <c r="P845" i="1"/>
  <c r="Q845" i="1"/>
  <c r="R845" i="1"/>
  <c r="S845" i="1"/>
  <c r="T845" i="1"/>
  <c r="U845" i="1"/>
  <c r="V845" i="1"/>
  <c r="AI845" i="1"/>
  <c r="AJ845" i="1"/>
  <c r="AK845" i="1"/>
  <c r="AP845" i="1"/>
  <c r="AR845" i="1"/>
  <c r="AY845" i="1"/>
  <c r="BE845" i="1"/>
  <c r="BF845" i="1"/>
  <c r="C846" i="1"/>
  <c r="E846" i="1"/>
  <c r="F846" i="1"/>
  <c r="G846" i="1"/>
  <c r="H846" i="1"/>
  <c r="L846" i="1"/>
  <c r="M846" i="1"/>
  <c r="N846" i="1"/>
  <c r="O846" i="1"/>
  <c r="P846" i="1"/>
  <c r="Q846" i="1"/>
  <c r="R846" i="1"/>
  <c r="S846" i="1"/>
  <c r="T846" i="1"/>
  <c r="U846" i="1"/>
  <c r="V846" i="1"/>
  <c r="AI846" i="1"/>
  <c r="AJ846" i="1"/>
  <c r="AK846" i="1"/>
  <c r="AP846" i="1"/>
  <c r="AR846" i="1"/>
  <c r="AY846" i="1"/>
  <c r="BE846" i="1"/>
  <c r="BF846" i="1"/>
  <c r="C847" i="1"/>
  <c r="E847" i="1"/>
  <c r="F847" i="1"/>
  <c r="G847" i="1"/>
  <c r="H847" i="1"/>
  <c r="L847" i="1"/>
  <c r="M847" i="1"/>
  <c r="N847" i="1"/>
  <c r="O847" i="1"/>
  <c r="P847" i="1"/>
  <c r="Q847" i="1"/>
  <c r="R847" i="1"/>
  <c r="S847" i="1"/>
  <c r="T847" i="1"/>
  <c r="U847" i="1"/>
  <c r="V847" i="1"/>
  <c r="AI847" i="1"/>
  <c r="AJ847" i="1"/>
  <c r="AK847" i="1"/>
  <c r="AP847" i="1"/>
  <c r="AR847" i="1"/>
  <c r="AY847" i="1"/>
  <c r="BE847" i="1"/>
  <c r="BF847" i="1"/>
  <c r="C848" i="1"/>
  <c r="E848" i="1"/>
  <c r="F848" i="1"/>
  <c r="G848" i="1"/>
  <c r="H848" i="1"/>
  <c r="L848" i="1"/>
  <c r="M848" i="1"/>
  <c r="N848" i="1"/>
  <c r="O848" i="1"/>
  <c r="P848" i="1"/>
  <c r="Q848" i="1"/>
  <c r="R848" i="1"/>
  <c r="S848" i="1"/>
  <c r="T848" i="1"/>
  <c r="U848" i="1"/>
  <c r="V848" i="1"/>
  <c r="AI848" i="1"/>
  <c r="AJ848" i="1"/>
  <c r="AK848" i="1"/>
  <c r="AP848" i="1"/>
  <c r="AR848" i="1"/>
  <c r="AY848" i="1"/>
  <c r="BE848" i="1"/>
  <c r="BF848" i="1"/>
  <c r="C849" i="1"/>
  <c r="E849" i="1"/>
  <c r="F849" i="1"/>
  <c r="G849" i="1"/>
  <c r="H849" i="1"/>
  <c r="L849" i="1"/>
  <c r="M849" i="1"/>
  <c r="N849" i="1"/>
  <c r="O849" i="1"/>
  <c r="P849" i="1"/>
  <c r="Q849" i="1"/>
  <c r="R849" i="1"/>
  <c r="S849" i="1"/>
  <c r="T849" i="1"/>
  <c r="U849" i="1"/>
  <c r="V849" i="1"/>
  <c r="AI849" i="1"/>
  <c r="AJ849" i="1"/>
  <c r="AK849" i="1"/>
  <c r="AP849" i="1"/>
  <c r="AR849" i="1"/>
  <c r="AY849" i="1"/>
  <c r="BE849" i="1"/>
  <c r="BF849" i="1"/>
  <c r="C850" i="1"/>
  <c r="E850" i="1"/>
  <c r="F850" i="1"/>
  <c r="G850" i="1"/>
  <c r="H850" i="1"/>
  <c r="L850" i="1"/>
  <c r="M850" i="1"/>
  <c r="N850" i="1"/>
  <c r="O850" i="1"/>
  <c r="P850" i="1"/>
  <c r="Q850" i="1"/>
  <c r="R850" i="1"/>
  <c r="S850" i="1"/>
  <c r="T850" i="1"/>
  <c r="U850" i="1"/>
  <c r="V850" i="1"/>
  <c r="AI850" i="1"/>
  <c r="AJ850" i="1"/>
  <c r="AK850" i="1"/>
  <c r="AP850" i="1"/>
  <c r="AR850" i="1"/>
  <c r="AY850" i="1"/>
  <c r="BE850" i="1"/>
  <c r="BF850" i="1"/>
  <c r="C851" i="1"/>
  <c r="E851" i="1"/>
  <c r="F851" i="1"/>
  <c r="G851" i="1"/>
  <c r="H851" i="1"/>
  <c r="L851" i="1"/>
  <c r="M851" i="1"/>
  <c r="N851" i="1"/>
  <c r="O851" i="1"/>
  <c r="P851" i="1"/>
  <c r="Q851" i="1"/>
  <c r="R851" i="1"/>
  <c r="S851" i="1"/>
  <c r="T851" i="1"/>
  <c r="U851" i="1"/>
  <c r="V851" i="1"/>
  <c r="AI851" i="1"/>
  <c r="AJ851" i="1"/>
  <c r="AK851" i="1"/>
  <c r="AP851" i="1"/>
  <c r="AR851" i="1"/>
  <c r="AY851" i="1"/>
  <c r="BE851" i="1"/>
  <c r="BF851" i="1"/>
  <c r="C852" i="1"/>
  <c r="E852" i="1"/>
  <c r="F852" i="1"/>
  <c r="G852" i="1"/>
  <c r="H852" i="1"/>
  <c r="L852" i="1"/>
  <c r="M852" i="1"/>
  <c r="N852" i="1"/>
  <c r="O852" i="1"/>
  <c r="P852" i="1"/>
  <c r="Q852" i="1"/>
  <c r="R852" i="1"/>
  <c r="S852" i="1"/>
  <c r="T852" i="1"/>
  <c r="U852" i="1"/>
  <c r="V852" i="1"/>
  <c r="AI852" i="1"/>
  <c r="AJ852" i="1"/>
  <c r="AK852" i="1"/>
  <c r="AP852" i="1"/>
  <c r="AR852" i="1"/>
  <c r="AY852" i="1"/>
  <c r="BE852" i="1"/>
  <c r="BF852" i="1"/>
  <c r="C853" i="1"/>
  <c r="E853" i="1"/>
  <c r="F853" i="1"/>
  <c r="G853" i="1"/>
  <c r="H853" i="1"/>
  <c r="L853" i="1"/>
  <c r="M853" i="1"/>
  <c r="N853" i="1"/>
  <c r="O853" i="1"/>
  <c r="P853" i="1"/>
  <c r="Q853" i="1"/>
  <c r="R853" i="1"/>
  <c r="S853" i="1"/>
  <c r="T853" i="1"/>
  <c r="U853" i="1"/>
  <c r="V853" i="1"/>
  <c r="AI853" i="1"/>
  <c r="AJ853" i="1"/>
  <c r="AK853" i="1"/>
  <c r="AP853" i="1"/>
  <c r="AR853" i="1"/>
  <c r="AY853" i="1"/>
  <c r="BE853" i="1"/>
  <c r="BF853" i="1"/>
  <c r="C854" i="1"/>
  <c r="E854" i="1"/>
  <c r="F854" i="1"/>
  <c r="G854" i="1"/>
  <c r="H854" i="1"/>
  <c r="L854" i="1"/>
  <c r="M854" i="1"/>
  <c r="N854" i="1"/>
  <c r="O854" i="1"/>
  <c r="P854" i="1"/>
  <c r="Q854" i="1"/>
  <c r="R854" i="1"/>
  <c r="S854" i="1"/>
  <c r="T854" i="1"/>
  <c r="U854" i="1"/>
  <c r="V854" i="1"/>
  <c r="AI854" i="1"/>
  <c r="AJ854" i="1"/>
  <c r="AK854" i="1"/>
  <c r="AP854" i="1"/>
  <c r="AR854" i="1"/>
  <c r="AY854" i="1"/>
  <c r="BE854" i="1"/>
  <c r="BF854" i="1"/>
  <c r="C855" i="1"/>
  <c r="E855" i="1"/>
  <c r="F855" i="1"/>
  <c r="G855" i="1"/>
  <c r="H855" i="1"/>
  <c r="L855" i="1"/>
  <c r="M855" i="1"/>
  <c r="N855" i="1"/>
  <c r="O855" i="1"/>
  <c r="P855" i="1"/>
  <c r="Q855" i="1"/>
  <c r="R855" i="1"/>
  <c r="S855" i="1"/>
  <c r="T855" i="1"/>
  <c r="U855" i="1"/>
  <c r="V855" i="1"/>
  <c r="AI855" i="1"/>
  <c r="AJ855" i="1"/>
  <c r="AK855" i="1"/>
  <c r="AP855" i="1"/>
  <c r="AR855" i="1"/>
  <c r="AY855" i="1"/>
  <c r="BE855" i="1"/>
  <c r="BF855" i="1"/>
  <c r="C856" i="1"/>
  <c r="E856" i="1"/>
  <c r="F856" i="1"/>
  <c r="G856" i="1"/>
  <c r="H856" i="1"/>
  <c r="L856" i="1"/>
  <c r="M856" i="1"/>
  <c r="N856" i="1"/>
  <c r="O856" i="1"/>
  <c r="P856" i="1"/>
  <c r="Q856" i="1"/>
  <c r="R856" i="1"/>
  <c r="S856" i="1"/>
  <c r="T856" i="1"/>
  <c r="U856" i="1"/>
  <c r="V856" i="1"/>
  <c r="AI856" i="1"/>
  <c r="AJ856" i="1"/>
  <c r="AK856" i="1"/>
  <c r="AP856" i="1"/>
  <c r="AR856" i="1"/>
  <c r="AY856" i="1"/>
  <c r="BE856" i="1"/>
  <c r="BF856" i="1"/>
  <c r="C857" i="1"/>
  <c r="E857" i="1"/>
  <c r="F857" i="1"/>
  <c r="G857" i="1"/>
  <c r="H857" i="1"/>
  <c r="L857" i="1"/>
  <c r="M857" i="1"/>
  <c r="N857" i="1"/>
  <c r="O857" i="1"/>
  <c r="P857" i="1"/>
  <c r="Q857" i="1"/>
  <c r="R857" i="1"/>
  <c r="S857" i="1"/>
  <c r="T857" i="1"/>
  <c r="U857" i="1"/>
  <c r="V857" i="1"/>
  <c r="AI857" i="1"/>
  <c r="AJ857" i="1"/>
  <c r="AK857" i="1"/>
  <c r="AP857" i="1"/>
  <c r="AR857" i="1"/>
  <c r="AY857" i="1"/>
  <c r="BE857" i="1"/>
  <c r="BF857" i="1"/>
  <c r="C858" i="1"/>
  <c r="E858" i="1"/>
  <c r="F858" i="1"/>
  <c r="G858" i="1"/>
  <c r="H858" i="1"/>
  <c r="L858" i="1"/>
  <c r="M858" i="1"/>
  <c r="N858" i="1"/>
  <c r="O858" i="1"/>
  <c r="P858" i="1"/>
  <c r="Q858" i="1"/>
  <c r="R858" i="1"/>
  <c r="S858" i="1"/>
  <c r="T858" i="1"/>
  <c r="U858" i="1"/>
  <c r="V858" i="1"/>
  <c r="AI858" i="1"/>
  <c r="AJ858" i="1"/>
  <c r="AK858" i="1"/>
  <c r="AP858" i="1"/>
  <c r="AR858" i="1"/>
  <c r="AY858" i="1"/>
  <c r="BE858" i="1"/>
  <c r="BF858" i="1"/>
  <c r="C859" i="1"/>
  <c r="E859" i="1"/>
  <c r="F859" i="1"/>
  <c r="G859" i="1"/>
  <c r="H859" i="1"/>
  <c r="L859" i="1"/>
  <c r="M859" i="1"/>
  <c r="N859" i="1"/>
  <c r="O859" i="1"/>
  <c r="P859" i="1"/>
  <c r="Q859" i="1"/>
  <c r="R859" i="1"/>
  <c r="S859" i="1"/>
  <c r="T859" i="1"/>
  <c r="U859" i="1"/>
  <c r="V859" i="1"/>
  <c r="AI859" i="1"/>
  <c r="AJ859" i="1"/>
  <c r="AK859" i="1"/>
  <c r="AP859" i="1"/>
  <c r="AR859" i="1"/>
  <c r="AY859" i="1"/>
  <c r="BE859" i="1"/>
  <c r="BF859" i="1"/>
  <c r="C860" i="1"/>
  <c r="E860" i="1"/>
  <c r="F860" i="1"/>
  <c r="G860" i="1"/>
  <c r="H860" i="1"/>
  <c r="L860" i="1"/>
  <c r="M860" i="1"/>
  <c r="N860" i="1"/>
  <c r="O860" i="1"/>
  <c r="P860" i="1"/>
  <c r="Q860" i="1"/>
  <c r="R860" i="1"/>
  <c r="S860" i="1"/>
  <c r="T860" i="1"/>
  <c r="U860" i="1"/>
  <c r="V860" i="1"/>
  <c r="AI860" i="1"/>
  <c r="AJ860" i="1"/>
  <c r="AK860" i="1"/>
  <c r="AP860" i="1"/>
  <c r="AR860" i="1"/>
  <c r="AY860" i="1"/>
  <c r="BE860" i="1"/>
  <c r="BF860" i="1"/>
  <c r="C861" i="1"/>
  <c r="E861" i="1"/>
  <c r="F861" i="1"/>
  <c r="G861" i="1"/>
  <c r="H861" i="1"/>
  <c r="L861" i="1"/>
  <c r="M861" i="1"/>
  <c r="N861" i="1"/>
  <c r="O861" i="1"/>
  <c r="P861" i="1"/>
  <c r="Q861" i="1"/>
  <c r="R861" i="1"/>
  <c r="S861" i="1"/>
  <c r="T861" i="1"/>
  <c r="U861" i="1"/>
  <c r="V861" i="1"/>
  <c r="AI861" i="1"/>
  <c r="AJ861" i="1"/>
  <c r="AK861" i="1"/>
  <c r="AP861" i="1"/>
  <c r="AR861" i="1"/>
  <c r="AY861" i="1"/>
  <c r="BE861" i="1"/>
  <c r="BF861" i="1"/>
  <c r="C862" i="1"/>
  <c r="E862" i="1"/>
  <c r="F862" i="1"/>
  <c r="G862" i="1"/>
  <c r="H862" i="1"/>
  <c r="L862" i="1"/>
  <c r="M862" i="1"/>
  <c r="N862" i="1"/>
  <c r="O862" i="1"/>
  <c r="P862" i="1"/>
  <c r="Q862" i="1"/>
  <c r="R862" i="1"/>
  <c r="S862" i="1"/>
  <c r="T862" i="1"/>
  <c r="U862" i="1"/>
  <c r="V862" i="1"/>
  <c r="AI862" i="1"/>
  <c r="AJ862" i="1"/>
  <c r="AK862" i="1"/>
  <c r="AP862" i="1"/>
  <c r="AR862" i="1"/>
  <c r="AY862" i="1"/>
  <c r="BE862" i="1"/>
  <c r="BF862" i="1"/>
  <c r="C863" i="1"/>
  <c r="E863" i="1"/>
  <c r="F863" i="1"/>
  <c r="G863" i="1"/>
  <c r="H863" i="1"/>
  <c r="L863" i="1"/>
  <c r="M863" i="1"/>
  <c r="N863" i="1"/>
  <c r="O863" i="1"/>
  <c r="P863" i="1"/>
  <c r="Q863" i="1"/>
  <c r="R863" i="1"/>
  <c r="S863" i="1"/>
  <c r="T863" i="1"/>
  <c r="U863" i="1"/>
  <c r="V863" i="1"/>
  <c r="AI863" i="1"/>
  <c r="AJ863" i="1"/>
  <c r="AK863" i="1"/>
  <c r="AP863" i="1"/>
  <c r="AR863" i="1"/>
  <c r="AY863" i="1"/>
  <c r="BE863" i="1"/>
  <c r="BF863" i="1"/>
  <c r="C864" i="1"/>
  <c r="E864" i="1"/>
  <c r="F864" i="1"/>
  <c r="G864" i="1"/>
  <c r="H864" i="1"/>
  <c r="L864" i="1"/>
  <c r="M864" i="1"/>
  <c r="N864" i="1"/>
  <c r="O864" i="1"/>
  <c r="P864" i="1"/>
  <c r="Q864" i="1"/>
  <c r="R864" i="1"/>
  <c r="S864" i="1"/>
  <c r="T864" i="1"/>
  <c r="U864" i="1"/>
  <c r="V864" i="1"/>
  <c r="AI864" i="1"/>
  <c r="AJ864" i="1"/>
  <c r="AK864" i="1"/>
  <c r="AP864" i="1"/>
  <c r="AR864" i="1"/>
  <c r="AY864" i="1"/>
  <c r="BE864" i="1"/>
  <c r="BF864" i="1"/>
  <c r="C865" i="1"/>
  <c r="E865" i="1"/>
  <c r="F865" i="1"/>
  <c r="G865" i="1"/>
  <c r="H865" i="1"/>
  <c r="L865" i="1"/>
  <c r="M865" i="1"/>
  <c r="N865" i="1"/>
  <c r="O865" i="1"/>
  <c r="P865" i="1"/>
  <c r="Q865" i="1"/>
  <c r="R865" i="1"/>
  <c r="S865" i="1"/>
  <c r="T865" i="1"/>
  <c r="U865" i="1"/>
  <c r="V865" i="1"/>
  <c r="AI865" i="1"/>
  <c r="AJ865" i="1"/>
  <c r="AK865" i="1"/>
  <c r="AP865" i="1"/>
  <c r="AR865" i="1"/>
  <c r="AY865" i="1"/>
  <c r="BE865" i="1"/>
  <c r="BF865" i="1"/>
  <c r="C866" i="1"/>
  <c r="E866" i="1"/>
  <c r="F866" i="1"/>
  <c r="G866" i="1"/>
  <c r="H866" i="1"/>
  <c r="L866" i="1"/>
  <c r="M866" i="1"/>
  <c r="N866" i="1"/>
  <c r="O866" i="1"/>
  <c r="P866" i="1"/>
  <c r="Q866" i="1"/>
  <c r="R866" i="1"/>
  <c r="S866" i="1"/>
  <c r="T866" i="1"/>
  <c r="U866" i="1"/>
  <c r="V866" i="1"/>
  <c r="AI866" i="1"/>
  <c r="AJ866" i="1"/>
  <c r="AK866" i="1"/>
  <c r="AP866" i="1"/>
  <c r="AR866" i="1"/>
  <c r="AY866" i="1"/>
  <c r="BE866" i="1"/>
  <c r="BF866" i="1"/>
  <c r="C867" i="1"/>
  <c r="E867" i="1"/>
  <c r="F867" i="1"/>
  <c r="G867" i="1"/>
  <c r="H867" i="1"/>
  <c r="L867" i="1"/>
  <c r="M867" i="1"/>
  <c r="N867" i="1"/>
  <c r="O867" i="1"/>
  <c r="P867" i="1"/>
  <c r="Q867" i="1"/>
  <c r="R867" i="1"/>
  <c r="S867" i="1"/>
  <c r="T867" i="1"/>
  <c r="U867" i="1"/>
  <c r="V867" i="1"/>
  <c r="AI867" i="1"/>
  <c r="AJ867" i="1"/>
  <c r="AK867" i="1"/>
  <c r="AP867" i="1"/>
  <c r="AR867" i="1"/>
  <c r="AY867" i="1"/>
  <c r="BE867" i="1"/>
  <c r="BF867" i="1"/>
  <c r="C868" i="1"/>
  <c r="E868" i="1"/>
  <c r="F868" i="1"/>
  <c r="G868" i="1"/>
  <c r="H868" i="1"/>
  <c r="L868" i="1"/>
  <c r="M868" i="1"/>
  <c r="N868" i="1"/>
  <c r="O868" i="1"/>
  <c r="P868" i="1"/>
  <c r="Q868" i="1"/>
  <c r="R868" i="1"/>
  <c r="S868" i="1"/>
  <c r="T868" i="1"/>
  <c r="U868" i="1"/>
  <c r="V868" i="1"/>
  <c r="AI868" i="1"/>
  <c r="AJ868" i="1"/>
  <c r="AK868" i="1"/>
  <c r="AP868" i="1"/>
  <c r="AR868" i="1"/>
  <c r="AY868" i="1"/>
  <c r="BE868" i="1"/>
  <c r="BF868" i="1"/>
  <c r="C869" i="1"/>
  <c r="E869" i="1"/>
  <c r="F869" i="1"/>
  <c r="G869" i="1"/>
  <c r="H869" i="1"/>
  <c r="L869" i="1"/>
  <c r="M869" i="1"/>
  <c r="N869" i="1"/>
  <c r="O869" i="1"/>
  <c r="P869" i="1"/>
  <c r="Q869" i="1"/>
  <c r="R869" i="1"/>
  <c r="S869" i="1"/>
  <c r="T869" i="1"/>
  <c r="U869" i="1"/>
  <c r="V869" i="1"/>
  <c r="AI869" i="1"/>
  <c r="AJ869" i="1"/>
  <c r="AK869" i="1"/>
  <c r="AP869" i="1"/>
  <c r="AR869" i="1"/>
  <c r="AY869" i="1"/>
  <c r="BE869" i="1"/>
  <c r="BF869" i="1"/>
  <c r="C870" i="1"/>
  <c r="E870" i="1"/>
  <c r="F870" i="1"/>
  <c r="G870" i="1"/>
  <c r="H870" i="1"/>
  <c r="L870" i="1"/>
  <c r="M870" i="1"/>
  <c r="N870" i="1"/>
  <c r="O870" i="1"/>
  <c r="P870" i="1"/>
  <c r="Q870" i="1"/>
  <c r="R870" i="1"/>
  <c r="S870" i="1"/>
  <c r="T870" i="1"/>
  <c r="U870" i="1"/>
  <c r="V870" i="1"/>
  <c r="AI870" i="1"/>
  <c r="AJ870" i="1"/>
  <c r="AK870" i="1"/>
  <c r="AP870" i="1"/>
  <c r="AR870" i="1"/>
  <c r="AY870" i="1"/>
  <c r="BE870" i="1"/>
  <c r="BF870" i="1"/>
  <c r="C871" i="1"/>
  <c r="E871" i="1"/>
  <c r="F871" i="1"/>
  <c r="G871" i="1"/>
  <c r="H871" i="1"/>
  <c r="L871" i="1"/>
  <c r="M871" i="1"/>
  <c r="N871" i="1"/>
  <c r="O871" i="1"/>
  <c r="P871" i="1"/>
  <c r="Q871" i="1"/>
  <c r="R871" i="1"/>
  <c r="S871" i="1"/>
  <c r="T871" i="1"/>
  <c r="U871" i="1"/>
  <c r="V871" i="1"/>
  <c r="AI871" i="1"/>
  <c r="AJ871" i="1"/>
  <c r="AK871" i="1"/>
  <c r="AP871" i="1"/>
  <c r="AR871" i="1"/>
  <c r="AY871" i="1"/>
  <c r="BE871" i="1"/>
  <c r="BF871" i="1"/>
  <c r="C872" i="1"/>
  <c r="E872" i="1"/>
  <c r="F872" i="1"/>
  <c r="G872" i="1"/>
  <c r="H872" i="1"/>
  <c r="L872" i="1"/>
  <c r="M872" i="1"/>
  <c r="N872" i="1"/>
  <c r="O872" i="1"/>
  <c r="P872" i="1"/>
  <c r="Q872" i="1"/>
  <c r="R872" i="1"/>
  <c r="S872" i="1"/>
  <c r="T872" i="1"/>
  <c r="U872" i="1"/>
  <c r="V872" i="1"/>
  <c r="AI872" i="1"/>
  <c r="AJ872" i="1"/>
  <c r="AK872" i="1"/>
  <c r="AP872" i="1"/>
  <c r="AR872" i="1"/>
  <c r="AY872" i="1"/>
  <c r="BE872" i="1"/>
  <c r="BF872" i="1"/>
  <c r="C873" i="1"/>
  <c r="E873" i="1"/>
  <c r="F873" i="1"/>
  <c r="G873" i="1"/>
  <c r="H873" i="1"/>
  <c r="L873" i="1"/>
  <c r="M873" i="1"/>
  <c r="N873" i="1"/>
  <c r="O873" i="1"/>
  <c r="P873" i="1"/>
  <c r="Q873" i="1"/>
  <c r="R873" i="1"/>
  <c r="S873" i="1"/>
  <c r="T873" i="1"/>
  <c r="U873" i="1"/>
  <c r="V873" i="1"/>
  <c r="AI873" i="1"/>
  <c r="AJ873" i="1"/>
  <c r="AK873" i="1"/>
  <c r="AP873" i="1"/>
  <c r="AR873" i="1"/>
  <c r="AY873" i="1"/>
  <c r="BE873" i="1"/>
  <c r="BF873" i="1"/>
  <c r="C874" i="1"/>
  <c r="E874" i="1"/>
  <c r="F874" i="1"/>
  <c r="G874" i="1"/>
  <c r="H874" i="1"/>
  <c r="L874" i="1"/>
  <c r="M874" i="1"/>
  <c r="N874" i="1"/>
  <c r="O874" i="1"/>
  <c r="P874" i="1"/>
  <c r="Q874" i="1"/>
  <c r="R874" i="1"/>
  <c r="S874" i="1"/>
  <c r="T874" i="1"/>
  <c r="U874" i="1"/>
  <c r="V874" i="1"/>
  <c r="AI874" i="1"/>
  <c r="AJ874" i="1"/>
  <c r="AK874" i="1"/>
  <c r="AP874" i="1"/>
  <c r="AR874" i="1"/>
  <c r="AY874" i="1"/>
  <c r="BE874" i="1"/>
  <c r="BF874" i="1"/>
  <c r="C875" i="1"/>
  <c r="E875" i="1"/>
  <c r="F875" i="1"/>
  <c r="G875" i="1"/>
  <c r="H875" i="1"/>
  <c r="L875" i="1"/>
  <c r="M875" i="1"/>
  <c r="N875" i="1"/>
  <c r="O875" i="1"/>
  <c r="P875" i="1"/>
  <c r="Q875" i="1"/>
  <c r="R875" i="1"/>
  <c r="S875" i="1"/>
  <c r="T875" i="1"/>
  <c r="U875" i="1"/>
  <c r="V875" i="1"/>
  <c r="AI875" i="1"/>
  <c r="AJ875" i="1"/>
  <c r="AK875" i="1"/>
  <c r="AP875" i="1"/>
  <c r="AR875" i="1"/>
  <c r="AY875" i="1"/>
  <c r="BE875" i="1"/>
  <c r="BF875" i="1"/>
  <c r="C876" i="1"/>
  <c r="E876" i="1"/>
  <c r="F876" i="1"/>
  <c r="G876" i="1"/>
  <c r="H876" i="1"/>
  <c r="L876" i="1"/>
  <c r="M876" i="1"/>
  <c r="N876" i="1"/>
  <c r="O876" i="1"/>
  <c r="P876" i="1"/>
  <c r="Q876" i="1"/>
  <c r="R876" i="1"/>
  <c r="S876" i="1"/>
  <c r="T876" i="1"/>
  <c r="U876" i="1"/>
  <c r="V876" i="1"/>
  <c r="AI876" i="1"/>
  <c r="AJ876" i="1"/>
  <c r="AK876" i="1"/>
  <c r="AP876" i="1"/>
  <c r="AR876" i="1"/>
  <c r="AY876" i="1"/>
  <c r="BE876" i="1"/>
  <c r="BF876" i="1"/>
  <c r="C877" i="1"/>
  <c r="E877" i="1"/>
  <c r="F877" i="1"/>
  <c r="G877" i="1"/>
  <c r="H877" i="1"/>
  <c r="L877" i="1"/>
  <c r="M877" i="1"/>
  <c r="N877" i="1"/>
  <c r="O877" i="1"/>
  <c r="P877" i="1"/>
  <c r="Q877" i="1"/>
  <c r="R877" i="1"/>
  <c r="S877" i="1"/>
  <c r="T877" i="1"/>
  <c r="U877" i="1"/>
  <c r="V877" i="1"/>
  <c r="AI877" i="1"/>
  <c r="AJ877" i="1"/>
  <c r="AK877" i="1"/>
  <c r="AP877" i="1"/>
  <c r="AR877" i="1"/>
  <c r="AY877" i="1"/>
  <c r="BE877" i="1"/>
  <c r="BF877" i="1"/>
  <c r="C878" i="1"/>
  <c r="E878" i="1"/>
  <c r="F878" i="1"/>
  <c r="G878" i="1"/>
  <c r="H878" i="1"/>
  <c r="L878" i="1"/>
  <c r="M878" i="1"/>
  <c r="N878" i="1"/>
  <c r="O878" i="1"/>
  <c r="P878" i="1"/>
  <c r="Q878" i="1"/>
  <c r="R878" i="1"/>
  <c r="S878" i="1"/>
  <c r="T878" i="1"/>
  <c r="U878" i="1"/>
  <c r="V878" i="1"/>
  <c r="AI878" i="1"/>
  <c r="AJ878" i="1"/>
  <c r="AK878" i="1"/>
  <c r="AP878" i="1"/>
  <c r="AR878" i="1"/>
  <c r="AY878" i="1"/>
  <c r="BE878" i="1"/>
  <c r="BF878" i="1"/>
  <c r="C879" i="1"/>
  <c r="E879" i="1"/>
  <c r="F879" i="1"/>
  <c r="G879" i="1"/>
  <c r="H879" i="1"/>
  <c r="L879" i="1"/>
  <c r="M879" i="1"/>
  <c r="N879" i="1"/>
  <c r="O879" i="1"/>
  <c r="P879" i="1"/>
  <c r="Q879" i="1"/>
  <c r="R879" i="1"/>
  <c r="S879" i="1"/>
  <c r="T879" i="1"/>
  <c r="U879" i="1"/>
  <c r="V879" i="1"/>
  <c r="AI879" i="1"/>
  <c r="AJ879" i="1"/>
  <c r="AK879" i="1"/>
  <c r="AP879" i="1"/>
  <c r="AR879" i="1"/>
  <c r="AY879" i="1"/>
  <c r="BE879" i="1"/>
  <c r="BF879" i="1"/>
  <c r="C880" i="1"/>
  <c r="E880" i="1"/>
  <c r="F880" i="1"/>
  <c r="G880" i="1"/>
  <c r="H880" i="1"/>
  <c r="L880" i="1"/>
  <c r="M880" i="1"/>
  <c r="N880" i="1"/>
  <c r="O880" i="1"/>
  <c r="P880" i="1"/>
  <c r="Q880" i="1"/>
  <c r="R880" i="1"/>
  <c r="S880" i="1"/>
  <c r="T880" i="1"/>
  <c r="U880" i="1"/>
  <c r="V880" i="1"/>
  <c r="AI880" i="1"/>
  <c r="AJ880" i="1"/>
  <c r="AK880" i="1"/>
  <c r="AP880" i="1"/>
  <c r="AR880" i="1"/>
  <c r="AY880" i="1"/>
  <c r="BE880" i="1"/>
  <c r="BF880" i="1"/>
  <c r="C881" i="1"/>
  <c r="E881" i="1"/>
  <c r="F881" i="1"/>
  <c r="G881" i="1"/>
  <c r="H881" i="1"/>
  <c r="L881" i="1"/>
  <c r="M881" i="1"/>
  <c r="N881" i="1"/>
  <c r="O881" i="1"/>
  <c r="P881" i="1"/>
  <c r="Q881" i="1"/>
  <c r="R881" i="1"/>
  <c r="S881" i="1"/>
  <c r="T881" i="1"/>
  <c r="U881" i="1"/>
  <c r="V881" i="1"/>
  <c r="AI881" i="1"/>
  <c r="AJ881" i="1"/>
  <c r="AK881" i="1"/>
  <c r="AP881" i="1"/>
  <c r="AR881" i="1"/>
  <c r="AY881" i="1"/>
  <c r="BE881" i="1"/>
  <c r="BF881" i="1"/>
  <c r="C882" i="1"/>
  <c r="E882" i="1"/>
  <c r="F882" i="1"/>
  <c r="G882" i="1"/>
  <c r="H882" i="1"/>
  <c r="L882" i="1"/>
  <c r="M882" i="1"/>
  <c r="N882" i="1"/>
  <c r="O882" i="1"/>
  <c r="P882" i="1"/>
  <c r="Q882" i="1"/>
  <c r="R882" i="1"/>
  <c r="S882" i="1"/>
  <c r="T882" i="1"/>
  <c r="U882" i="1"/>
  <c r="V882" i="1"/>
  <c r="AI882" i="1"/>
  <c r="AJ882" i="1"/>
  <c r="AK882" i="1"/>
  <c r="AP882" i="1"/>
  <c r="AR882" i="1"/>
  <c r="AY882" i="1"/>
  <c r="BE882" i="1"/>
  <c r="BF882" i="1"/>
  <c r="C883" i="1"/>
  <c r="E883" i="1"/>
  <c r="F883" i="1"/>
  <c r="G883" i="1"/>
  <c r="H883" i="1"/>
  <c r="L883" i="1"/>
  <c r="M883" i="1"/>
  <c r="N883" i="1"/>
  <c r="O883" i="1"/>
  <c r="P883" i="1"/>
  <c r="Q883" i="1"/>
  <c r="R883" i="1"/>
  <c r="S883" i="1"/>
  <c r="T883" i="1"/>
  <c r="U883" i="1"/>
  <c r="V883" i="1"/>
  <c r="AI883" i="1"/>
  <c r="AJ883" i="1"/>
  <c r="AK883" i="1"/>
  <c r="AP883" i="1"/>
  <c r="AR883" i="1"/>
  <c r="AY883" i="1"/>
  <c r="BE883" i="1"/>
  <c r="BF883" i="1"/>
  <c r="C884" i="1"/>
  <c r="E884" i="1"/>
  <c r="F884" i="1"/>
  <c r="G884" i="1"/>
  <c r="H884" i="1"/>
  <c r="L884" i="1"/>
  <c r="M884" i="1"/>
  <c r="N884" i="1"/>
  <c r="O884" i="1"/>
  <c r="P884" i="1"/>
  <c r="Q884" i="1"/>
  <c r="R884" i="1"/>
  <c r="S884" i="1"/>
  <c r="T884" i="1"/>
  <c r="U884" i="1"/>
  <c r="V884" i="1"/>
  <c r="AI884" i="1"/>
  <c r="AJ884" i="1"/>
  <c r="AK884" i="1"/>
  <c r="AP884" i="1"/>
  <c r="AR884" i="1"/>
  <c r="AY884" i="1"/>
  <c r="BE884" i="1"/>
  <c r="BF884" i="1"/>
  <c r="C885" i="1"/>
  <c r="E885" i="1"/>
  <c r="F885" i="1"/>
  <c r="G885" i="1"/>
  <c r="H885" i="1"/>
  <c r="L885" i="1"/>
  <c r="M885" i="1"/>
  <c r="N885" i="1"/>
  <c r="O885" i="1"/>
  <c r="P885" i="1"/>
  <c r="Q885" i="1"/>
  <c r="R885" i="1"/>
  <c r="S885" i="1"/>
  <c r="T885" i="1"/>
  <c r="U885" i="1"/>
  <c r="V885" i="1"/>
  <c r="AI885" i="1"/>
  <c r="AJ885" i="1"/>
  <c r="AK885" i="1"/>
  <c r="AP885" i="1"/>
  <c r="AR885" i="1"/>
  <c r="AY885" i="1"/>
  <c r="BE885" i="1"/>
  <c r="BF885" i="1"/>
  <c r="C886" i="1"/>
  <c r="E886" i="1"/>
  <c r="F886" i="1"/>
  <c r="G886" i="1"/>
  <c r="H886" i="1"/>
  <c r="L886" i="1"/>
  <c r="M886" i="1"/>
  <c r="N886" i="1"/>
  <c r="O886" i="1"/>
  <c r="P886" i="1"/>
  <c r="Q886" i="1"/>
  <c r="R886" i="1"/>
  <c r="S886" i="1"/>
  <c r="T886" i="1"/>
  <c r="U886" i="1"/>
  <c r="V886" i="1"/>
  <c r="AI886" i="1"/>
  <c r="AJ886" i="1"/>
  <c r="AK886" i="1"/>
  <c r="AP886" i="1"/>
  <c r="AR886" i="1"/>
  <c r="AY886" i="1"/>
  <c r="BE886" i="1"/>
  <c r="BF886" i="1"/>
  <c r="C887" i="1"/>
  <c r="E887" i="1"/>
  <c r="F887" i="1"/>
  <c r="G887" i="1"/>
  <c r="H887" i="1"/>
  <c r="L887" i="1"/>
  <c r="M887" i="1"/>
  <c r="N887" i="1"/>
  <c r="O887" i="1"/>
  <c r="P887" i="1"/>
  <c r="Q887" i="1"/>
  <c r="R887" i="1"/>
  <c r="S887" i="1"/>
  <c r="T887" i="1"/>
  <c r="U887" i="1"/>
  <c r="V887" i="1"/>
  <c r="AI887" i="1"/>
  <c r="AJ887" i="1"/>
  <c r="AK887" i="1"/>
  <c r="AP887" i="1"/>
  <c r="AR887" i="1"/>
  <c r="AY887" i="1"/>
  <c r="BE887" i="1"/>
  <c r="BF887" i="1"/>
  <c r="C888" i="1"/>
  <c r="E888" i="1"/>
  <c r="F888" i="1"/>
  <c r="G888" i="1"/>
  <c r="H888" i="1"/>
  <c r="L888" i="1"/>
  <c r="M888" i="1"/>
  <c r="N888" i="1"/>
  <c r="O888" i="1"/>
  <c r="P888" i="1"/>
  <c r="Q888" i="1"/>
  <c r="R888" i="1"/>
  <c r="S888" i="1"/>
  <c r="T888" i="1"/>
  <c r="U888" i="1"/>
  <c r="V888" i="1"/>
  <c r="AI888" i="1"/>
  <c r="AJ888" i="1"/>
  <c r="AK888" i="1"/>
  <c r="AP888" i="1"/>
  <c r="AR888" i="1"/>
  <c r="AY888" i="1"/>
  <c r="BE888" i="1"/>
  <c r="BF888" i="1"/>
  <c r="C889" i="1"/>
  <c r="E889" i="1"/>
  <c r="F889" i="1"/>
  <c r="G889" i="1"/>
  <c r="H889" i="1"/>
  <c r="L889" i="1"/>
  <c r="M889" i="1"/>
  <c r="N889" i="1"/>
  <c r="O889" i="1"/>
  <c r="P889" i="1"/>
  <c r="Q889" i="1"/>
  <c r="R889" i="1"/>
  <c r="S889" i="1"/>
  <c r="T889" i="1"/>
  <c r="U889" i="1"/>
  <c r="V889" i="1"/>
  <c r="AI889" i="1"/>
  <c r="AJ889" i="1"/>
  <c r="AK889" i="1"/>
  <c r="AP889" i="1"/>
  <c r="AR889" i="1"/>
  <c r="AY889" i="1"/>
  <c r="BE889" i="1"/>
  <c r="BF889" i="1"/>
  <c r="C890" i="1"/>
  <c r="E890" i="1"/>
  <c r="F890" i="1"/>
  <c r="G890" i="1"/>
  <c r="H890" i="1"/>
  <c r="L890" i="1"/>
  <c r="M890" i="1"/>
  <c r="N890" i="1"/>
  <c r="O890" i="1"/>
  <c r="P890" i="1"/>
  <c r="Q890" i="1"/>
  <c r="R890" i="1"/>
  <c r="S890" i="1"/>
  <c r="T890" i="1"/>
  <c r="U890" i="1"/>
  <c r="V890" i="1"/>
  <c r="AI890" i="1"/>
  <c r="AJ890" i="1"/>
  <c r="AK890" i="1"/>
  <c r="AP890" i="1"/>
  <c r="AR890" i="1"/>
  <c r="AY890" i="1"/>
  <c r="BE890" i="1"/>
  <c r="BF890" i="1"/>
  <c r="C891" i="1"/>
  <c r="E891" i="1"/>
  <c r="F891" i="1"/>
  <c r="G891" i="1"/>
  <c r="H891" i="1"/>
  <c r="L891" i="1"/>
  <c r="M891" i="1"/>
  <c r="N891" i="1"/>
  <c r="O891" i="1"/>
  <c r="P891" i="1"/>
  <c r="Q891" i="1"/>
  <c r="R891" i="1"/>
  <c r="S891" i="1"/>
  <c r="T891" i="1"/>
  <c r="U891" i="1"/>
  <c r="V891" i="1"/>
  <c r="AI891" i="1"/>
  <c r="AJ891" i="1"/>
  <c r="AK891" i="1"/>
  <c r="AP891" i="1"/>
  <c r="AR891" i="1"/>
  <c r="AY891" i="1"/>
  <c r="BE891" i="1"/>
  <c r="BF891" i="1"/>
  <c r="C892" i="1"/>
  <c r="E892" i="1"/>
  <c r="F892" i="1"/>
  <c r="G892" i="1"/>
  <c r="H892" i="1"/>
  <c r="L892" i="1"/>
  <c r="M892" i="1"/>
  <c r="N892" i="1"/>
  <c r="O892" i="1"/>
  <c r="P892" i="1"/>
  <c r="Q892" i="1"/>
  <c r="R892" i="1"/>
  <c r="S892" i="1"/>
  <c r="T892" i="1"/>
  <c r="U892" i="1"/>
  <c r="V892" i="1"/>
  <c r="AI892" i="1"/>
  <c r="AJ892" i="1"/>
  <c r="AK892" i="1"/>
  <c r="AP892" i="1"/>
  <c r="AR892" i="1"/>
  <c r="AY892" i="1"/>
  <c r="BE892" i="1"/>
  <c r="BF892" i="1"/>
  <c r="C893" i="1"/>
  <c r="E893" i="1"/>
  <c r="F893" i="1"/>
  <c r="G893" i="1"/>
  <c r="H893" i="1"/>
  <c r="L893" i="1"/>
  <c r="M893" i="1"/>
  <c r="N893" i="1"/>
  <c r="O893" i="1"/>
  <c r="P893" i="1"/>
  <c r="Q893" i="1"/>
  <c r="R893" i="1"/>
  <c r="S893" i="1"/>
  <c r="T893" i="1"/>
  <c r="U893" i="1"/>
  <c r="V893" i="1"/>
  <c r="AI893" i="1"/>
  <c r="AJ893" i="1"/>
  <c r="AK893" i="1"/>
  <c r="AP893" i="1"/>
  <c r="AR893" i="1"/>
  <c r="AY893" i="1"/>
  <c r="BE893" i="1"/>
  <c r="BF893" i="1"/>
  <c r="C894" i="1"/>
  <c r="E894" i="1"/>
  <c r="F894" i="1"/>
  <c r="G894" i="1"/>
  <c r="H894" i="1"/>
  <c r="L894" i="1"/>
  <c r="M894" i="1"/>
  <c r="N894" i="1"/>
  <c r="O894" i="1"/>
  <c r="P894" i="1"/>
  <c r="Q894" i="1"/>
  <c r="R894" i="1"/>
  <c r="S894" i="1"/>
  <c r="T894" i="1"/>
  <c r="U894" i="1"/>
  <c r="V894" i="1"/>
  <c r="AI894" i="1"/>
  <c r="AJ894" i="1"/>
  <c r="AK894" i="1"/>
  <c r="AP894" i="1"/>
  <c r="AR894" i="1"/>
  <c r="AY894" i="1"/>
  <c r="BE894" i="1"/>
  <c r="BF894" i="1"/>
  <c r="C895" i="1"/>
  <c r="E895" i="1"/>
  <c r="F895" i="1"/>
  <c r="G895" i="1"/>
  <c r="H895" i="1"/>
  <c r="L895" i="1"/>
  <c r="M895" i="1"/>
  <c r="N895" i="1"/>
  <c r="O895" i="1"/>
  <c r="P895" i="1"/>
  <c r="Q895" i="1"/>
  <c r="R895" i="1"/>
  <c r="S895" i="1"/>
  <c r="T895" i="1"/>
  <c r="U895" i="1"/>
  <c r="V895" i="1"/>
  <c r="AI895" i="1"/>
  <c r="AJ895" i="1"/>
  <c r="AK895" i="1"/>
  <c r="AP895" i="1"/>
  <c r="AR895" i="1"/>
  <c r="AY895" i="1"/>
  <c r="BE895" i="1"/>
  <c r="BF895" i="1"/>
  <c r="C896" i="1"/>
  <c r="E896" i="1"/>
  <c r="F896" i="1"/>
  <c r="G896" i="1"/>
  <c r="H896" i="1"/>
  <c r="L896" i="1"/>
  <c r="M896" i="1"/>
  <c r="N896" i="1"/>
  <c r="O896" i="1"/>
  <c r="P896" i="1"/>
  <c r="Q896" i="1"/>
  <c r="R896" i="1"/>
  <c r="S896" i="1"/>
  <c r="T896" i="1"/>
  <c r="U896" i="1"/>
  <c r="V896" i="1"/>
  <c r="AI896" i="1"/>
  <c r="AJ896" i="1"/>
  <c r="AK896" i="1"/>
  <c r="AP896" i="1"/>
  <c r="AR896" i="1"/>
  <c r="AY896" i="1"/>
  <c r="BE896" i="1"/>
  <c r="BF896" i="1"/>
  <c r="C897" i="1"/>
  <c r="E897" i="1"/>
  <c r="F897" i="1"/>
  <c r="G897" i="1"/>
  <c r="H897" i="1"/>
  <c r="L897" i="1"/>
  <c r="M897" i="1"/>
  <c r="N897" i="1"/>
  <c r="O897" i="1"/>
  <c r="P897" i="1"/>
  <c r="Q897" i="1"/>
  <c r="R897" i="1"/>
  <c r="S897" i="1"/>
  <c r="T897" i="1"/>
  <c r="U897" i="1"/>
  <c r="V897" i="1"/>
  <c r="AI897" i="1"/>
  <c r="AJ897" i="1"/>
  <c r="AK897" i="1"/>
  <c r="AP897" i="1"/>
  <c r="AR897" i="1"/>
  <c r="AY897" i="1"/>
  <c r="BE897" i="1"/>
  <c r="BF897" i="1"/>
  <c r="C898" i="1"/>
  <c r="E898" i="1"/>
  <c r="F898" i="1"/>
  <c r="G898" i="1"/>
  <c r="H898" i="1"/>
  <c r="L898" i="1"/>
  <c r="M898" i="1"/>
  <c r="N898" i="1"/>
  <c r="O898" i="1"/>
  <c r="P898" i="1"/>
  <c r="Q898" i="1"/>
  <c r="R898" i="1"/>
  <c r="S898" i="1"/>
  <c r="T898" i="1"/>
  <c r="U898" i="1"/>
  <c r="V898" i="1"/>
  <c r="AI898" i="1"/>
  <c r="AJ898" i="1"/>
  <c r="AK898" i="1"/>
  <c r="AP898" i="1"/>
  <c r="AR898" i="1"/>
  <c r="AY898" i="1"/>
  <c r="BE898" i="1"/>
  <c r="BF898" i="1"/>
  <c r="C899" i="1"/>
  <c r="E899" i="1"/>
  <c r="F899" i="1"/>
  <c r="G899" i="1"/>
  <c r="H899" i="1"/>
  <c r="L899" i="1"/>
  <c r="M899" i="1"/>
  <c r="N899" i="1"/>
  <c r="O899" i="1"/>
  <c r="P899" i="1"/>
  <c r="Q899" i="1"/>
  <c r="R899" i="1"/>
  <c r="S899" i="1"/>
  <c r="T899" i="1"/>
  <c r="U899" i="1"/>
  <c r="V899" i="1"/>
  <c r="AI899" i="1"/>
  <c r="AJ899" i="1"/>
  <c r="AK899" i="1"/>
  <c r="AP899" i="1"/>
  <c r="AR899" i="1"/>
  <c r="AY899" i="1"/>
  <c r="BE899" i="1"/>
  <c r="BF899" i="1"/>
  <c r="C900" i="1"/>
  <c r="E900" i="1"/>
  <c r="F900" i="1"/>
  <c r="G900" i="1"/>
  <c r="H900" i="1"/>
  <c r="L900" i="1"/>
  <c r="M900" i="1"/>
  <c r="N900" i="1"/>
  <c r="O900" i="1"/>
  <c r="P900" i="1"/>
  <c r="Q900" i="1"/>
  <c r="R900" i="1"/>
  <c r="S900" i="1"/>
  <c r="T900" i="1"/>
  <c r="U900" i="1"/>
  <c r="V900" i="1"/>
  <c r="AI900" i="1"/>
  <c r="AJ900" i="1"/>
  <c r="AK900" i="1"/>
  <c r="AP900" i="1"/>
  <c r="AR900" i="1"/>
  <c r="AY900" i="1"/>
  <c r="BE900" i="1"/>
  <c r="BF900" i="1"/>
  <c r="C901" i="1"/>
  <c r="E901" i="1"/>
  <c r="F901" i="1"/>
  <c r="G901" i="1"/>
  <c r="H901" i="1"/>
  <c r="L901" i="1"/>
  <c r="M901" i="1"/>
  <c r="N901" i="1"/>
  <c r="O901" i="1"/>
  <c r="P901" i="1"/>
  <c r="Q901" i="1"/>
  <c r="R901" i="1"/>
  <c r="S901" i="1"/>
  <c r="T901" i="1"/>
  <c r="U901" i="1"/>
  <c r="V901" i="1"/>
  <c r="AI901" i="1"/>
  <c r="AJ901" i="1"/>
  <c r="AK901" i="1"/>
  <c r="AP901" i="1"/>
  <c r="AR901" i="1"/>
  <c r="AY901" i="1"/>
  <c r="BE901" i="1"/>
  <c r="BF901" i="1"/>
  <c r="C902" i="1"/>
  <c r="E902" i="1"/>
  <c r="F902" i="1"/>
  <c r="G902" i="1"/>
  <c r="H902" i="1"/>
  <c r="L902" i="1"/>
  <c r="M902" i="1"/>
  <c r="N902" i="1"/>
  <c r="O902" i="1"/>
  <c r="P902" i="1"/>
  <c r="Q902" i="1"/>
  <c r="R902" i="1"/>
  <c r="S902" i="1"/>
  <c r="T902" i="1"/>
  <c r="U902" i="1"/>
  <c r="V902" i="1"/>
  <c r="AI902" i="1"/>
  <c r="AJ902" i="1"/>
  <c r="AK902" i="1"/>
  <c r="AP902" i="1"/>
  <c r="AR902" i="1"/>
  <c r="AY902" i="1"/>
  <c r="BE902" i="1"/>
  <c r="BF902" i="1"/>
  <c r="C903" i="1"/>
  <c r="E903" i="1"/>
  <c r="F903" i="1"/>
  <c r="G903" i="1"/>
  <c r="H903" i="1"/>
  <c r="L903" i="1"/>
  <c r="M903" i="1"/>
  <c r="N903" i="1"/>
  <c r="O903" i="1"/>
  <c r="P903" i="1"/>
  <c r="Q903" i="1"/>
  <c r="R903" i="1"/>
  <c r="S903" i="1"/>
  <c r="T903" i="1"/>
  <c r="U903" i="1"/>
  <c r="V903" i="1"/>
  <c r="AI903" i="1"/>
  <c r="AJ903" i="1"/>
  <c r="AK903" i="1"/>
  <c r="AP903" i="1"/>
  <c r="AR903" i="1"/>
  <c r="AY903" i="1"/>
  <c r="BE903" i="1"/>
  <c r="BF903" i="1"/>
  <c r="C904" i="1"/>
  <c r="E904" i="1"/>
  <c r="F904" i="1"/>
  <c r="G904" i="1"/>
  <c r="H904" i="1"/>
  <c r="L904" i="1"/>
  <c r="M904" i="1"/>
  <c r="N904" i="1"/>
  <c r="O904" i="1"/>
  <c r="P904" i="1"/>
  <c r="Q904" i="1"/>
  <c r="R904" i="1"/>
  <c r="S904" i="1"/>
  <c r="T904" i="1"/>
  <c r="U904" i="1"/>
  <c r="V904" i="1"/>
  <c r="AI904" i="1"/>
  <c r="AJ904" i="1"/>
  <c r="AK904" i="1"/>
  <c r="AP904" i="1"/>
  <c r="AR904" i="1"/>
  <c r="AY904" i="1"/>
  <c r="BE904" i="1"/>
  <c r="BF904" i="1"/>
  <c r="C905" i="1"/>
  <c r="E905" i="1"/>
  <c r="F905" i="1"/>
  <c r="G905" i="1"/>
  <c r="H905" i="1"/>
  <c r="L905" i="1"/>
  <c r="M905" i="1"/>
  <c r="N905" i="1"/>
  <c r="O905" i="1"/>
  <c r="P905" i="1"/>
  <c r="Q905" i="1"/>
  <c r="R905" i="1"/>
  <c r="S905" i="1"/>
  <c r="T905" i="1"/>
  <c r="U905" i="1"/>
  <c r="V905" i="1"/>
  <c r="AI905" i="1"/>
  <c r="AJ905" i="1"/>
  <c r="AK905" i="1"/>
  <c r="AP905" i="1"/>
  <c r="AR905" i="1"/>
  <c r="AY905" i="1"/>
  <c r="BE905" i="1"/>
  <c r="BF905" i="1"/>
  <c r="C906" i="1"/>
  <c r="E906" i="1"/>
  <c r="F906" i="1"/>
  <c r="G906" i="1"/>
  <c r="H906" i="1"/>
  <c r="L906" i="1"/>
  <c r="M906" i="1"/>
  <c r="N906" i="1"/>
  <c r="O906" i="1"/>
  <c r="P906" i="1"/>
  <c r="Q906" i="1"/>
  <c r="R906" i="1"/>
  <c r="S906" i="1"/>
  <c r="T906" i="1"/>
  <c r="U906" i="1"/>
  <c r="V906" i="1"/>
  <c r="AI906" i="1"/>
  <c r="AJ906" i="1"/>
  <c r="AK906" i="1"/>
  <c r="AP906" i="1"/>
  <c r="AR906" i="1"/>
  <c r="AY906" i="1"/>
  <c r="BE906" i="1"/>
  <c r="BF906" i="1"/>
  <c r="C907" i="1"/>
  <c r="E907" i="1"/>
  <c r="F907" i="1"/>
  <c r="G907" i="1"/>
  <c r="H907" i="1"/>
  <c r="L907" i="1"/>
  <c r="M907" i="1"/>
  <c r="N907" i="1"/>
  <c r="O907" i="1"/>
  <c r="P907" i="1"/>
  <c r="Q907" i="1"/>
  <c r="R907" i="1"/>
  <c r="S907" i="1"/>
  <c r="T907" i="1"/>
  <c r="U907" i="1"/>
  <c r="V907" i="1"/>
  <c r="AI907" i="1"/>
  <c r="AJ907" i="1"/>
  <c r="AK907" i="1"/>
  <c r="AP907" i="1"/>
  <c r="AR907" i="1"/>
  <c r="AY907" i="1"/>
  <c r="BE907" i="1"/>
  <c r="BF907" i="1"/>
  <c r="C908" i="1"/>
  <c r="E908" i="1"/>
  <c r="F908" i="1"/>
  <c r="G908" i="1"/>
  <c r="H908" i="1"/>
  <c r="L908" i="1"/>
  <c r="M908" i="1"/>
  <c r="N908" i="1"/>
  <c r="O908" i="1"/>
  <c r="P908" i="1"/>
  <c r="Q908" i="1"/>
  <c r="R908" i="1"/>
  <c r="S908" i="1"/>
  <c r="T908" i="1"/>
  <c r="U908" i="1"/>
  <c r="V908" i="1"/>
  <c r="AI908" i="1"/>
  <c r="AJ908" i="1"/>
  <c r="AK908" i="1"/>
  <c r="AP908" i="1"/>
  <c r="AR908" i="1"/>
  <c r="AY908" i="1"/>
  <c r="BE908" i="1"/>
  <c r="BF908" i="1"/>
  <c r="C909" i="1"/>
  <c r="E909" i="1"/>
  <c r="F909" i="1"/>
  <c r="G909" i="1"/>
  <c r="H909" i="1"/>
  <c r="L909" i="1"/>
  <c r="M909" i="1"/>
  <c r="N909" i="1"/>
  <c r="O909" i="1"/>
  <c r="P909" i="1"/>
  <c r="Q909" i="1"/>
  <c r="R909" i="1"/>
  <c r="S909" i="1"/>
  <c r="T909" i="1"/>
  <c r="U909" i="1"/>
  <c r="V909" i="1"/>
  <c r="AI909" i="1"/>
  <c r="AJ909" i="1"/>
  <c r="AK909" i="1"/>
  <c r="AP909" i="1"/>
  <c r="AR909" i="1"/>
  <c r="AY909" i="1"/>
  <c r="BE909" i="1"/>
  <c r="BF909" i="1"/>
  <c r="C910" i="1"/>
  <c r="E910" i="1"/>
  <c r="F910" i="1"/>
  <c r="G910" i="1"/>
  <c r="H910" i="1"/>
  <c r="L910" i="1"/>
  <c r="M910" i="1"/>
  <c r="N910" i="1"/>
  <c r="O910" i="1"/>
  <c r="P910" i="1"/>
  <c r="Q910" i="1"/>
  <c r="R910" i="1"/>
  <c r="S910" i="1"/>
  <c r="T910" i="1"/>
  <c r="U910" i="1"/>
  <c r="V910" i="1"/>
  <c r="AI910" i="1"/>
  <c r="AJ910" i="1"/>
  <c r="AK910" i="1"/>
  <c r="AP910" i="1"/>
  <c r="AR910" i="1"/>
  <c r="AY910" i="1"/>
  <c r="BE910" i="1"/>
  <c r="BF910" i="1"/>
  <c r="C911" i="1"/>
  <c r="E911" i="1"/>
  <c r="F911" i="1"/>
  <c r="G911" i="1"/>
  <c r="H911" i="1"/>
  <c r="L911" i="1"/>
  <c r="M911" i="1"/>
  <c r="N911" i="1"/>
  <c r="O911" i="1"/>
  <c r="P911" i="1"/>
  <c r="Q911" i="1"/>
  <c r="R911" i="1"/>
  <c r="S911" i="1"/>
  <c r="T911" i="1"/>
  <c r="U911" i="1"/>
  <c r="V911" i="1"/>
  <c r="AI911" i="1"/>
  <c r="AJ911" i="1"/>
  <c r="AK911" i="1"/>
  <c r="AP911" i="1"/>
  <c r="AR911" i="1"/>
  <c r="AY911" i="1"/>
  <c r="BE911" i="1"/>
  <c r="BF911" i="1"/>
  <c r="C912" i="1"/>
  <c r="E912" i="1"/>
  <c r="F912" i="1"/>
  <c r="G912" i="1"/>
  <c r="H912" i="1"/>
  <c r="L912" i="1"/>
  <c r="M912" i="1"/>
  <c r="N912" i="1"/>
  <c r="O912" i="1"/>
  <c r="P912" i="1"/>
  <c r="Q912" i="1"/>
  <c r="R912" i="1"/>
  <c r="S912" i="1"/>
  <c r="T912" i="1"/>
  <c r="U912" i="1"/>
  <c r="V912" i="1"/>
  <c r="AI912" i="1"/>
  <c r="AJ912" i="1"/>
  <c r="AK912" i="1"/>
  <c r="AP912" i="1"/>
  <c r="AR912" i="1"/>
  <c r="AY912" i="1"/>
  <c r="BE912" i="1"/>
  <c r="BF912" i="1"/>
  <c r="C913" i="1"/>
  <c r="E913" i="1"/>
  <c r="F913" i="1"/>
  <c r="G913" i="1"/>
  <c r="H913" i="1"/>
  <c r="L913" i="1"/>
  <c r="M913" i="1"/>
  <c r="N913" i="1"/>
  <c r="O913" i="1"/>
  <c r="P913" i="1"/>
  <c r="Q913" i="1"/>
  <c r="R913" i="1"/>
  <c r="S913" i="1"/>
  <c r="T913" i="1"/>
  <c r="U913" i="1"/>
  <c r="V913" i="1"/>
  <c r="AI913" i="1"/>
  <c r="AJ913" i="1"/>
  <c r="AK913" i="1"/>
  <c r="AP913" i="1"/>
  <c r="AR913" i="1"/>
  <c r="AY913" i="1"/>
  <c r="BE913" i="1"/>
  <c r="BF913" i="1"/>
  <c r="C914" i="1"/>
  <c r="E914" i="1"/>
  <c r="F914" i="1"/>
  <c r="G914" i="1"/>
  <c r="H914" i="1"/>
  <c r="L914" i="1"/>
  <c r="M914" i="1"/>
  <c r="N914" i="1"/>
  <c r="O914" i="1"/>
  <c r="P914" i="1"/>
  <c r="Q914" i="1"/>
  <c r="R914" i="1"/>
  <c r="S914" i="1"/>
  <c r="T914" i="1"/>
  <c r="U914" i="1"/>
  <c r="V914" i="1"/>
  <c r="AI914" i="1"/>
  <c r="AJ914" i="1"/>
  <c r="AK914" i="1"/>
  <c r="AP914" i="1"/>
  <c r="AR914" i="1"/>
  <c r="AY914" i="1"/>
  <c r="BE914" i="1"/>
  <c r="BF914" i="1"/>
  <c r="C915" i="1"/>
  <c r="E915" i="1"/>
  <c r="F915" i="1"/>
  <c r="G915" i="1"/>
  <c r="H915" i="1"/>
  <c r="L915" i="1"/>
  <c r="M915" i="1"/>
  <c r="N915" i="1"/>
  <c r="O915" i="1"/>
  <c r="P915" i="1"/>
  <c r="Q915" i="1"/>
  <c r="R915" i="1"/>
  <c r="S915" i="1"/>
  <c r="T915" i="1"/>
  <c r="U915" i="1"/>
  <c r="V915" i="1"/>
  <c r="AI915" i="1"/>
  <c r="AJ915" i="1"/>
  <c r="AK915" i="1"/>
  <c r="AP915" i="1"/>
  <c r="AR915" i="1"/>
  <c r="AY915" i="1"/>
  <c r="BE915" i="1"/>
  <c r="BF915" i="1"/>
  <c r="C916" i="1"/>
  <c r="E916" i="1"/>
  <c r="F916" i="1"/>
  <c r="G916" i="1"/>
  <c r="H916" i="1"/>
  <c r="L916" i="1"/>
  <c r="M916" i="1"/>
  <c r="N916" i="1"/>
  <c r="O916" i="1"/>
  <c r="P916" i="1"/>
  <c r="Q916" i="1"/>
  <c r="R916" i="1"/>
  <c r="S916" i="1"/>
  <c r="T916" i="1"/>
  <c r="U916" i="1"/>
  <c r="V916" i="1"/>
  <c r="AI916" i="1"/>
  <c r="AJ916" i="1"/>
  <c r="AK916" i="1"/>
  <c r="AP916" i="1"/>
  <c r="AR916" i="1"/>
  <c r="AY916" i="1"/>
  <c r="BE916" i="1"/>
  <c r="BF916" i="1"/>
  <c r="C917" i="1"/>
  <c r="E917" i="1"/>
  <c r="F917" i="1"/>
  <c r="G917" i="1"/>
  <c r="H917" i="1"/>
  <c r="L917" i="1"/>
  <c r="M917" i="1"/>
  <c r="N917" i="1"/>
  <c r="O917" i="1"/>
  <c r="P917" i="1"/>
  <c r="Q917" i="1"/>
  <c r="R917" i="1"/>
  <c r="S917" i="1"/>
  <c r="T917" i="1"/>
  <c r="U917" i="1"/>
  <c r="V917" i="1"/>
  <c r="AI917" i="1"/>
  <c r="AJ917" i="1"/>
  <c r="AK917" i="1"/>
  <c r="AP917" i="1"/>
  <c r="AR917" i="1"/>
  <c r="AY917" i="1"/>
  <c r="BE917" i="1"/>
  <c r="BF917" i="1"/>
  <c r="C918" i="1"/>
  <c r="E918" i="1"/>
  <c r="F918" i="1"/>
  <c r="G918" i="1"/>
  <c r="H918" i="1"/>
  <c r="L918" i="1"/>
  <c r="M918" i="1"/>
  <c r="N918" i="1"/>
  <c r="O918" i="1"/>
  <c r="P918" i="1"/>
  <c r="Q918" i="1"/>
  <c r="R918" i="1"/>
  <c r="S918" i="1"/>
  <c r="T918" i="1"/>
  <c r="U918" i="1"/>
  <c r="V918" i="1"/>
  <c r="AI918" i="1"/>
  <c r="AJ918" i="1"/>
  <c r="AK918" i="1"/>
  <c r="AP918" i="1"/>
  <c r="AR918" i="1"/>
  <c r="AY918" i="1"/>
  <c r="BE918" i="1"/>
  <c r="BF918" i="1"/>
  <c r="C919" i="1"/>
  <c r="E919" i="1"/>
  <c r="F919" i="1"/>
  <c r="G919" i="1"/>
  <c r="H919" i="1"/>
  <c r="L919" i="1"/>
  <c r="M919" i="1"/>
  <c r="N919" i="1"/>
  <c r="O919" i="1"/>
  <c r="P919" i="1"/>
  <c r="Q919" i="1"/>
  <c r="R919" i="1"/>
  <c r="S919" i="1"/>
  <c r="T919" i="1"/>
  <c r="U919" i="1"/>
  <c r="V919" i="1"/>
  <c r="AI919" i="1"/>
  <c r="AJ919" i="1"/>
  <c r="AK919" i="1"/>
  <c r="AP919" i="1"/>
  <c r="AR919" i="1"/>
  <c r="AY919" i="1"/>
  <c r="BE919" i="1"/>
  <c r="BF919" i="1"/>
  <c r="C920" i="1"/>
  <c r="E920" i="1"/>
  <c r="F920" i="1"/>
  <c r="G920" i="1"/>
  <c r="H920" i="1"/>
  <c r="L920" i="1"/>
  <c r="M920" i="1"/>
  <c r="N920" i="1"/>
  <c r="O920" i="1"/>
  <c r="P920" i="1"/>
  <c r="Q920" i="1"/>
  <c r="R920" i="1"/>
  <c r="S920" i="1"/>
  <c r="T920" i="1"/>
  <c r="U920" i="1"/>
  <c r="V920" i="1"/>
  <c r="AI920" i="1"/>
  <c r="AJ920" i="1"/>
  <c r="AK920" i="1"/>
  <c r="AP920" i="1"/>
  <c r="AR920" i="1"/>
  <c r="AY920" i="1"/>
  <c r="BE920" i="1"/>
  <c r="BF920" i="1"/>
  <c r="C921" i="1"/>
  <c r="E921" i="1"/>
  <c r="F921" i="1"/>
  <c r="G921" i="1"/>
  <c r="H921" i="1"/>
  <c r="L921" i="1"/>
  <c r="M921" i="1"/>
  <c r="N921" i="1"/>
  <c r="O921" i="1"/>
  <c r="P921" i="1"/>
  <c r="Q921" i="1"/>
  <c r="R921" i="1"/>
  <c r="S921" i="1"/>
  <c r="T921" i="1"/>
  <c r="U921" i="1"/>
  <c r="V921" i="1"/>
  <c r="AI921" i="1"/>
  <c r="AJ921" i="1"/>
  <c r="AK921" i="1"/>
  <c r="AP921" i="1"/>
  <c r="AR921" i="1"/>
  <c r="AY921" i="1"/>
  <c r="BE921" i="1"/>
  <c r="BF921" i="1"/>
  <c r="C922" i="1"/>
  <c r="E922" i="1"/>
  <c r="F922" i="1"/>
  <c r="G922" i="1"/>
  <c r="H922" i="1"/>
  <c r="L922" i="1"/>
  <c r="M922" i="1"/>
  <c r="N922" i="1"/>
  <c r="O922" i="1"/>
  <c r="P922" i="1"/>
  <c r="Q922" i="1"/>
  <c r="R922" i="1"/>
  <c r="S922" i="1"/>
  <c r="T922" i="1"/>
  <c r="U922" i="1"/>
  <c r="V922" i="1"/>
  <c r="AI922" i="1"/>
  <c r="AJ922" i="1"/>
  <c r="AK922" i="1"/>
  <c r="AP922" i="1"/>
  <c r="AR922" i="1"/>
  <c r="AY922" i="1"/>
  <c r="BE922" i="1"/>
  <c r="BF922" i="1"/>
  <c r="C923" i="1"/>
  <c r="E923" i="1"/>
  <c r="F923" i="1"/>
  <c r="G923" i="1"/>
  <c r="H923" i="1"/>
  <c r="L923" i="1"/>
  <c r="M923" i="1"/>
  <c r="N923" i="1"/>
  <c r="O923" i="1"/>
  <c r="P923" i="1"/>
  <c r="Q923" i="1"/>
  <c r="R923" i="1"/>
  <c r="S923" i="1"/>
  <c r="T923" i="1"/>
  <c r="U923" i="1"/>
  <c r="V923" i="1"/>
  <c r="AI923" i="1"/>
  <c r="AJ923" i="1"/>
  <c r="AK923" i="1"/>
  <c r="AP923" i="1"/>
  <c r="AR923" i="1"/>
  <c r="AY923" i="1"/>
  <c r="BE923" i="1"/>
  <c r="BF923" i="1"/>
  <c r="C924" i="1"/>
  <c r="E924" i="1"/>
  <c r="F924" i="1"/>
  <c r="G924" i="1"/>
  <c r="H924" i="1"/>
  <c r="L924" i="1"/>
  <c r="M924" i="1"/>
  <c r="N924" i="1"/>
  <c r="O924" i="1"/>
  <c r="P924" i="1"/>
  <c r="Q924" i="1"/>
  <c r="R924" i="1"/>
  <c r="S924" i="1"/>
  <c r="T924" i="1"/>
  <c r="U924" i="1"/>
  <c r="V924" i="1"/>
  <c r="AI924" i="1"/>
  <c r="AJ924" i="1"/>
  <c r="AK924" i="1"/>
  <c r="AP924" i="1"/>
  <c r="AR924" i="1"/>
  <c r="AY924" i="1"/>
  <c r="BE924" i="1"/>
  <c r="BF924" i="1"/>
  <c r="C925" i="1"/>
  <c r="E925" i="1"/>
  <c r="F925" i="1"/>
  <c r="G925" i="1"/>
  <c r="H925" i="1"/>
  <c r="L925" i="1"/>
  <c r="M925" i="1"/>
  <c r="N925" i="1"/>
  <c r="O925" i="1"/>
  <c r="P925" i="1"/>
  <c r="Q925" i="1"/>
  <c r="R925" i="1"/>
  <c r="S925" i="1"/>
  <c r="T925" i="1"/>
  <c r="U925" i="1"/>
  <c r="V925" i="1"/>
  <c r="AI925" i="1"/>
  <c r="AJ925" i="1"/>
  <c r="AK925" i="1"/>
  <c r="AP925" i="1"/>
  <c r="AR925" i="1"/>
  <c r="AY925" i="1"/>
  <c r="BE925" i="1"/>
  <c r="BF925" i="1"/>
  <c r="C926" i="1"/>
  <c r="E926" i="1"/>
  <c r="F926" i="1"/>
  <c r="G926" i="1"/>
  <c r="H926" i="1"/>
  <c r="L926" i="1"/>
  <c r="M926" i="1"/>
  <c r="N926" i="1"/>
  <c r="O926" i="1"/>
  <c r="P926" i="1"/>
  <c r="Q926" i="1"/>
  <c r="R926" i="1"/>
  <c r="S926" i="1"/>
  <c r="T926" i="1"/>
  <c r="U926" i="1"/>
  <c r="V926" i="1"/>
  <c r="AI926" i="1"/>
  <c r="AJ926" i="1"/>
  <c r="AK926" i="1"/>
  <c r="AP926" i="1"/>
  <c r="AR926" i="1"/>
  <c r="AY926" i="1"/>
  <c r="BE926" i="1"/>
  <c r="BF926" i="1"/>
  <c r="C927" i="1"/>
  <c r="E927" i="1"/>
  <c r="F927" i="1"/>
  <c r="G927" i="1"/>
  <c r="H927" i="1"/>
  <c r="L927" i="1"/>
  <c r="M927" i="1"/>
  <c r="N927" i="1"/>
  <c r="O927" i="1"/>
  <c r="P927" i="1"/>
  <c r="Q927" i="1"/>
  <c r="R927" i="1"/>
  <c r="S927" i="1"/>
  <c r="T927" i="1"/>
  <c r="U927" i="1"/>
  <c r="V927" i="1"/>
  <c r="AI927" i="1"/>
  <c r="AJ927" i="1"/>
  <c r="AK927" i="1"/>
  <c r="AP927" i="1"/>
  <c r="AR927" i="1"/>
  <c r="AY927" i="1"/>
  <c r="BE927" i="1"/>
  <c r="BF927" i="1"/>
  <c r="C928" i="1"/>
  <c r="E928" i="1"/>
  <c r="F928" i="1"/>
  <c r="G928" i="1"/>
  <c r="H928" i="1"/>
  <c r="L928" i="1"/>
  <c r="M928" i="1"/>
  <c r="N928" i="1"/>
  <c r="O928" i="1"/>
  <c r="P928" i="1"/>
  <c r="Q928" i="1"/>
  <c r="R928" i="1"/>
  <c r="S928" i="1"/>
  <c r="T928" i="1"/>
  <c r="U928" i="1"/>
  <c r="V928" i="1"/>
  <c r="AI928" i="1"/>
  <c r="AJ928" i="1"/>
  <c r="AK928" i="1"/>
  <c r="AP928" i="1"/>
  <c r="AR928" i="1"/>
  <c r="AY928" i="1"/>
  <c r="BE928" i="1"/>
  <c r="BF928" i="1"/>
  <c r="C929" i="1"/>
  <c r="E929" i="1"/>
  <c r="F929" i="1"/>
  <c r="G929" i="1"/>
  <c r="H929" i="1"/>
  <c r="L929" i="1"/>
  <c r="M929" i="1"/>
  <c r="N929" i="1"/>
  <c r="O929" i="1"/>
  <c r="P929" i="1"/>
  <c r="Q929" i="1"/>
  <c r="R929" i="1"/>
  <c r="S929" i="1"/>
  <c r="T929" i="1"/>
  <c r="U929" i="1"/>
  <c r="V929" i="1"/>
  <c r="AI929" i="1"/>
  <c r="AJ929" i="1"/>
  <c r="AK929" i="1"/>
  <c r="AP929" i="1"/>
  <c r="AR929" i="1"/>
  <c r="AY929" i="1"/>
  <c r="BE929" i="1"/>
  <c r="BF929" i="1"/>
  <c r="C930" i="1"/>
  <c r="E930" i="1"/>
  <c r="F930" i="1"/>
  <c r="G930" i="1"/>
  <c r="H930" i="1"/>
  <c r="L930" i="1"/>
  <c r="M930" i="1"/>
  <c r="N930" i="1"/>
  <c r="O930" i="1"/>
  <c r="P930" i="1"/>
  <c r="Q930" i="1"/>
  <c r="R930" i="1"/>
  <c r="S930" i="1"/>
  <c r="T930" i="1"/>
  <c r="U930" i="1"/>
  <c r="V930" i="1"/>
  <c r="AI930" i="1"/>
  <c r="AJ930" i="1"/>
  <c r="AK930" i="1"/>
  <c r="AP930" i="1"/>
  <c r="AR930" i="1"/>
  <c r="AY930" i="1"/>
  <c r="BE930" i="1"/>
  <c r="BF930" i="1"/>
  <c r="C931" i="1"/>
  <c r="E931" i="1"/>
  <c r="F931" i="1"/>
  <c r="G931" i="1"/>
  <c r="H931" i="1"/>
  <c r="L931" i="1"/>
  <c r="M931" i="1"/>
  <c r="N931" i="1"/>
  <c r="O931" i="1"/>
  <c r="P931" i="1"/>
  <c r="Q931" i="1"/>
  <c r="R931" i="1"/>
  <c r="S931" i="1"/>
  <c r="T931" i="1"/>
  <c r="U931" i="1"/>
  <c r="V931" i="1"/>
  <c r="AI931" i="1"/>
  <c r="AJ931" i="1"/>
  <c r="AK931" i="1"/>
  <c r="AP931" i="1"/>
  <c r="AR931" i="1"/>
  <c r="AY931" i="1"/>
  <c r="BE931" i="1"/>
  <c r="BF931" i="1"/>
  <c r="C932" i="1"/>
  <c r="E932" i="1"/>
  <c r="F932" i="1"/>
  <c r="G932" i="1"/>
  <c r="H932" i="1"/>
  <c r="L932" i="1"/>
  <c r="M932" i="1"/>
  <c r="N932" i="1"/>
  <c r="O932" i="1"/>
  <c r="P932" i="1"/>
  <c r="Q932" i="1"/>
  <c r="R932" i="1"/>
  <c r="S932" i="1"/>
  <c r="T932" i="1"/>
  <c r="U932" i="1"/>
  <c r="V932" i="1"/>
  <c r="AI932" i="1"/>
  <c r="AJ932" i="1"/>
  <c r="AK932" i="1"/>
  <c r="AP932" i="1"/>
  <c r="AR932" i="1"/>
  <c r="AY932" i="1"/>
  <c r="BE932" i="1"/>
  <c r="BF932" i="1"/>
  <c r="C933" i="1"/>
  <c r="E933" i="1"/>
  <c r="F933" i="1"/>
  <c r="G933" i="1"/>
  <c r="H933" i="1"/>
  <c r="L933" i="1"/>
  <c r="M933" i="1"/>
  <c r="N933" i="1"/>
  <c r="O933" i="1"/>
  <c r="P933" i="1"/>
  <c r="Q933" i="1"/>
  <c r="R933" i="1"/>
  <c r="S933" i="1"/>
  <c r="T933" i="1"/>
  <c r="U933" i="1"/>
  <c r="V933" i="1"/>
  <c r="AI933" i="1"/>
  <c r="AJ933" i="1"/>
  <c r="AK933" i="1"/>
  <c r="AP933" i="1"/>
  <c r="AR933" i="1"/>
  <c r="AY933" i="1"/>
  <c r="BE933" i="1"/>
  <c r="BF933" i="1"/>
  <c r="C934" i="1"/>
  <c r="E934" i="1"/>
  <c r="F934" i="1"/>
  <c r="G934" i="1"/>
  <c r="H934" i="1"/>
  <c r="L934" i="1"/>
  <c r="M934" i="1"/>
  <c r="N934" i="1"/>
  <c r="O934" i="1"/>
  <c r="P934" i="1"/>
  <c r="Q934" i="1"/>
  <c r="R934" i="1"/>
  <c r="S934" i="1"/>
  <c r="T934" i="1"/>
  <c r="U934" i="1"/>
  <c r="V934" i="1"/>
  <c r="AI934" i="1"/>
  <c r="AJ934" i="1"/>
  <c r="AK934" i="1"/>
  <c r="AP934" i="1"/>
  <c r="AR934" i="1"/>
  <c r="AY934" i="1"/>
  <c r="BE934" i="1"/>
  <c r="BF934" i="1"/>
  <c r="C935" i="1"/>
  <c r="E935" i="1"/>
  <c r="F935" i="1"/>
  <c r="G935" i="1"/>
  <c r="H935" i="1"/>
  <c r="L935" i="1"/>
  <c r="M935" i="1"/>
  <c r="N935" i="1"/>
  <c r="O935" i="1"/>
  <c r="P935" i="1"/>
  <c r="Q935" i="1"/>
  <c r="R935" i="1"/>
  <c r="S935" i="1"/>
  <c r="T935" i="1"/>
  <c r="U935" i="1"/>
  <c r="V935" i="1"/>
  <c r="AI935" i="1"/>
  <c r="AJ935" i="1"/>
  <c r="AK935" i="1"/>
  <c r="AP935" i="1"/>
  <c r="AR935" i="1"/>
  <c r="AY935" i="1"/>
  <c r="BE935" i="1"/>
  <c r="BF935" i="1"/>
  <c r="C936" i="1"/>
  <c r="E936" i="1"/>
  <c r="F936" i="1"/>
  <c r="G936" i="1"/>
  <c r="H936" i="1"/>
  <c r="L936" i="1"/>
  <c r="M936" i="1"/>
  <c r="N936" i="1"/>
  <c r="O936" i="1"/>
  <c r="P936" i="1"/>
  <c r="Q936" i="1"/>
  <c r="R936" i="1"/>
  <c r="S936" i="1"/>
  <c r="T936" i="1"/>
  <c r="U936" i="1"/>
  <c r="V936" i="1"/>
  <c r="AI936" i="1"/>
  <c r="AJ936" i="1"/>
  <c r="AK936" i="1"/>
  <c r="AP936" i="1"/>
  <c r="AR936" i="1"/>
  <c r="AY936" i="1"/>
  <c r="BE936" i="1"/>
  <c r="BF936" i="1"/>
  <c r="C937" i="1"/>
  <c r="E937" i="1"/>
  <c r="F937" i="1"/>
  <c r="G937" i="1"/>
  <c r="H937" i="1"/>
  <c r="L937" i="1"/>
  <c r="M937" i="1"/>
  <c r="N937" i="1"/>
  <c r="O937" i="1"/>
  <c r="P937" i="1"/>
  <c r="Q937" i="1"/>
  <c r="R937" i="1"/>
  <c r="S937" i="1"/>
  <c r="T937" i="1"/>
  <c r="U937" i="1"/>
  <c r="V937" i="1"/>
  <c r="AI937" i="1"/>
  <c r="AJ937" i="1"/>
  <c r="AK937" i="1"/>
  <c r="AP937" i="1"/>
  <c r="AR937" i="1"/>
  <c r="AY937" i="1"/>
  <c r="BE937" i="1"/>
  <c r="BF937" i="1"/>
  <c r="C938" i="1"/>
  <c r="E938" i="1"/>
  <c r="F938" i="1"/>
  <c r="G938" i="1"/>
  <c r="H938" i="1"/>
  <c r="L938" i="1"/>
  <c r="M938" i="1"/>
  <c r="N938" i="1"/>
  <c r="O938" i="1"/>
  <c r="P938" i="1"/>
  <c r="Q938" i="1"/>
  <c r="R938" i="1"/>
  <c r="S938" i="1"/>
  <c r="T938" i="1"/>
  <c r="U938" i="1"/>
  <c r="V938" i="1"/>
  <c r="AI938" i="1"/>
  <c r="AJ938" i="1"/>
  <c r="AK938" i="1"/>
  <c r="AP938" i="1"/>
  <c r="AR938" i="1"/>
  <c r="AY938" i="1"/>
  <c r="BE938" i="1"/>
  <c r="BF938" i="1"/>
  <c r="C939" i="1"/>
  <c r="E939" i="1"/>
  <c r="F939" i="1"/>
  <c r="G939" i="1"/>
  <c r="H939" i="1"/>
  <c r="L939" i="1"/>
  <c r="M939" i="1"/>
  <c r="N939" i="1"/>
  <c r="O939" i="1"/>
  <c r="P939" i="1"/>
  <c r="Q939" i="1"/>
  <c r="R939" i="1"/>
  <c r="S939" i="1"/>
  <c r="T939" i="1"/>
  <c r="U939" i="1"/>
  <c r="V939" i="1"/>
  <c r="AI939" i="1"/>
  <c r="AJ939" i="1"/>
  <c r="AK939" i="1"/>
  <c r="AP939" i="1"/>
  <c r="AR939" i="1"/>
  <c r="AY939" i="1"/>
  <c r="BE939" i="1"/>
  <c r="BF939" i="1"/>
  <c r="C940" i="1"/>
  <c r="E940" i="1"/>
  <c r="F940" i="1"/>
  <c r="G940" i="1"/>
  <c r="H940" i="1"/>
  <c r="L940" i="1"/>
  <c r="M940" i="1"/>
  <c r="N940" i="1"/>
  <c r="O940" i="1"/>
  <c r="P940" i="1"/>
  <c r="Q940" i="1"/>
  <c r="R940" i="1"/>
  <c r="S940" i="1"/>
  <c r="T940" i="1"/>
  <c r="U940" i="1"/>
  <c r="V940" i="1"/>
  <c r="AI940" i="1"/>
  <c r="AJ940" i="1"/>
  <c r="AK940" i="1"/>
  <c r="AP940" i="1"/>
  <c r="AR940" i="1"/>
  <c r="AY940" i="1"/>
  <c r="BE940" i="1"/>
  <c r="BF940" i="1"/>
  <c r="C941" i="1"/>
  <c r="E941" i="1"/>
  <c r="F941" i="1"/>
  <c r="G941" i="1"/>
  <c r="H941" i="1"/>
  <c r="L941" i="1"/>
  <c r="M941" i="1"/>
  <c r="N941" i="1"/>
  <c r="O941" i="1"/>
  <c r="P941" i="1"/>
  <c r="Q941" i="1"/>
  <c r="R941" i="1"/>
  <c r="S941" i="1"/>
  <c r="T941" i="1"/>
  <c r="U941" i="1"/>
  <c r="V941" i="1"/>
  <c r="AI941" i="1"/>
  <c r="AJ941" i="1"/>
  <c r="AK941" i="1"/>
  <c r="AP941" i="1"/>
  <c r="AR941" i="1"/>
  <c r="AY941" i="1"/>
  <c r="BE941" i="1"/>
  <c r="BF941" i="1"/>
  <c r="C942" i="1"/>
  <c r="E942" i="1"/>
  <c r="F942" i="1"/>
  <c r="G942" i="1"/>
  <c r="H942" i="1"/>
  <c r="L942" i="1"/>
  <c r="M942" i="1"/>
  <c r="N942" i="1"/>
  <c r="O942" i="1"/>
  <c r="P942" i="1"/>
  <c r="Q942" i="1"/>
  <c r="R942" i="1"/>
  <c r="S942" i="1"/>
  <c r="T942" i="1"/>
  <c r="U942" i="1"/>
  <c r="V942" i="1"/>
  <c r="AI942" i="1"/>
  <c r="AJ942" i="1"/>
  <c r="AK942" i="1"/>
  <c r="AP942" i="1"/>
  <c r="AR942" i="1"/>
  <c r="AY942" i="1"/>
  <c r="BE942" i="1"/>
  <c r="BF942" i="1"/>
  <c r="C943" i="1"/>
  <c r="E943" i="1"/>
  <c r="F943" i="1"/>
  <c r="G943" i="1"/>
  <c r="H943" i="1"/>
  <c r="L943" i="1"/>
  <c r="M943" i="1"/>
  <c r="N943" i="1"/>
  <c r="O943" i="1"/>
  <c r="P943" i="1"/>
  <c r="Q943" i="1"/>
  <c r="R943" i="1"/>
  <c r="S943" i="1"/>
  <c r="T943" i="1"/>
  <c r="U943" i="1"/>
  <c r="V943" i="1"/>
  <c r="AI943" i="1"/>
  <c r="AJ943" i="1"/>
  <c r="AK943" i="1"/>
  <c r="AP943" i="1"/>
  <c r="AR943" i="1"/>
  <c r="AY943" i="1"/>
  <c r="BE943" i="1"/>
  <c r="BF943" i="1"/>
  <c r="C944" i="1"/>
  <c r="E944" i="1"/>
  <c r="F944" i="1"/>
  <c r="G944" i="1"/>
  <c r="H944" i="1"/>
  <c r="L944" i="1"/>
  <c r="M944" i="1"/>
  <c r="N944" i="1"/>
  <c r="O944" i="1"/>
  <c r="P944" i="1"/>
  <c r="Q944" i="1"/>
  <c r="R944" i="1"/>
  <c r="S944" i="1"/>
  <c r="T944" i="1"/>
  <c r="U944" i="1"/>
  <c r="V944" i="1"/>
  <c r="AI944" i="1"/>
  <c r="AJ944" i="1"/>
  <c r="AK944" i="1"/>
  <c r="AP944" i="1"/>
  <c r="AR944" i="1"/>
  <c r="AY944" i="1"/>
  <c r="BE944" i="1"/>
  <c r="BF944" i="1"/>
  <c r="C945" i="1"/>
  <c r="E945" i="1"/>
  <c r="F945" i="1"/>
  <c r="G945" i="1"/>
  <c r="H945" i="1"/>
  <c r="L945" i="1"/>
  <c r="M945" i="1"/>
  <c r="N945" i="1"/>
  <c r="O945" i="1"/>
  <c r="P945" i="1"/>
  <c r="Q945" i="1"/>
  <c r="R945" i="1"/>
  <c r="S945" i="1"/>
  <c r="T945" i="1"/>
  <c r="U945" i="1"/>
  <c r="V945" i="1"/>
  <c r="AI945" i="1"/>
  <c r="AJ945" i="1"/>
  <c r="AK945" i="1"/>
  <c r="AP945" i="1"/>
  <c r="AR945" i="1"/>
  <c r="AY945" i="1"/>
  <c r="BE945" i="1"/>
  <c r="BF945" i="1"/>
  <c r="C946" i="1"/>
  <c r="E946" i="1"/>
  <c r="F946" i="1"/>
  <c r="G946" i="1"/>
  <c r="H946" i="1"/>
  <c r="L946" i="1"/>
  <c r="M946" i="1"/>
  <c r="N946" i="1"/>
  <c r="O946" i="1"/>
  <c r="P946" i="1"/>
  <c r="Q946" i="1"/>
  <c r="R946" i="1"/>
  <c r="S946" i="1"/>
  <c r="T946" i="1"/>
  <c r="U946" i="1"/>
  <c r="V946" i="1"/>
  <c r="AI946" i="1"/>
  <c r="AJ946" i="1"/>
  <c r="AK946" i="1"/>
  <c r="AP946" i="1"/>
  <c r="AR946" i="1"/>
  <c r="AY946" i="1"/>
  <c r="BE946" i="1"/>
  <c r="BF946" i="1"/>
  <c r="C947" i="1"/>
  <c r="E947" i="1"/>
  <c r="F947" i="1"/>
  <c r="G947" i="1"/>
  <c r="H947" i="1"/>
  <c r="L947" i="1"/>
  <c r="M947" i="1"/>
  <c r="N947" i="1"/>
  <c r="O947" i="1"/>
  <c r="P947" i="1"/>
  <c r="Q947" i="1"/>
  <c r="R947" i="1"/>
  <c r="S947" i="1"/>
  <c r="T947" i="1"/>
  <c r="U947" i="1"/>
  <c r="V947" i="1"/>
  <c r="AI947" i="1"/>
  <c r="AJ947" i="1"/>
  <c r="AK947" i="1"/>
  <c r="AP947" i="1"/>
  <c r="AR947" i="1"/>
  <c r="AY947" i="1"/>
  <c r="BE947" i="1"/>
  <c r="BF947" i="1"/>
  <c r="C948" i="1"/>
  <c r="E948" i="1"/>
  <c r="F948" i="1"/>
  <c r="G948" i="1"/>
  <c r="H948" i="1"/>
  <c r="L948" i="1"/>
  <c r="M948" i="1"/>
  <c r="N948" i="1"/>
  <c r="O948" i="1"/>
  <c r="P948" i="1"/>
  <c r="Q948" i="1"/>
  <c r="R948" i="1"/>
  <c r="S948" i="1"/>
  <c r="T948" i="1"/>
  <c r="U948" i="1"/>
  <c r="V948" i="1"/>
  <c r="AI948" i="1"/>
  <c r="AJ948" i="1"/>
  <c r="AK948" i="1"/>
  <c r="AP948" i="1"/>
  <c r="AR948" i="1"/>
  <c r="AY948" i="1"/>
  <c r="BE948" i="1"/>
  <c r="BF948" i="1"/>
  <c r="C949" i="1"/>
  <c r="E949" i="1"/>
  <c r="F949" i="1"/>
  <c r="G949" i="1"/>
  <c r="H949" i="1"/>
  <c r="L949" i="1"/>
  <c r="M949" i="1"/>
  <c r="N949" i="1"/>
  <c r="O949" i="1"/>
  <c r="P949" i="1"/>
  <c r="Q949" i="1"/>
  <c r="R949" i="1"/>
  <c r="S949" i="1"/>
  <c r="T949" i="1"/>
  <c r="U949" i="1"/>
  <c r="V949" i="1"/>
  <c r="AB949" i="1"/>
  <c r="AI949" i="1"/>
  <c r="AJ949" i="1"/>
  <c r="AK949" i="1"/>
  <c r="AP949" i="1"/>
  <c r="AR949" i="1"/>
  <c r="AY949" i="1"/>
  <c r="BE949" i="1"/>
  <c r="BF949" i="1"/>
  <c r="C950" i="1"/>
  <c r="E950" i="1"/>
  <c r="F950" i="1"/>
  <c r="G950" i="1"/>
  <c r="H950" i="1"/>
  <c r="L950" i="1"/>
  <c r="M950" i="1"/>
  <c r="N950" i="1"/>
  <c r="O950" i="1"/>
  <c r="P950" i="1"/>
  <c r="Q950" i="1"/>
  <c r="R950" i="1"/>
  <c r="S950" i="1"/>
  <c r="T950" i="1"/>
  <c r="U950" i="1"/>
  <c r="V950" i="1"/>
  <c r="AB950" i="1"/>
  <c r="AI950" i="1"/>
  <c r="AJ950" i="1"/>
  <c r="AK950" i="1"/>
  <c r="AP950" i="1"/>
  <c r="AR950" i="1"/>
  <c r="AY950" i="1"/>
  <c r="BE950" i="1"/>
  <c r="BF950" i="1"/>
  <c r="C951" i="1"/>
  <c r="E951" i="1"/>
  <c r="F951" i="1"/>
  <c r="G951" i="1"/>
  <c r="H951" i="1"/>
  <c r="L951" i="1"/>
  <c r="M951" i="1"/>
  <c r="N951" i="1"/>
  <c r="O951" i="1"/>
  <c r="P951" i="1"/>
  <c r="Q951" i="1"/>
  <c r="R951" i="1"/>
  <c r="S951" i="1"/>
  <c r="T951" i="1"/>
  <c r="U951" i="1"/>
  <c r="V951" i="1"/>
  <c r="AB951" i="1"/>
  <c r="AI951" i="1"/>
  <c r="AJ951" i="1"/>
  <c r="AK951" i="1"/>
  <c r="AP951" i="1"/>
  <c r="AR951" i="1"/>
  <c r="AY951" i="1"/>
  <c r="BE951" i="1"/>
  <c r="BF951" i="1"/>
  <c r="C952" i="1"/>
  <c r="E952" i="1"/>
  <c r="F952" i="1"/>
  <c r="G952" i="1"/>
  <c r="H952" i="1"/>
  <c r="L952" i="1"/>
  <c r="M952" i="1"/>
  <c r="N952" i="1"/>
  <c r="O952" i="1"/>
  <c r="P952" i="1"/>
  <c r="Q952" i="1"/>
  <c r="R952" i="1"/>
  <c r="S952" i="1"/>
  <c r="T952" i="1"/>
  <c r="U952" i="1"/>
  <c r="V952" i="1"/>
  <c r="AB952" i="1"/>
  <c r="AI952" i="1"/>
  <c r="AJ952" i="1"/>
  <c r="AK952" i="1"/>
  <c r="AP952" i="1"/>
  <c r="AR952" i="1"/>
  <c r="AY952" i="1"/>
  <c r="BE952" i="1"/>
  <c r="BF952" i="1"/>
  <c r="C953" i="1"/>
  <c r="E953" i="1"/>
  <c r="F953" i="1"/>
  <c r="G953" i="1"/>
  <c r="H953" i="1"/>
  <c r="L953" i="1"/>
  <c r="M953" i="1"/>
  <c r="N953" i="1"/>
  <c r="O953" i="1"/>
  <c r="P953" i="1"/>
  <c r="Q953" i="1"/>
  <c r="R953" i="1"/>
  <c r="S953" i="1"/>
  <c r="T953" i="1"/>
  <c r="U953" i="1"/>
  <c r="V953" i="1"/>
  <c r="AB953" i="1"/>
  <c r="AI953" i="1"/>
  <c r="AJ953" i="1"/>
  <c r="AK953" i="1"/>
  <c r="AP953" i="1"/>
  <c r="AR953" i="1"/>
  <c r="AY953" i="1"/>
  <c r="BE953" i="1"/>
  <c r="BF953" i="1"/>
  <c r="C954" i="1"/>
  <c r="E954" i="1"/>
  <c r="F954" i="1"/>
  <c r="G954" i="1"/>
  <c r="H954" i="1"/>
  <c r="L954" i="1"/>
  <c r="M954" i="1"/>
  <c r="N954" i="1"/>
  <c r="O954" i="1"/>
  <c r="P954" i="1"/>
  <c r="Q954" i="1"/>
  <c r="R954" i="1"/>
  <c r="S954" i="1"/>
  <c r="T954" i="1"/>
  <c r="U954" i="1"/>
  <c r="V954" i="1"/>
  <c r="AB954" i="1"/>
  <c r="AI954" i="1"/>
  <c r="AJ954" i="1"/>
  <c r="AK954" i="1"/>
  <c r="AP954" i="1"/>
  <c r="AR954" i="1"/>
  <c r="AY954" i="1"/>
  <c r="BE954" i="1"/>
  <c r="BF954" i="1"/>
  <c r="C955" i="1"/>
  <c r="E955" i="1"/>
  <c r="F955" i="1"/>
  <c r="G955" i="1"/>
  <c r="H955" i="1"/>
  <c r="L955" i="1"/>
  <c r="M955" i="1"/>
  <c r="N955" i="1"/>
  <c r="O955" i="1"/>
  <c r="P955" i="1"/>
  <c r="Q955" i="1"/>
  <c r="R955" i="1"/>
  <c r="S955" i="1"/>
  <c r="T955" i="1"/>
  <c r="U955" i="1"/>
  <c r="V955" i="1"/>
  <c r="AB955" i="1"/>
  <c r="AI955" i="1"/>
  <c r="AJ955" i="1"/>
  <c r="AK955" i="1"/>
  <c r="AP955" i="1"/>
  <c r="AR955" i="1"/>
  <c r="AY955" i="1"/>
  <c r="BE955" i="1"/>
  <c r="BF955" i="1"/>
  <c r="C956" i="1"/>
  <c r="E956" i="1"/>
  <c r="F956" i="1"/>
  <c r="G956" i="1"/>
  <c r="H956" i="1"/>
  <c r="L956" i="1"/>
  <c r="M956" i="1"/>
  <c r="N956" i="1"/>
  <c r="O956" i="1"/>
  <c r="P956" i="1"/>
  <c r="Q956" i="1"/>
  <c r="R956" i="1"/>
  <c r="S956" i="1"/>
  <c r="T956" i="1"/>
  <c r="U956" i="1"/>
  <c r="V956" i="1"/>
  <c r="AB956" i="1"/>
  <c r="AI956" i="1"/>
  <c r="AJ956" i="1"/>
  <c r="AK956" i="1"/>
  <c r="AP956" i="1"/>
  <c r="AR956" i="1"/>
  <c r="AY956" i="1"/>
  <c r="BE956" i="1"/>
  <c r="BF956" i="1"/>
  <c r="C957" i="1"/>
  <c r="E957" i="1"/>
  <c r="F957" i="1"/>
  <c r="G957" i="1"/>
  <c r="H957" i="1"/>
  <c r="L957" i="1"/>
  <c r="M957" i="1"/>
  <c r="N957" i="1"/>
  <c r="O957" i="1"/>
  <c r="P957" i="1"/>
  <c r="Q957" i="1"/>
  <c r="R957" i="1"/>
  <c r="S957" i="1"/>
  <c r="T957" i="1"/>
  <c r="U957" i="1"/>
  <c r="V957" i="1"/>
  <c r="AB957" i="1"/>
  <c r="AI957" i="1"/>
  <c r="AJ957" i="1"/>
  <c r="AK957" i="1"/>
  <c r="AP957" i="1"/>
  <c r="AR957" i="1"/>
  <c r="AY957" i="1"/>
  <c r="BE957" i="1"/>
  <c r="BF957" i="1"/>
  <c r="C958" i="1"/>
  <c r="E958" i="1"/>
  <c r="F958" i="1"/>
  <c r="G958" i="1"/>
  <c r="H958" i="1"/>
  <c r="L958" i="1"/>
  <c r="M958" i="1"/>
  <c r="N958" i="1"/>
  <c r="O958" i="1"/>
  <c r="P958" i="1"/>
  <c r="Q958" i="1"/>
  <c r="R958" i="1"/>
  <c r="S958" i="1"/>
  <c r="T958" i="1"/>
  <c r="U958" i="1"/>
  <c r="V958" i="1"/>
  <c r="AB958" i="1"/>
  <c r="AI958" i="1"/>
  <c r="AJ958" i="1"/>
  <c r="AK958" i="1"/>
  <c r="AP958" i="1"/>
  <c r="AR958" i="1"/>
  <c r="AY958" i="1"/>
  <c r="BE958" i="1"/>
  <c r="BF958" i="1"/>
  <c r="C959" i="1"/>
  <c r="E959" i="1"/>
  <c r="F959" i="1"/>
  <c r="G959" i="1"/>
  <c r="H959" i="1"/>
  <c r="L959" i="1"/>
  <c r="M959" i="1"/>
  <c r="N959" i="1"/>
  <c r="O959" i="1"/>
  <c r="P959" i="1"/>
  <c r="Q959" i="1"/>
  <c r="R959" i="1"/>
  <c r="S959" i="1"/>
  <c r="T959" i="1"/>
  <c r="U959" i="1"/>
  <c r="V959" i="1"/>
  <c r="AB959" i="1"/>
  <c r="AI959" i="1"/>
  <c r="AJ959" i="1"/>
  <c r="AK959" i="1"/>
  <c r="AP959" i="1"/>
  <c r="AR959" i="1"/>
  <c r="AY959" i="1"/>
  <c r="BE959" i="1"/>
  <c r="BF959" i="1"/>
  <c r="C960" i="1"/>
  <c r="E960" i="1"/>
  <c r="F960" i="1"/>
  <c r="G960" i="1"/>
  <c r="H960" i="1"/>
  <c r="L960" i="1"/>
  <c r="M960" i="1"/>
  <c r="N960" i="1"/>
  <c r="O960" i="1"/>
  <c r="P960" i="1"/>
  <c r="Q960" i="1"/>
  <c r="R960" i="1"/>
  <c r="S960" i="1"/>
  <c r="T960" i="1"/>
  <c r="U960" i="1"/>
  <c r="V960" i="1"/>
  <c r="AB960" i="1"/>
  <c r="AI960" i="1"/>
  <c r="AJ960" i="1"/>
  <c r="AK960" i="1"/>
  <c r="AP960" i="1"/>
  <c r="AR960" i="1"/>
  <c r="AY960" i="1"/>
  <c r="BE960" i="1"/>
  <c r="BF960" i="1"/>
  <c r="C961" i="1"/>
  <c r="E961" i="1"/>
  <c r="F961" i="1"/>
  <c r="G961" i="1"/>
  <c r="H961" i="1"/>
  <c r="L961" i="1"/>
  <c r="M961" i="1"/>
  <c r="N961" i="1"/>
  <c r="O961" i="1"/>
  <c r="P961" i="1"/>
  <c r="Q961" i="1"/>
  <c r="R961" i="1"/>
  <c r="S961" i="1"/>
  <c r="T961" i="1"/>
  <c r="U961" i="1"/>
  <c r="V961" i="1"/>
  <c r="AB961" i="1"/>
  <c r="AI961" i="1"/>
  <c r="AJ961" i="1"/>
  <c r="AK961" i="1"/>
  <c r="AP961" i="1"/>
  <c r="AR961" i="1"/>
  <c r="AY961" i="1"/>
  <c r="BE961" i="1"/>
  <c r="BF961" i="1"/>
  <c r="C962" i="1"/>
  <c r="E962" i="1"/>
  <c r="F962" i="1"/>
  <c r="G962" i="1"/>
  <c r="H962" i="1"/>
  <c r="L962" i="1"/>
  <c r="M962" i="1"/>
  <c r="N962" i="1"/>
  <c r="O962" i="1"/>
  <c r="P962" i="1"/>
  <c r="Q962" i="1"/>
  <c r="R962" i="1"/>
  <c r="S962" i="1"/>
  <c r="T962" i="1"/>
  <c r="U962" i="1"/>
  <c r="V962" i="1"/>
  <c r="AB962" i="1"/>
  <c r="AI962" i="1"/>
  <c r="AJ962" i="1"/>
  <c r="AK962" i="1"/>
  <c r="AP962" i="1"/>
  <c r="AR962" i="1"/>
  <c r="AY962" i="1"/>
  <c r="BE962" i="1"/>
  <c r="BF962" i="1"/>
  <c r="C963" i="1"/>
  <c r="E963" i="1"/>
  <c r="F963" i="1"/>
  <c r="G963" i="1"/>
  <c r="H963" i="1"/>
  <c r="L963" i="1"/>
  <c r="M963" i="1"/>
  <c r="N963" i="1"/>
  <c r="O963" i="1"/>
  <c r="P963" i="1"/>
  <c r="Q963" i="1"/>
  <c r="R963" i="1"/>
  <c r="S963" i="1"/>
  <c r="T963" i="1"/>
  <c r="U963" i="1"/>
  <c r="V963" i="1"/>
  <c r="AB963" i="1"/>
  <c r="AI963" i="1"/>
  <c r="AJ963" i="1"/>
  <c r="AK963" i="1"/>
  <c r="AP963" i="1"/>
  <c r="AR963" i="1"/>
  <c r="AY963" i="1"/>
  <c r="BE963" i="1"/>
  <c r="BF963" i="1"/>
  <c r="C964" i="1"/>
  <c r="E964" i="1"/>
  <c r="F964" i="1"/>
  <c r="G964" i="1"/>
  <c r="H964" i="1"/>
  <c r="L964" i="1"/>
  <c r="M964" i="1"/>
  <c r="N964" i="1"/>
  <c r="O964" i="1"/>
  <c r="P964" i="1"/>
  <c r="Q964" i="1"/>
  <c r="R964" i="1"/>
  <c r="S964" i="1"/>
  <c r="T964" i="1"/>
  <c r="U964" i="1"/>
  <c r="V964" i="1"/>
  <c r="AB964" i="1"/>
  <c r="AI964" i="1"/>
  <c r="AJ964" i="1"/>
  <c r="AK964" i="1"/>
  <c r="AP964" i="1"/>
  <c r="AR964" i="1"/>
  <c r="AY964" i="1"/>
  <c r="BE964" i="1"/>
  <c r="BF964" i="1"/>
  <c r="C965" i="1"/>
  <c r="E965" i="1"/>
  <c r="F965" i="1"/>
  <c r="G965" i="1"/>
  <c r="H965" i="1"/>
  <c r="L965" i="1"/>
  <c r="M965" i="1"/>
  <c r="N965" i="1"/>
  <c r="O965" i="1"/>
  <c r="P965" i="1"/>
  <c r="Q965" i="1"/>
  <c r="R965" i="1"/>
  <c r="S965" i="1"/>
  <c r="T965" i="1"/>
  <c r="U965" i="1"/>
  <c r="V965" i="1"/>
  <c r="AB965" i="1"/>
  <c r="AI965" i="1"/>
  <c r="AJ965" i="1"/>
  <c r="AK965" i="1"/>
  <c r="AP965" i="1"/>
  <c r="AR965" i="1"/>
  <c r="AY965" i="1"/>
  <c r="BE965" i="1"/>
  <c r="BF965" i="1"/>
  <c r="C966" i="1"/>
  <c r="E966" i="1"/>
  <c r="F966" i="1"/>
  <c r="G966" i="1"/>
  <c r="H966" i="1"/>
  <c r="L966" i="1"/>
  <c r="M966" i="1"/>
  <c r="N966" i="1"/>
  <c r="O966" i="1"/>
  <c r="P966" i="1"/>
  <c r="Q966" i="1"/>
  <c r="R966" i="1"/>
  <c r="S966" i="1"/>
  <c r="T966" i="1"/>
  <c r="U966" i="1"/>
  <c r="V966" i="1"/>
  <c r="AB966" i="1"/>
  <c r="AI966" i="1"/>
  <c r="AJ966" i="1"/>
  <c r="AK966" i="1"/>
  <c r="AP966" i="1"/>
  <c r="AR966" i="1"/>
  <c r="AY966" i="1"/>
  <c r="BE966" i="1"/>
  <c r="BF966" i="1"/>
  <c r="C967" i="1"/>
  <c r="E967" i="1"/>
  <c r="F967" i="1"/>
  <c r="G967" i="1"/>
  <c r="H967" i="1"/>
  <c r="L967" i="1"/>
  <c r="M967" i="1"/>
  <c r="N967" i="1"/>
  <c r="O967" i="1"/>
  <c r="P967" i="1"/>
  <c r="Q967" i="1"/>
  <c r="R967" i="1"/>
  <c r="S967" i="1"/>
  <c r="T967" i="1"/>
  <c r="U967" i="1"/>
  <c r="V967" i="1"/>
  <c r="AB967" i="1"/>
  <c r="AI967" i="1"/>
  <c r="AJ967" i="1"/>
  <c r="AK967" i="1"/>
  <c r="AP967" i="1"/>
  <c r="AR967" i="1"/>
  <c r="AY967" i="1"/>
  <c r="BE967" i="1"/>
  <c r="BF967" i="1"/>
  <c r="C968" i="1"/>
  <c r="E968" i="1"/>
  <c r="F968" i="1"/>
  <c r="G968" i="1"/>
  <c r="H968" i="1"/>
  <c r="L968" i="1"/>
  <c r="M968" i="1"/>
  <c r="N968" i="1"/>
  <c r="O968" i="1"/>
  <c r="P968" i="1"/>
  <c r="Q968" i="1"/>
  <c r="R968" i="1"/>
  <c r="S968" i="1"/>
  <c r="T968" i="1"/>
  <c r="U968" i="1"/>
  <c r="V968" i="1"/>
  <c r="AB968" i="1"/>
  <c r="AI968" i="1"/>
  <c r="AJ968" i="1"/>
  <c r="AK968" i="1"/>
  <c r="AP968" i="1"/>
  <c r="AR968" i="1"/>
  <c r="AY968" i="1"/>
  <c r="BE968" i="1"/>
  <c r="BF968" i="1"/>
  <c r="C969" i="1"/>
  <c r="E969" i="1"/>
  <c r="F969" i="1"/>
  <c r="G969" i="1"/>
  <c r="H969" i="1"/>
  <c r="L969" i="1"/>
  <c r="M969" i="1"/>
  <c r="N969" i="1"/>
  <c r="O969" i="1"/>
  <c r="P969" i="1"/>
  <c r="Q969" i="1"/>
  <c r="R969" i="1"/>
  <c r="S969" i="1"/>
  <c r="T969" i="1"/>
  <c r="U969" i="1"/>
  <c r="V969" i="1"/>
  <c r="AB969" i="1"/>
  <c r="AI969" i="1"/>
  <c r="AJ969" i="1"/>
  <c r="AK969" i="1"/>
  <c r="AP969" i="1"/>
  <c r="AR969" i="1"/>
  <c r="AY969" i="1"/>
  <c r="BE969" i="1"/>
  <c r="BF969" i="1"/>
  <c r="C970" i="1"/>
  <c r="E970" i="1"/>
  <c r="F970" i="1"/>
  <c r="G970" i="1"/>
  <c r="H970" i="1"/>
  <c r="L970" i="1"/>
  <c r="M970" i="1"/>
  <c r="N970" i="1"/>
  <c r="O970" i="1"/>
  <c r="P970" i="1"/>
  <c r="Q970" i="1"/>
  <c r="R970" i="1"/>
  <c r="S970" i="1"/>
  <c r="T970" i="1"/>
  <c r="U970" i="1"/>
  <c r="V970" i="1"/>
  <c r="AB970" i="1"/>
  <c r="AI970" i="1"/>
  <c r="AJ970" i="1"/>
  <c r="AK970" i="1"/>
  <c r="AP970" i="1"/>
  <c r="AR970" i="1"/>
  <c r="AY970" i="1"/>
  <c r="BE970" i="1"/>
  <c r="BF970" i="1"/>
  <c r="C971" i="1"/>
  <c r="E971" i="1"/>
  <c r="F971" i="1"/>
  <c r="G971" i="1"/>
  <c r="H971" i="1"/>
  <c r="L971" i="1"/>
  <c r="M971" i="1"/>
  <c r="N971" i="1"/>
  <c r="O971" i="1"/>
  <c r="P971" i="1"/>
  <c r="Q971" i="1"/>
  <c r="R971" i="1"/>
  <c r="S971" i="1"/>
  <c r="T971" i="1"/>
  <c r="U971" i="1"/>
  <c r="V971" i="1"/>
  <c r="AB971" i="1"/>
  <c r="AI971" i="1"/>
  <c r="AJ971" i="1"/>
  <c r="AK971" i="1"/>
  <c r="AP971" i="1"/>
  <c r="AR971" i="1"/>
  <c r="AY971" i="1"/>
  <c r="BE971" i="1"/>
  <c r="BF971" i="1"/>
  <c r="C972" i="1"/>
  <c r="E972" i="1"/>
  <c r="F972" i="1"/>
  <c r="G972" i="1"/>
  <c r="H972" i="1"/>
  <c r="L972" i="1"/>
  <c r="M972" i="1"/>
  <c r="N972" i="1"/>
  <c r="O972" i="1"/>
  <c r="P972" i="1"/>
  <c r="Q972" i="1"/>
  <c r="R972" i="1"/>
  <c r="S972" i="1"/>
  <c r="T972" i="1"/>
  <c r="U972" i="1"/>
  <c r="V972" i="1"/>
  <c r="AB972" i="1"/>
  <c r="AI972" i="1"/>
  <c r="AJ972" i="1"/>
  <c r="AK972" i="1"/>
  <c r="AP972" i="1"/>
  <c r="AR972" i="1"/>
  <c r="AY972" i="1"/>
  <c r="BE972" i="1"/>
  <c r="BF972" i="1"/>
  <c r="C973" i="1"/>
  <c r="E973" i="1"/>
  <c r="F973" i="1"/>
  <c r="G973" i="1"/>
  <c r="H973" i="1"/>
  <c r="L973" i="1"/>
  <c r="M973" i="1"/>
  <c r="N973" i="1"/>
  <c r="O973" i="1"/>
  <c r="P973" i="1"/>
  <c r="Q973" i="1"/>
  <c r="R973" i="1"/>
  <c r="S973" i="1"/>
  <c r="T973" i="1"/>
  <c r="U973" i="1"/>
  <c r="V973" i="1"/>
  <c r="AB973" i="1"/>
  <c r="AI973" i="1"/>
  <c r="AJ973" i="1"/>
  <c r="AK973" i="1"/>
  <c r="AP973" i="1"/>
  <c r="AR973" i="1"/>
  <c r="AY973" i="1"/>
  <c r="BE973" i="1"/>
  <c r="BF973" i="1"/>
  <c r="C974" i="1"/>
  <c r="E974" i="1"/>
  <c r="F974" i="1"/>
  <c r="G974" i="1"/>
  <c r="H974" i="1"/>
  <c r="L974" i="1"/>
  <c r="M974" i="1"/>
  <c r="N974" i="1"/>
  <c r="O974" i="1"/>
  <c r="P974" i="1"/>
  <c r="Q974" i="1"/>
  <c r="R974" i="1"/>
  <c r="S974" i="1"/>
  <c r="T974" i="1"/>
  <c r="U974" i="1"/>
  <c r="V974" i="1"/>
  <c r="AB974" i="1"/>
  <c r="AI974" i="1"/>
  <c r="AJ974" i="1"/>
  <c r="AK974" i="1"/>
  <c r="AP974" i="1"/>
  <c r="AR974" i="1"/>
  <c r="AY974" i="1"/>
  <c r="BE974" i="1"/>
  <c r="BF974" i="1"/>
  <c r="C975" i="1"/>
  <c r="E975" i="1"/>
  <c r="F975" i="1"/>
  <c r="G975" i="1"/>
  <c r="H975" i="1"/>
  <c r="L975" i="1"/>
  <c r="M975" i="1"/>
  <c r="N975" i="1"/>
  <c r="O975" i="1"/>
  <c r="P975" i="1"/>
  <c r="Q975" i="1"/>
  <c r="R975" i="1"/>
  <c r="S975" i="1"/>
  <c r="T975" i="1"/>
  <c r="U975" i="1"/>
  <c r="V975" i="1"/>
  <c r="AB975" i="1"/>
  <c r="AI975" i="1"/>
  <c r="AJ975" i="1"/>
  <c r="AK975" i="1"/>
  <c r="AP975" i="1"/>
  <c r="AR975" i="1"/>
  <c r="AY975" i="1"/>
  <c r="BE975" i="1"/>
  <c r="BF975" i="1"/>
  <c r="C976" i="1"/>
  <c r="E976" i="1"/>
  <c r="F976" i="1"/>
  <c r="G976" i="1"/>
  <c r="H976" i="1"/>
  <c r="L976" i="1"/>
  <c r="M976" i="1"/>
  <c r="N976" i="1"/>
  <c r="O976" i="1"/>
  <c r="P976" i="1"/>
  <c r="Q976" i="1"/>
  <c r="R976" i="1"/>
  <c r="S976" i="1"/>
  <c r="T976" i="1"/>
  <c r="U976" i="1"/>
  <c r="V976" i="1"/>
  <c r="AB976" i="1"/>
  <c r="AI976" i="1"/>
  <c r="AJ976" i="1"/>
  <c r="AK976" i="1"/>
  <c r="AP976" i="1"/>
  <c r="AR976" i="1"/>
  <c r="AY976" i="1"/>
  <c r="BE976" i="1"/>
  <c r="BF976" i="1"/>
  <c r="C977" i="1"/>
  <c r="E977" i="1"/>
  <c r="F977" i="1"/>
  <c r="G977" i="1"/>
  <c r="H977" i="1"/>
  <c r="L977" i="1"/>
  <c r="M977" i="1"/>
  <c r="N977" i="1"/>
  <c r="O977" i="1"/>
  <c r="P977" i="1"/>
  <c r="Q977" i="1"/>
  <c r="R977" i="1"/>
  <c r="S977" i="1"/>
  <c r="T977" i="1"/>
  <c r="U977" i="1"/>
  <c r="V977" i="1"/>
  <c r="AB977" i="1"/>
  <c r="AI977" i="1"/>
  <c r="AJ977" i="1"/>
  <c r="AK977" i="1"/>
  <c r="AP977" i="1"/>
  <c r="AR977" i="1"/>
  <c r="AY977" i="1"/>
  <c r="BE977" i="1"/>
  <c r="BF977" i="1"/>
  <c r="C978" i="1"/>
  <c r="E978" i="1"/>
  <c r="F978" i="1"/>
  <c r="G978" i="1"/>
  <c r="H978" i="1"/>
  <c r="L978" i="1"/>
  <c r="M978" i="1"/>
  <c r="N978" i="1"/>
  <c r="O978" i="1"/>
  <c r="P978" i="1"/>
  <c r="Q978" i="1"/>
  <c r="R978" i="1"/>
  <c r="S978" i="1"/>
  <c r="T978" i="1"/>
  <c r="U978" i="1"/>
  <c r="V978" i="1"/>
  <c r="AB978" i="1"/>
  <c r="AI978" i="1"/>
  <c r="AJ978" i="1"/>
  <c r="AK978" i="1"/>
  <c r="AP978" i="1"/>
  <c r="AR978" i="1"/>
  <c r="AY978" i="1"/>
  <c r="BE978" i="1"/>
  <c r="BF978" i="1"/>
  <c r="C979" i="1"/>
  <c r="E979" i="1"/>
  <c r="F979" i="1"/>
  <c r="G979" i="1"/>
  <c r="H979" i="1"/>
  <c r="L979" i="1"/>
  <c r="M979" i="1"/>
  <c r="N979" i="1"/>
  <c r="O979" i="1"/>
  <c r="P979" i="1"/>
  <c r="Q979" i="1"/>
  <c r="R979" i="1"/>
  <c r="S979" i="1"/>
  <c r="T979" i="1"/>
  <c r="U979" i="1"/>
  <c r="V979" i="1"/>
  <c r="AB979" i="1"/>
  <c r="AI979" i="1"/>
  <c r="AJ979" i="1"/>
  <c r="AK979" i="1"/>
  <c r="AP979" i="1"/>
  <c r="AR979" i="1"/>
  <c r="AY979" i="1"/>
  <c r="BE979" i="1"/>
  <c r="BF979" i="1"/>
  <c r="C980" i="1"/>
  <c r="E980" i="1"/>
  <c r="F980" i="1"/>
  <c r="G980" i="1"/>
  <c r="H980" i="1"/>
  <c r="L980" i="1"/>
  <c r="M980" i="1"/>
  <c r="N980" i="1"/>
  <c r="O980" i="1"/>
  <c r="P980" i="1"/>
  <c r="Q980" i="1"/>
  <c r="R980" i="1"/>
  <c r="S980" i="1"/>
  <c r="T980" i="1"/>
  <c r="U980" i="1"/>
  <c r="V980" i="1"/>
  <c r="AB980" i="1"/>
  <c r="AI980" i="1"/>
  <c r="AJ980" i="1"/>
  <c r="AK980" i="1"/>
  <c r="AP980" i="1"/>
  <c r="AR980" i="1"/>
  <c r="AY980" i="1"/>
  <c r="BE980" i="1"/>
  <c r="BF980" i="1"/>
  <c r="C981" i="1"/>
  <c r="E981" i="1"/>
  <c r="F981" i="1"/>
  <c r="G981" i="1"/>
  <c r="H981" i="1"/>
  <c r="L981" i="1"/>
  <c r="M981" i="1"/>
  <c r="N981" i="1"/>
  <c r="O981" i="1"/>
  <c r="P981" i="1"/>
  <c r="Q981" i="1"/>
  <c r="R981" i="1"/>
  <c r="S981" i="1"/>
  <c r="T981" i="1"/>
  <c r="U981" i="1"/>
  <c r="V981" i="1"/>
  <c r="AB981" i="1"/>
  <c r="AI981" i="1"/>
  <c r="AJ981" i="1"/>
  <c r="AK981" i="1"/>
  <c r="AP981" i="1"/>
  <c r="AR981" i="1"/>
  <c r="AY981" i="1"/>
  <c r="BE981" i="1"/>
  <c r="BF981" i="1"/>
  <c r="C982" i="1"/>
  <c r="E982" i="1"/>
  <c r="F982" i="1"/>
  <c r="G982" i="1"/>
  <c r="H982" i="1"/>
  <c r="L982" i="1"/>
  <c r="M982" i="1"/>
  <c r="N982" i="1"/>
  <c r="O982" i="1"/>
  <c r="P982" i="1"/>
  <c r="Q982" i="1"/>
  <c r="R982" i="1"/>
  <c r="S982" i="1"/>
  <c r="T982" i="1"/>
  <c r="U982" i="1"/>
  <c r="V982" i="1"/>
  <c r="AB982" i="1"/>
  <c r="AI982" i="1"/>
  <c r="AJ982" i="1"/>
  <c r="AK982" i="1"/>
  <c r="AP982" i="1"/>
  <c r="AR982" i="1"/>
  <c r="AY982" i="1"/>
  <c r="BE982" i="1"/>
  <c r="BF982" i="1"/>
  <c r="C983" i="1"/>
  <c r="E983" i="1"/>
  <c r="F983" i="1"/>
  <c r="G983" i="1"/>
  <c r="H983" i="1"/>
  <c r="L983" i="1"/>
  <c r="M983" i="1"/>
  <c r="N983" i="1"/>
  <c r="O983" i="1"/>
  <c r="P983" i="1"/>
  <c r="Q983" i="1"/>
  <c r="R983" i="1"/>
  <c r="S983" i="1"/>
  <c r="T983" i="1"/>
  <c r="U983" i="1"/>
  <c r="V983" i="1"/>
  <c r="AB983" i="1"/>
  <c r="AI983" i="1"/>
  <c r="AJ983" i="1"/>
  <c r="AK983" i="1"/>
  <c r="AP983" i="1"/>
  <c r="AR983" i="1"/>
  <c r="AY983" i="1"/>
  <c r="BE983" i="1"/>
  <c r="BF983" i="1"/>
  <c r="C984" i="1"/>
  <c r="E984" i="1"/>
  <c r="F984" i="1"/>
  <c r="G984" i="1"/>
  <c r="H984" i="1"/>
  <c r="L984" i="1"/>
  <c r="M984" i="1"/>
  <c r="N984" i="1"/>
  <c r="O984" i="1"/>
  <c r="P984" i="1"/>
  <c r="Q984" i="1"/>
  <c r="R984" i="1"/>
  <c r="S984" i="1"/>
  <c r="T984" i="1"/>
  <c r="U984" i="1"/>
  <c r="V984" i="1"/>
  <c r="AB984" i="1"/>
  <c r="AI984" i="1"/>
  <c r="AJ984" i="1"/>
  <c r="AK984" i="1"/>
  <c r="AP984" i="1"/>
  <c r="AR984" i="1"/>
  <c r="AY984" i="1"/>
  <c r="BE984" i="1"/>
  <c r="BF984" i="1"/>
  <c r="C985" i="1"/>
  <c r="E985" i="1"/>
  <c r="F985" i="1"/>
  <c r="G985" i="1"/>
  <c r="H985" i="1"/>
  <c r="L985" i="1"/>
  <c r="M985" i="1"/>
  <c r="N985" i="1"/>
  <c r="O985" i="1"/>
  <c r="P985" i="1"/>
  <c r="Q985" i="1"/>
  <c r="R985" i="1"/>
  <c r="S985" i="1"/>
  <c r="T985" i="1"/>
  <c r="U985" i="1"/>
  <c r="V985" i="1"/>
  <c r="AB985" i="1"/>
  <c r="AI985" i="1"/>
  <c r="AJ985" i="1"/>
  <c r="AK985" i="1"/>
  <c r="AP985" i="1"/>
  <c r="AR985" i="1"/>
  <c r="AY985" i="1"/>
  <c r="BE985" i="1"/>
  <c r="BF985" i="1"/>
  <c r="C986" i="1"/>
  <c r="E986" i="1"/>
  <c r="F986" i="1"/>
  <c r="G986" i="1"/>
  <c r="H986" i="1"/>
  <c r="L986" i="1"/>
  <c r="M986" i="1"/>
  <c r="N986" i="1"/>
  <c r="O986" i="1"/>
  <c r="P986" i="1"/>
  <c r="Q986" i="1"/>
  <c r="R986" i="1"/>
  <c r="S986" i="1"/>
  <c r="T986" i="1"/>
  <c r="U986" i="1"/>
  <c r="V986" i="1"/>
  <c r="AB986" i="1"/>
  <c r="AI986" i="1"/>
  <c r="AJ986" i="1"/>
  <c r="AK986" i="1"/>
  <c r="AP986" i="1"/>
  <c r="AR986" i="1"/>
  <c r="AY986" i="1"/>
  <c r="BE986" i="1"/>
  <c r="BF986" i="1"/>
  <c r="C987" i="1"/>
  <c r="E987" i="1"/>
  <c r="F987" i="1"/>
  <c r="G987" i="1"/>
  <c r="H987" i="1"/>
  <c r="L987" i="1"/>
  <c r="M987" i="1"/>
  <c r="N987" i="1"/>
  <c r="O987" i="1"/>
  <c r="P987" i="1"/>
  <c r="Q987" i="1"/>
  <c r="R987" i="1"/>
  <c r="S987" i="1"/>
  <c r="T987" i="1"/>
  <c r="U987" i="1"/>
  <c r="V987" i="1"/>
  <c r="AB987" i="1"/>
  <c r="AI987" i="1"/>
  <c r="AJ987" i="1"/>
  <c r="AK987" i="1"/>
  <c r="AP987" i="1"/>
  <c r="AR987" i="1"/>
  <c r="AY987" i="1"/>
  <c r="BE987" i="1"/>
  <c r="BF987" i="1"/>
  <c r="C988" i="1"/>
  <c r="E988" i="1"/>
  <c r="F988" i="1"/>
  <c r="G988" i="1"/>
  <c r="H988" i="1"/>
  <c r="L988" i="1"/>
  <c r="M988" i="1"/>
  <c r="N988" i="1"/>
  <c r="O988" i="1"/>
  <c r="P988" i="1"/>
  <c r="Q988" i="1"/>
  <c r="R988" i="1"/>
  <c r="S988" i="1"/>
  <c r="T988" i="1"/>
  <c r="U988" i="1"/>
  <c r="V988" i="1"/>
  <c r="AB988" i="1"/>
  <c r="AI988" i="1"/>
  <c r="AJ988" i="1"/>
  <c r="AK988" i="1"/>
  <c r="AP988" i="1"/>
  <c r="AR988" i="1"/>
  <c r="AY988" i="1"/>
  <c r="BE988" i="1"/>
  <c r="BF988" i="1"/>
  <c r="C989" i="1"/>
  <c r="E989" i="1"/>
  <c r="F989" i="1"/>
  <c r="G989" i="1"/>
  <c r="H989" i="1"/>
  <c r="L989" i="1"/>
  <c r="M989" i="1"/>
  <c r="N989" i="1"/>
  <c r="O989" i="1"/>
  <c r="P989" i="1"/>
  <c r="Q989" i="1"/>
  <c r="R989" i="1"/>
  <c r="S989" i="1"/>
  <c r="T989" i="1"/>
  <c r="U989" i="1"/>
  <c r="V989" i="1"/>
  <c r="AB989" i="1"/>
  <c r="AI989" i="1"/>
  <c r="AJ989" i="1"/>
  <c r="AK989" i="1"/>
  <c r="AP989" i="1"/>
  <c r="AR989" i="1"/>
  <c r="AY989" i="1"/>
  <c r="BE989" i="1"/>
  <c r="BF989" i="1"/>
  <c r="C990" i="1"/>
  <c r="E990" i="1"/>
  <c r="F990" i="1"/>
  <c r="G990" i="1"/>
  <c r="H990" i="1"/>
  <c r="L990" i="1"/>
  <c r="M990" i="1"/>
  <c r="N990" i="1"/>
  <c r="O990" i="1"/>
  <c r="P990" i="1"/>
  <c r="Q990" i="1"/>
  <c r="R990" i="1"/>
  <c r="S990" i="1"/>
  <c r="T990" i="1"/>
  <c r="U990" i="1"/>
  <c r="V990" i="1"/>
  <c r="AB990" i="1"/>
  <c r="AI990" i="1"/>
  <c r="AJ990" i="1"/>
  <c r="AK990" i="1"/>
  <c r="AP990" i="1"/>
  <c r="AR990" i="1"/>
  <c r="AY990" i="1"/>
  <c r="BE990" i="1"/>
  <c r="BF990" i="1"/>
  <c r="C991" i="1"/>
  <c r="E991" i="1"/>
  <c r="F991" i="1"/>
  <c r="G991" i="1"/>
  <c r="H991" i="1"/>
  <c r="L991" i="1"/>
  <c r="M991" i="1"/>
  <c r="N991" i="1"/>
  <c r="O991" i="1"/>
  <c r="P991" i="1"/>
  <c r="Q991" i="1"/>
  <c r="R991" i="1"/>
  <c r="S991" i="1"/>
  <c r="T991" i="1"/>
  <c r="U991" i="1"/>
  <c r="V991" i="1"/>
  <c r="AB991" i="1"/>
  <c r="AI991" i="1"/>
  <c r="AJ991" i="1"/>
  <c r="AK991" i="1"/>
  <c r="AP991" i="1"/>
  <c r="AR991" i="1"/>
  <c r="AY991" i="1"/>
  <c r="BE991" i="1"/>
  <c r="BF991" i="1"/>
  <c r="C992" i="1"/>
  <c r="E992" i="1"/>
  <c r="F992" i="1"/>
  <c r="G992" i="1"/>
  <c r="H992" i="1"/>
  <c r="L992" i="1"/>
  <c r="M992" i="1"/>
  <c r="N992" i="1"/>
  <c r="O992" i="1"/>
  <c r="P992" i="1"/>
  <c r="Q992" i="1"/>
  <c r="R992" i="1"/>
  <c r="S992" i="1"/>
  <c r="T992" i="1"/>
  <c r="U992" i="1"/>
  <c r="V992" i="1"/>
  <c r="AB992" i="1"/>
  <c r="AI992" i="1"/>
  <c r="AJ992" i="1"/>
  <c r="AK992" i="1"/>
  <c r="AP992" i="1"/>
  <c r="AR992" i="1"/>
  <c r="AY992" i="1"/>
  <c r="BE992" i="1"/>
  <c r="BF992" i="1"/>
  <c r="C993" i="1"/>
  <c r="E993" i="1"/>
  <c r="F993" i="1"/>
  <c r="G993" i="1"/>
  <c r="H993" i="1"/>
  <c r="L993" i="1"/>
  <c r="M993" i="1"/>
  <c r="N993" i="1"/>
  <c r="O993" i="1"/>
  <c r="P993" i="1"/>
  <c r="Q993" i="1"/>
  <c r="R993" i="1"/>
  <c r="S993" i="1"/>
  <c r="T993" i="1"/>
  <c r="U993" i="1"/>
  <c r="V993" i="1"/>
  <c r="AB993" i="1"/>
  <c r="AI993" i="1"/>
  <c r="AJ993" i="1"/>
  <c r="AK993" i="1"/>
  <c r="AP993" i="1"/>
  <c r="AR993" i="1"/>
  <c r="AY993" i="1"/>
  <c r="BE993" i="1"/>
  <c r="BF993" i="1"/>
  <c r="C994" i="1"/>
  <c r="E994" i="1"/>
  <c r="F994" i="1"/>
  <c r="G994" i="1"/>
  <c r="H994" i="1"/>
  <c r="L994" i="1"/>
  <c r="M994" i="1"/>
  <c r="N994" i="1"/>
  <c r="O994" i="1"/>
  <c r="P994" i="1"/>
  <c r="Q994" i="1"/>
  <c r="R994" i="1"/>
  <c r="S994" i="1"/>
  <c r="T994" i="1"/>
  <c r="U994" i="1"/>
  <c r="V994" i="1"/>
  <c r="AB994" i="1"/>
  <c r="AI994" i="1"/>
  <c r="AJ994" i="1"/>
  <c r="AK994" i="1"/>
  <c r="AP994" i="1"/>
  <c r="AR994" i="1"/>
  <c r="AY994" i="1"/>
  <c r="BE994" i="1"/>
  <c r="BF994" i="1"/>
  <c r="C995" i="1"/>
  <c r="E995" i="1"/>
  <c r="F995" i="1"/>
  <c r="G995" i="1"/>
  <c r="H995" i="1"/>
  <c r="L995" i="1"/>
  <c r="M995" i="1"/>
  <c r="N995" i="1"/>
  <c r="O995" i="1"/>
  <c r="P995" i="1"/>
  <c r="Q995" i="1"/>
  <c r="R995" i="1"/>
  <c r="S995" i="1"/>
  <c r="T995" i="1"/>
  <c r="U995" i="1"/>
  <c r="V995" i="1"/>
  <c r="AB995" i="1"/>
  <c r="AI995" i="1"/>
  <c r="AJ995" i="1"/>
  <c r="AK995" i="1"/>
  <c r="AP995" i="1"/>
  <c r="AR995" i="1"/>
  <c r="AY995" i="1"/>
  <c r="BE995" i="1"/>
  <c r="BF995" i="1"/>
  <c r="C996" i="1"/>
  <c r="E996" i="1"/>
  <c r="F996" i="1"/>
  <c r="G996" i="1"/>
  <c r="H996" i="1"/>
  <c r="L996" i="1"/>
  <c r="M996" i="1"/>
  <c r="N996" i="1"/>
  <c r="O996" i="1"/>
  <c r="P996" i="1"/>
  <c r="Q996" i="1"/>
  <c r="R996" i="1"/>
  <c r="S996" i="1"/>
  <c r="T996" i="1"/>
  <c r="U996" i="1"/>
  <c r="V996" i="1"/>
  <c r="AB996" i="1"/>
  <c r="AI996" i="1"/>
  <c r="AJ996" i="1"/>
  <c r="AK996" i="1"/>
  <c r="AP996" i="1"/>
  <c r="AR996" i="1"/>
  <c r="AY996" i="1"/>
  <c r="BE996" i="1"/>
  <c r="BF996" i="1"/>
  <c r="C997" i="1"/>
  <c r="E997" i="1"/>
  <c r="F997" i="1"/>
  <c r="G997" i="1"/>
  <c r="H997" i="1"/>
  <c r="L997" i="1"/>
  <c r="M997" i="1"/>
  <c r="N997" i="1"/>
  <c r="O997" i="1"/>
  <c r="P997" i="1"/>
  <c r="Q997" i="1"/>
  <c r="R997" i="1"/>
  <c r="S997" i="1"/>
  <c r="T997" i="1"/>
  <c r="U997" i="1"/>
  <c r="V997" i="1"/>
  <c r="AB997" i="1"/>
  <c r="AI997" i="1"/>
  <c r="AJ997" i="1"/>
  <c r="AK997" i="1"/>
  <c r="AP997" i="1"/>
  <c r="AR997" i="1"/>
  <c r="AY997" i="1"/>
  <c r="BE997" i="1"/>
  <c r="BF997" i="1"/>
  <c r="C998" i="1"/>
  <c r="E998" i="1"/>
  <c r="F998" i="1"/>
  <c r="G998" i="1"/>
  <c r="H998" i="1"/>
  <c r="L998" i="1"/>
  <c r="M998" i="1"/>
  <c r="N998" i="1"/>
  <c r="O998" i="1"/>
  <c r="P998" i="1"/>
  <c r="Q998" i="1"/>
  <c r="R998" i="1"/>
  <c r="S998" i="1"/>
  <c r="T998" i="1"/>
  <c r="U998" i="1"/>
  <c r="V998" i="1"/>
  <c r="AB998" i="1"/>
  <c r="AI998" i="1"/>
  <c r="AJ998" i="1"/>
  <c r="AK998" i="1"/>
  <c r="AP998" i="1"/>
  <c r="AR998" i="1"/>
  <c r="AY998" i="1"/>
  <c r="BE998" i="1"/>
  <c r="BF998" i="1"/>
  <c r="C999" i="1"/>
  <c r="E999" i="1"/>
  <c r="F999" i="1"/>
  <c r="G999" i="1"/>
  <c r="H999" i="1"/>
  <c r="L999" i="1"/>
  <c r="M999" i="1"/>
  <c r="N999" i="1"/>
  <c r="O999" i="1"/>
  <c r="P999" i="1"/>
  <c r="Q999" i="1"/>
  <c r="R999" i="1"/>
  <c r="S999" i="1"/>
  <c r="T999" i="1"/>
  <c r="U999" i="1"/>
  <c r="V999" i="1"/>
  <c r="AB999" i="1"/>
  <c r="AI999" i="1"/>
  <c r="AJ999" i="1"/>
  <c r="AK999" i="1"/>
  <c r="AP999" i="1"/>
  <c r="AR999" i="1"/>
  <c r="AY999" i="1"/>
  <c r="BE999" i="1"/>
  <c r="BF999" i="1"/>
  <c r="C1000" i="1"/>
  <c r="E1000" i="1"/>
  <c r="F1000" i="1"/>
  <c r="G1000" i="1"/>
  <c r="H1000" i="1"/>
  <c r="L1000" i="1"/>
  <c r="M1000" i="1"/>
  <c r="N1000" i="1"/>
  <c r="O1000" i="1"/>
  <c r="P1000" i="1"/>
  <c r="Q1000" i="1"/>
  <c r="R1000" i="1"/>
  <c r="S1000" i="1"/>
  <c r="T1000" i="1"/>
  <c r="U1000" i="1"/>
  <c r="V1000" i="1"/>
  <c r="AB1000" i="1"/>
  <c r="AI1000" i="1"/>
  <c r="AJ1000" i="1"/>
  <c r="AK1000" i="1"/>
  <c r="AP1000" i="1"/>
  <c r="AR1000" i="1"/>
  <c r="AY1000" i="1"/>
  <c r="BE1000" i="1"/>
  <c r="BF1000" i="1"/>
  <c r="C1001" i="1"/>
  <c r="E1001" i="1"/>
  <c r="F1001" i="1"/>
  <c r="G1001" i="1"/>
  <c r="H1001" i="1"/>
  <c r="L1001" i="1"/>
  <c r="M1001" i="1"/>
  <c r="N1001" i="1"/>
  <c r="O1001" i="1"/>
  <c r="P1001" i="1"/>
  <c r="Q1001" i="1"/>
  <c r="R1001" i="1"/>
  <c r="S1001" i="1"/>
  <c r="T1001" i="1"/>
  <c r="U1001" i="1"/>
  <c r="V1001" i="1"/>
  <c r="AB1001" i="1"/>
  <c r="AI1001" i="1"/>
  <c r="AJ1001" i="1"/>
  <c r="AK1001" i="1"/>
  <c r="AP1001" i="1"/>
  <c r="AR1001" i="1"/>
  <c r="AY1001" i="1"/>
  <c r="BE1001" i="1"/>
  <c r="BF1001" i="1"/>
  <c r="C1002" i="1"/>
  <c r="E1002" i="1"/>
  <c r="F1002" i="1"/>
  <c r="G1002" i="1"/>
  <c r="H1002" i="1"/>
  <c r="L1002" i="1"/>
  <c r="M1002" i="1"/>
  <c r="N1002" i="1"/>
  <c r="O1002" i="1"/>
  <c r="P1002" i="1"/>
  <c r="Q1002" i="1"/>
  <c r="R1002" i="1"/>
  <c r="S1002" i="1"/>
  <c r="T1002" i="1"/>
  <c r="U1002" i="1"/>
  <c r="V1002" i="1"/>
  <c r="AB1002" i="1"/>
  <c r="AI1002" i="1"/>
  <c r="AJ1002" i="1"/>
  <c r="AK1002" i="1"/>
  <c r="AP1002" i="1"/>
  <c r="AR1002" i="1"/>
  <c r="AY1002" i="1"/>
  <c r="BE1002" i="1"/>
  <c r="BF1002" i="1"/>
  <c r="C1003" i="1"/>
  <c r="E1003" i="1"/>
  <c r="F1003" i="1"/>
  <c r="G1003" i="1"/>
  <c r="H1003" i="1"/>
  <c r="L1003" i="1"/>
  <c r="M1003" i="1"/>
  <c r="N1003" i="1"/>
  <c r="O1003" i="1"/>
  <c r="P1003" i="1"/>
  <c r="Q1003" i="1"/>
  <c r="R1003" i="1"/>
  <c r="S1003" i="1"/>
  <c r="T1003" i="1"/>
  <c r="U1003" i="1"/>
  <c r="V1003" i="1"/>
  <c r="AB1003" i="1"/>
  <c r="AI1003" i="1"/>
  <c r="AJ1003" i="1"/>
  <c r="AK1003" i="1"/>
  <c r="AP1003" i="1"/>
  <c r="AR1003" i="1"/>
  <c r="AY1003" i="1"/>
  <c r="BE1003" i="1"/>
  <c r="BF1003" i="1"/>
  <c r="C1004" i="1"/>
  <c r="E1004" i="1"/>
  <c r="F1004" i="1"/>
  <c r="G1004" i="1"/>
  <c r="H1004" i="1"/>
  <c r="L1004" i="1"/>
  <c r="M1004" i="1"/>
  <c r="N1004" i="1"/>
  <c r="O1004" i="1"/>
  <c r="P1004" i="1"/>
  <c r="Q1004" i="1"/>
  <c r="R1004" i="1"/>
  <c r="S1004" i="1"/>
  <c r="T1004" i="1"/>
  <c r="U1004" i="1"/>
  <c r="V1004" i="1"/>
  <c r="AB1004" i="1"/>
  <c r="AI1004" i="1"/>
  <c r="AJ1004" i="1"/>
  <c r="AK1004" i="1"/>
  <c r="AP1004" i="1"/>
  <c r="AR1004" i="1"/>
  <c r="AY1004" i="1"/>
  <c r="BE1004" i="1"/>
  <c r="BF1004" i="1"/>
  <c r="C1005" i="1"/>
  <c r="E1005" i="1"/>
  <c r="F1005" i="1"/>
  <c r="G1005" i="1"/>
  <c r="H1005" i="1"/>
  <c r="L1005" i="1"/>
  <c r="M1005" i="1"/>
  <c r="N1005" i="1"/>
  <c r="O1005" i="1"/>
  <c r="P1005" i="1"/>
  <c r="Q1005" i="1"/>
  <c r="R1005" i="1"/>
  <c r="S1005" i="1"/>
  <c r="T1005" i="1"/>
  <c r="U1005" i="1"/>
  <c r="V1005" i="1"/>
  <c r="AB1005" i="1"/>
  <c r="AI1005" i="1"/>
  <c r="AJ1005" i="1"/>
  <c r="AK1005" i="1"/>
  <c r="AP1005" i="1"/>
  <c r="AR1005" i="1"/>
  <c r="AY1005" i="1"/>
  <c r="BE1005" i="1"/>
  <c r="BF1005" i="1"/>
  <c r="C1006" i="1"/>
  <c r="E1006" i="1"/>
  <c r="F1006" i="1"/>
  <c r="G1006" i="1"/>
  <c r="H1006" i="1"/>
  <c r="L1006" i="1"/>
  <c r="M1006" i="1"/>
  <c r="N1006" i="1"/>
  <c r="O1006" i="1"/>
  <c r="P1006" i="1"/>
  <c r="Q1006" i="1"/>
  <c r="R1006" i="1"/>
  <c r="S1006" i="1"/>
  <c r="T1006" i="1"/>
  <c r="U1006" i="1"/>
  <c r="V1006" i="1"/>
  <c r="AB1006" i="1"/>
  <c r="AI1006" i="1"/>
  <c r="AJ1006" i="1"/>
  <c r="AK1006" i="1"/>
  <c r="AP1006" i="1"/>
  <c r="AR1006" i="1"/>
  <c r="AY1006" i="1"/>
  <c r="BE1006" i="1"/>
  <c r="BF1006" i="1"/>
  <c r="C1007" i="1"/>
  <c r="E1007" i="1"/>
  <c r="F1007" i="1"/>
  <c r="G1007" i="1"/>
  <c r="H1007" i="1"/>
  <c r="L1007" i="1"/>
  <c r="M1007" i="1"/>
  <c r="N1007" i="1"/>
  <c r="O1007" i="1"/>
  <c r="P1007" i="1"/>
  <c r="Q1007" i="1"/>
  <c r="R1007" i="1"/>
  <c r="S1007" i="1"/>
  <c r="T1007" i="1"/>
  <c r="U1007" i="1"/>
  <c r="V1007" i="1"/>
  <c r="AB1007" i="1"/>
  <c r="AI1007" i="1"/>
  <c r="AJ1007" i="1"/>
  <c r="AK1007" i="1"/>
  <c r="AP1007" i="1"/>
  <c r="AR1007" i="1"/>
  <c r="AY1007" i="1"/>
  <c r="BE1007" i="1"/>
  <c r="BF1007" i="1"/>
  <c r="C1008" i="1"/>
  <c r="E1008" i="1"/>
  <c r="F1008" i="1"/>
  <c r="G1008" i="1"/>
  <c r="H1008" i="1"/>
  <c r="L1008" i="1"/>
  <c r="M1008" i="1"/>
  <c r="N1008" i="1"/>
  <c r="O1008" i="1"/>
  <c r="P1008" i="1"/>
  <c r="Q1008" i="1"/>
  <c r="R1008" i="1"/>
  <c r="S1008" i="1"/>
  <c r="T1008" i="1"/>
  <c r="U1008" i="1"/>
  <c r="V1008" i="1"/>
  <c r="AB1008" i="1"/>
  <c r="AI1008" i="1"/>
  <c r="AJ1008" i="1"/>
  <c r="AK1008" i="1"/>
  <c r="AP1008" i="1"/>
  <c r="AR1008" i="1"/>
  <c r="AY1008" i="1"/>
  <c r="BE1008" i="1"/>
  <c r="BF1008" i="1"/>
  <c r="C1009" i="1"/>
  <c r="E1009" i="1"/>
  <c r="F1009" i="1"/>
  <c r="G1009" i="1"/>
  <c r="H1009" i="1"/>
  <c r="L1009" i="1"/>
  <c r="M1009" i="1"/>
  <c r="N1009" i="1"/>
  <c r="O1009" i="1"/>
  <c r="P1009" i="1"/>
  <c r="Q1009" i="1"/>
  <c r="R1009" i="1"/>
  <c r="S1009" i="1"/>
  <c r="T1009" i="1"/>
  <c r="U1009" i="1"/>
  <c r="V1009" i="1"/>
  <c r="AB1009" i="1"/>
  <c r="AI1009" i="1"/>
  <c r="AJ1009" i="1"/>
  <c r="AK1009" i="1"/>
  <c r="AP1009" i="1"/>
  <c r="AR1009" i="1"/>
  <c r="AY1009" i="1"/>
  <c r="BE1009" i="1"/>
  <c r="BF1009" i="1"/>
  <c r="C1010" i="1"/>
  <c r="E1010" i="1"/>
  <c r="F1010" i="1"/>
  <c r="G1010" i="1"/>
  <c r="H1010" i="1"/>
  <c r="L1010" i="1"/>
  <c r="M1010" i="1"/>
  <c r="N1010" i="1"/>
  <c r="O1010" i="1"/>
  <c r="P1010" i="1"/>
  <c r="Q1010" i="1"/>
  <c r="R1010" i="1"/>
  <c r="S1010" i="1"/>
  <c r="T1010" i="1"/>
  <c r="U1010" i="1"/>
  <c r="V1010" i="1"/>
  <c r="AB1010" i="1"/>
  <c r="AI1010" i="1"/>
  <c r="AJ1010" i="1"/>
  <c r="AK1010" i="1"/>
  <c r="AP1010" i="1"/>
  <c r="AR1010" i="1"/>
  <c r="AY1010" i="1"/>
  <c r="BE1010" i="1"/>
  <c r="BF1010" i="1"/>
  <c r="C1011" i="1"/>
  <c r="E1011" i="1"/>
  <c r="F1011" i="1"/>
  <c r="G1011" i="1"/>
  <c r="H1011" i="1"/>
  <c r="L1011" i="1"/>
  <c r="M1011" i="1"/>
  <c r="N1011" i="1"/>
  <c r="O1011" i="1"/>
  <c r="P1011" i="1"/>
  <c r="Q1011" i="1"/>
  <c r="R1011" i="1"/>
  <c r="S1011" i="1"/>
  <c r="T1011" i="1"/>
  <c r="U1011" i="1"/>
  <c r="V1011" i="1"/>
  <c r="AB1011" i="1"/>
  <c r="AI1011" i="1"/>
  <c r="AJ1011" i="1"/>
  <c r="AK1011" i="1"/>
  <c r="AP1011" i="1"/>
  <c r="AR1011" i="1"/>
  <c r="AY1011" i="1"/>
  <c r="BE1011" i="1"/>
  <c r="BF1011" i="1"/>
  <c r="C1012" i="1"/>
  <c r="E1012" i="1"/>
  <c r="F1012" i="1"/>
  <c r="G1012" i="1"/>
  <c r="H1012" i="1"/>
  <c r="L1012" i="1"/>
  <c r="M1012" i="1"/>
  <c r="N1012" i="1"/>
  <c r="O1012" i="1"/>
  <c r="P1012" i="1"/>
  <c r="Q1012" i="1"/>
  <c r="R1012" i="1"/>
  <c r="S1012" i="1"/>
  <c r="T1012" i="1"/>
  <c r="U1012" i="1"/>
  <c r="V1012" i="1"/>
  <c r="AB1012" i="1"/>
  <c r="AI1012" i="1"/>
  <c r="AJ1012" i="1"/>
  <c r="AK1012" i="1"/>
  <c r="AP1012" i="1"/>
  <c r="AR1012" i="1"/>
  <c r="AY1012" i="1"/>
  <c r="BE1012" i="1"/>
  <c r="BF1012" i="1"/>
  <c r="C1013" i="1"/>
  <c r="E1013" i="1"/>
  <c r="F1013" i="1"/>
  <c r="G1013" i="1"/>
  <c r="H1013" i="1"/>
  <c r="L1013" i="1"/>
  <c r="M1013" i="1"/>
  <c r="N1013" i="1"/>
  <c r="O1013" i="1"/>
  <c r="P1013" i="1"/>
  <c r="Q1013" i="1"/>
  <c r="R1013" i="1"/>
  <c r="S1013" i="1"/>
  <c r="T1013" i="1"/>
  <c r="U1013" i="1"/>
  <c r="V1013" i="1"/>
  <c r="AB1013" i="1"/>
  <c r="AI1013" i="1"/>
  <c r="AJ1013" i="1"/>
  <c r="AK1013" i="1"/>
  <c r="AP1013" i="1"/>
  <c r="AR1013" i="1"/>
  <c r="AY1013" i="1"/>
  <c r="BE1013" i="1"/>
  <c r="BF1013" i="1"/>
  <c r="C1014" i="1"/>
  <c r="E1014" i="1"/>
  <c r="F1014" i="1"/>
  <c r="G1014" i="1"/>
  <c r="H1014" i="1"/>
  <c r="L1014" i="1"/>
  <c r="M1014" i="1"/>
  <c r="N1014" i="1"/>
  <c r="O1014" i="1"/>
  <c r="P1014" i="1"/>
  <c r="Q1014" i="1"/>
  <c r="R1014" i="1"/>
  <c r="S1014" i="1"/>
  <c r="T1014" i="1"/>
  <c r="U1014" i="1"/>
  <c r="V1014" i="1"/>
  <c r="AB1014" i="1"/>
  <c r="AI1014" i="1"/>
  <c r="AJ1014" i="1"/>
  <c r="AK1014" i="1"/>
  <c r="AP1014" i="1"/>
  <c r="AR1014" i="1"/>
  <c r="AY1014" i="1"/>
  <c r="BE1014" i="1"/>
  <c r="BF1014" i="1"/>
  <c r="C1015" i="1"/>
  <c r="E1015" i="1"/>
  <c r="F1015" i="1"/>
  <c r="G1015" i="1"/>
  <c r="H1015" i="1"/>
  <c r="L1015" i="1"/>
  <c r="M1015" i="1"/>
  <c r="N1015" i="1"/>
  <c r="O1015" i="1"/>
  <c r="P1015" i="1"/>
  <c r="Q1015" i="1"/>
  <c r="R1015" i="1"/>
  <c r="S1015" i="1"/>
  <c r="T1015" i="1"/>
  <c r="U1015" i="1"/>
  <c r="V1015" i="1"/>
  <c r="AB1015" i="1"/>
  <c r="AI1015" i="1"/>
  <c r="AJ1015" i="1"/>
  <c r="AK1015" i="1"/>
  <c r="AP1015" i="1"/>
  <c r="AR1015" i="1"/>
  <c r="AY1015" i="1"/>
  <c r="BE1015" i="1"/>
  <c r="BF1015" i="1"/>
  <c r="C1016" i="1"/>
  <c r="E1016" i="1"/>
  <c r="F1016" i="1"/>
  <c r="G1016" i="1"/>
  <c r="H1016" i="1"/>
  <c r="L1016" i="1"/>
  <c r="M1016" i="1"/>
  <c r="N1016" i="1"/>
  <c r="O1016" i="1"/>
  <c r="P1016" i="1"/>
  <c r="Q1016" i="1"/>
  <c r="R1016" i="1"/>
  <c r="S1016" i="1"/>
  <c r="T1016" i="1"/>
  <c r="U1016" i="1"/>
  <c r="V1016" i="1"/>
  <c r="AB1016" i="1"/>
  <c r="AI1016" i="1"/>
  <c r="AJ1016" i="1"/>
  <c r="AK1016" i="1"/>
  <c r="AP1016" i="1"/>
  <c r="AR1016" i="1"/>
  <c r="AY1016" i="1"/>
  <c r="BE1016" i="1"/>
  <c r="BF1016" i="1"/>
  <c r="C1017" i="1"/>
  <c r="E1017" i="1"/>
  <c r="F1017" i="1"/>
  <c r="G1017" i="1"/>
  <c r="H1017" i="1"/>
  <c r="L1017" i="1"/>
  <c r="M1017" i="1"/>
  <c r="N1017" i="1"/>
  <c r="O1017" i="1"/>
  <c r="P1017" i="1"/>
  <c r="Q1017" i="1"/>
  <c r="R1017" i="1"/>
  <c r="S1017" i="1"/>
  <c r="T1017" i="1"/>
  <c r="U1017" i="1"/>
  <c r="V1017" i="1"/>
  <c r="AB1017" i="1"/>
  <c r="AI1017" i="1"/>
  <c r="AJ1017" i="1"/>
  <c r="AK1017" i="1"/>
  <c r="AP1017" i="1"/>
  <c r="AR1017" i="1"/>
  <c r="AY1017" i="1"/>
  <c r="BE1017" i="1"/>
  <c r="BF1017" i="1"/>
  <c r="C1018" i="1"/>
  <c r="E1018" i="1"/>
  <c r="F1018" i="1"/>
  <c r="G1018" i="1"/>
  <c r="H1018" i="1"/>
  <c r="L1018" i="1"/>
  <c r="M1018" i="1"/>
  <c r="N1018" i="1"/>
  <c r="O1018" i="1"/>
  <c r="P1018" i="1"/>
  <c r="Q1018" i="1"/>
  <c r="R1018" i="1"/>
  <c r="S1018" i="1"/>
  <c r="T1018" i="1"/>
  <c r="U1018" i="1"/>
  <c r="V1018" i="1"/>
  <c r="AB1018" i="1"/>
  <c r="AI1018" i="1"/>
  <c r="AJ1018" i="1"/>
  <c r="AK1018" i="1"/>
  <c r="AP1018" i="1"/>
  <c r="AR1018" i="1"/>
  <c r="AY1018" i="1"/>
  <c r="BE1018" i="1"/>
  <c r="BF1018" i="1"/>
  <c r="C1019" i="1"/>
  <c r="E1019" i="1"/>
  <c r="F1019" i="1"/>
  <c r="G1019" i="1"/>
  <c r="H1019" i="1"/>
  <c r="L1019" i="1"/>
  <c r="M1019" i="1"/>
  <c r="N1019" i="1"/>
  <c r="O1019" i="1"/>
  <c r="P1019" i="1"/>
  <c r="Q1019" i="1"/>
  <c r="R1019" i="1"/>
  <c r="S1019" i="1"/>
  <c r="T1019" i="1"/>
  <c r="U1019" i="1"/>
  <c r="V1019" i="1"/>
  <c r="AB1019" i="1"/>
  <c r="AI1019" i="1"/>
  <c r="AJ1019" i="1"/>
  <c r="AK1019" i="1"/>
  <c r="AP1019" i="1"/>
  <c r="AR1019" i="1"/>
  <c r="AY1019" i="1"/>
  <c r="BE1019" i="1"/>
  <c r="BF1019" i="1"/>
  <c r="C1020" i="1"/>
  <c r="E1020" i="1"/>
  <c r="F1020" i="1"/>
  <c r="G1020" i="1"/>
  <c r="H1020" i="1"/>
  <c r="L1020" i="1"/>
  <c r="M1020" i="1"/>
  <c r="N1020" i="1"/>
  <c r="O1020" i="1"/>
  <c r="P1020" i="1"/>
  <c r="Q1020" i="1"/>
  <c r="R1020" i="1"/>
  <c r="S1020" i="1"/>
  <c r="T1020" i="1"/>
  <c r="U1020" i="1"/>
  <c r="V1020" i="1"/>
  <c r="AB1020" i="1"/>
  <c r="AI1020" i="1"/>
  <c r="AJ1020" i="1"/>
  <c r="AK1020" i="1"/>
  <c r="AP1020" i="1"/>
  <c r="AR1020" i="1"/>
  <c r="AY1020" i="1"/>
  <c r="BE1020" i="1"/>
  <c r="BF1020" i="1"/>
  <c r="C1021" i="1"/>
  <c r="E1021" i="1"/>
  <c r="F1021" i="1"/>
  <c r="G1021" i="1"/>
  <c r="H1021" i="1"/>
  <c r="L1021" i="1"/>
  <c r="M1021" i="1"/>
  <c r="N1021" i="1"/>
  <c r="O1021" i="1"/>
  <c r="P1021" i="1"/>
  <c r="Q1021" i="1"/>
  <c r="R1021" i="1"/>
  <c r="S1021" i="1"/>
  <c r="T1021" i="1"/>
  <c r="U1021" i="1"/>
  <c r="V1021" i="1"/>
  <c r="AB1021" i="1"/>
  <c r="AI1021" i="1"/>
  <c r="AJ1021" i="1"/>
  <c r="AK1021" i="1"/>
  <c r="AP1021" i="1"/>
  <c r="AR1021" i="1"/>
  <c r="AY1021" i="1"/>
  <c r="BE1021" i="1"/>
  <c r="BF1021" i="1"/>
  <c r="C1022" i="1"/>
  <c r="E1022" i="1"/>
  <c r="F1022" i="1"/>
  <c r="G1022" i="1"/>
  <c r="H1022" i="1"/>
  <c r="L1022" i="1"/>
  <c r="M1022" i="1"/>
  <c r="N1022" i="1"/>
  <c r="O1022" i="1"/>
  <c r="P1022" i="1"/>
  <c r="Q1022" i="1"/>
  <c r="R1022" i="1"/>
  <c r="S1022" i="1"/>
  <c r="T1022" i="1"/>
  <c r="U1022" i="1"/>
  <c r="V1022" i="1"/>
  <c r="AB1022" i="1"/>
  <c r="AI1022" i="1"/>
  <c r="AJ1022" i="1"/>
  <c r="AK1022" i="1"/>
  <c r="AP1022" i="1"/>
  <c r="AR1022" i="1"/>
  <c r="AY1022" i="1"/>
  <c r="BE1022" i="1"/>
  <c r="BF1022" i="1"/>
  <c r="C1023" i="1"/>
  <c r="E1023" i="1"/>
  <c r="F1023" i="1"/>
  <c r="G1023" i="1"/>
  <c r="H1023" i="1"/>
  <c r="L1023" i="1"/>
  <c r="M1023" i="1"/>
  <c r="N1023" i="1"/>
  <c r="O1023" i="1"/>
  <c r="P1023" i="1"/>
  <c r="Q1023" i="1"/>
  <c r="R1023" i="1"/>
  <c r="S1023" i="1"/>
  <c r="T1023" i="1"/>
  <c r="U1023" i="1"/>
  <c r="V1023" i="1"/>
  <c r="AB1023" i="1"/>
  <c r="AI1023" i="1"/>
  <c r="AJ1023" i="1"/>
  <c r="AK1023" i="1"/>
  <c r="AP1023" i="1"/>
  <c r="AR1023" i="1"/>
  <c r="AY1023" i="1"/>
  <c r="BE1023" i="1"/>
  <c r="BF1023" i="1"/>
  <c r="C1024" i="1"/>
  <c r="E1024" i="1"/>
  <c r="F1024" i="1"/>
  <c r="G1024" i="1"/>
  <c r="H1024" i="1"/>
  <c r="L1024" i="1"/>
  <c r="M1024" i="1"/>
  <c r="N1024" i="1"/>
  <c r="O1024" i="1"/>
  <c r="P1024" i="1"/>
  <c r="Q1024" i="1"/>
  <c r="R1024" i="1"/>
  <c r="S1024" i="1"/>
  <c r="T1024" i="1"/>
  <c r="U1024" i="1"/>
  <c r="V1024" i="1"/>
  <c r="AB1024" i="1"/>
  <c r="AI1024" i="1"/>
  <c r="AJ1024" i="1"/>
  <c r="AK1024" i="1"/>
  <c r="AP1024" i="1"/>
  <c r="AR1024" i="1"/>
  <c r="AY1024" i="1"/>
  <c r="BE1024" i="1"/>
  <c r="BF1024" i="1"/>
  <c r="C1025" i="1"/>
  <c r="E1025" i="1"/>
  <c r="F1025" i="1"/>
  <c r="G1025" i="1"/>
  <c r="H1025" i="1"/>
  <c r="L1025" i="1"/>
  <c r="M1025" i="1"/>
  <c r="N1025" i="1"/>
  <c r="O1025" i="1"/>
  <c r="P1025" i="1"/>
  <c r="Q1025" i="1"/>
  <c r="R1025" i="1"/>
  <c r="S1025" i="1"/>
  <c r="T1025" i="1"/>
  <c r="U1025" i="1"/>
  <c r="V1025" i="1"/>
  <c r="AB1025" i="1"/>
  <c r="AI1025" i="1"/>
  <c r="AJ1025" i="1"/>
  <c r="AK1025" i="1"/>
  <c r="AP1025" i="1"/>
  <c r="AR1025" i="1"/>
  <c r="AY1025" i="1"/>
  <c r="BE1025" i="1"/>
  <c r="BF1025" i="1"/>
  <c r="C1026" i="1"/>
  <c r="E1026" i="1"/>
  <c r="F1026" i="1"/>
  <c r="G1026" i="1"/>
  <c r="H1026" i="1"/>
  <c r="L1026" i="1"/>
  <c r="M1026" i="1"/>
  <c r="N1026" i="1"/>
  <c r="O1026" i="1"/>
  <c r="P1026" i="1"/>
  <c r="Q1026" i="1"/>
  <c r="R1026" i="1"/>
  <c r="S1026" i="1"/>
  <c r="T1026" i="1"/>
  <c r="U1026" i="1"/>
  <c r="V1026" i="1"/>
  <c r="AB1026" i="1"/>
  <c r="AI1026" i="1"/>
  <c r="AJ1026" i="1"/>
  <c r="AK1026" i="1"/>
  <c r="AP1026" i="1"/>
  <c r="AR1026" i="1"/>
  <c r="AY1026" i="1"/>
  <c r="BE1026" i="1"/>
  <c r="BF1026" i="1"/>
  <c r="C1027" i="1"/>
  <c r="E1027" i="1"/>
  <c r="F1027" i="1"/>
  <c r="G1027" i="1"/>
  <c r="H1027" i="1"/>
  <c r="L1027" i="1"/>
  <c r="M1027" i="1"/>
  <c r="N1027" i="1"/>
  <c r="O1027" i="1"/>
  <c r="P1027" i="1"/>
  <c r="Q1027" i="1"/>
  <c r="R1027" i="1"/>
  <c r="S1027" i="1"/>
  <c r="T1027" i="1"/>
  <c r="U1027" i="1"/>
  <c r="V1027" i="1"/>
  <c r="AB1027" i="1"/>
  <c r="AI1027" i="1"/>
  <c r="AJ1027" i="1"/>
  <c r="AK1027" i="1"/>
  <c r="AP1027" i="1"/>
  <c r="AR1027" i="1"/>
  <c r="AY1027" i="1"/>
  <c r="BE1027" i="1"/>
  <c r="BF1027" i="1"/>
  <c r="C1028" i="1"/>
  <c r="E1028" i="1"/>
  <c r="F1028" i="1"/>
  <c r="G1028" i="1"/>
  <c r="H1028" i="1"/>
  <c r="L1028" i="1"/>
  <c r="M1028" i="1"/>
  <c r="N1028" i="1"/>
  <c r="O1028" i="1"/>
  <c r="P1028" i="1"/>
  <c r="Q1028" i="1"/>
  <c r="R1028" i="1"/>
  <c r="S1028" i="1"/>
  <c r="T1028" i="1"/>
  <c r="U1028" i="1"/>
  <c r="V1028" i="1"/>
  <c r="AB1028" i="1"/>
  <c r="AI1028" i="1"/>
  <c r="AJ1028" i="1"/>
  <c r="AK1028" i="1"/>
  <c r="AP1028" i="1"/>
  <c r="AR1028" i="1"/>
  <c r="AY1028" i="1"/>
  <c r="BE1028" i="1"/>
  <c r="BF1028" i="1"/>
  <c r="C1029" i="1"/>
  <c r="E1029" i="1"/>
  <c r="F1029" i="1"/>
  <c r="G1029" i="1"/>
  <c r="H1029" i="1"/>
  <c r="L1029" i="1"/>
  <c r="M1029" i="1"/>
  <c r="N1029" i="1"/>
  <c r="O1029" i="1"/>
  <c r="P1029" i="1"/>
  <c r="Q1029" i="1"/>
  <c r="R1029" i="1"/>
  <c r="S1029" i="1"/>
  <c r="T1029" i="1"/>
  <c r="U1029" i="1"/>
  <c r="V1029" i="1"/>
  <c r="AB1029" i="1"/>
  <c r="AI1029" i="1"/>
  <c r="AJ1029" i="1"/>
  <c r="AK1029" i="1"/>
  <c r="AP1029" i="1"/>
  <c r="AR1029" i="1"/>
  <c r="AY1029" i="1"/>
  <c r="BE1029" i="1"/>
  <c r="BF1029" i="1"/>
  <c r="C1030" i="1"/>
  <c r="E1030" i="1"/>
  <c r="F1030" i="1"/>
  <c r="G1030" i="1"/>
  <c r="H1030" i="1"/>
  <c r="L1030" i="1"/>
  <c r="M1030" i="1"/>
  <c r="N1030" i="1"/>
  <c r="O1030" i="1"/>
  <c r="P1030" i="1"/>
  <c r="Q1030" i="1"/>
  <c r="R1030" i="1"/>
  <c r="S1030" i="1"/>
  <c r="T1030" i="1"/>
  <c r="U1030" i="1"/>
  <c r="V1030" i="1"/>
  <c r="AB1030" i="1"/>
  <c r="AI1030" i="1"/>
  <c r="AJ1030" i="1"/>
  <c r="AK1030" i="1"/>
  <c r="AP1030" i="1"/>
  <c r="AR1030" i="1"/>
  <c r="AY1030" i="1"/>
  <c r="BE1030" i="1"/>
  <c r="BF1030" i="1"/>
  <c r="C1031" i="1"/>
  <c r="E1031" i="1"/>
  <c r="F1031" i="1"/>
  <c r="G1031" i="1"/>
  <c r="H1031" i="1"/>
  <c r="L1031" i="1"/>
  <c r="M1031" i="1"/>
  <c r="N1031" i="1"/>
  <c r="O1031" i="1"/>
  <c r="P1031" i="1"/>
  <c r="Q1031" i="1"/>
  <c r="R1031" i="1"/>
  <c r="S1031" i="1"/>
  <c r="T1031" i="1"/>
  <c r="U1031" i="1"/>
  <c r="V1031" i="1"/>
  <c r="AB1031" i="1"/>
  <c r="AI1031" i="1"/>
  <c r="AJ1031" i="1"/>
  <c r="AK1031" i="1"/>
  <c r="AP1031" i="1"/>
  <c r="AR1031" i="1"/>
  <c r="AY1031" i="1"/>
  <c r="BE1031" i="1"/>
  <c r="BF1031" i="1"/>
  <c r="C1032" i="1"/>
  <c r="E1032" i="1"/>
  <c r="F1032" i="1"/>
  <c r="G1032" i="1"/>
  <c r="H1032" i="1"/>
  <c r="L1032" i="1"/>
  <c r="M1032" i="1"/>
  <c r="N1032" i="1"/>
  <c r="O1032" i="1"/>
  <c r="P1032" i="1"/>
  <c r="Q1032" i="1"/>
  <c r="R1032" i="1"/>
  <c r="S1032" i="1"/>
  <c r="T1032" i="1"/>
  <c r="U1032" i="1"/>
  <c r="V1032" i="1"/>
  <c r="AB1032" i="1"/>
  <c r="AI1032" i="1"/>
  <c r="AJ1032" i="1"/>
  <c r="AK1032" i="1"/>
  <c r="AP1032" i="1"/>
  <c r="AR1032" i="1"/>
  <c r="AY1032" i="1"/>
  <c r="BE1032" i="1"/>
  <c r="BF1032" i="1"/>
  <c r="C1033" i="1"/>
  <c r="E1033" i="1"/>
  <c r="F1033" i="1"/>
  <c r="G1033" i="1"/>
  <c r="H1033" i="1"/>
  <c r="L1033" i="1"/>
  <c r="M1033" i="1"/>
  <c r="N1033" i="1"/>
  <c r="O1033" i="1"/>
  <c r="P1033" i="1"/>
  <c r="Q1033" i="1"/>
  <c r="R1033" i="1"/>
  <c r="S1033" i="1"/>
  <c r="T1033" i="1"/>
  <c r="U1033" i="1"/>
  <c r="V1033" i="1"/>
  <c r="AB1033" i="1"/>
  <c r="AI1033" i="1"/>
  <c r="AJ1033" i="1"/>
  <c r="AK1033" i="1"/>
  <c r="AP1033" i="1"/>
  <c r="AR1033" i="1"/>
  <c r="AY1033" i="1"/>
  <c r="BE1033" i="1"/>
  <c r="BF1033" i="1"/>
  <c r="C1034" i="1"/>
  <c r="E1034" i="1"/>
  <c r="F1034" i="1"/>
  <c r="G1034" i="1"/>
  <c r="H1034" i="1"/>
  <c r="L1034" i="1"/>
  <c r="M1034" i="1"/>
  <c r="N1034" i="1"/>
  <c r="O1034" i="1"/>
  <c r="P1034" i="1"/>
  <c r="Q1034" i="1"/>
  <c r="R1034" i="1"/>
  <c r="S1034" i="1"/>
  <c r="T1034" i="1"/>
  <c r="U1034" i="1"/>
  <c r="V1034" i="1"/>
  <c r="AB1034" i="1"/>
  <c r="AI1034" i="1"/>
  <c r="AJ1034" i="1"/>
  <c r="AK1034" i="1"/>
  <c r="AP1034" i="1"/>
  <c r="AR1034" i="1"/>
  <c r="AY1034" i="1"/>
  <c r="BE1034" i="1"/>
  <c r="BF1034" i="1"/>
  <c r="C1035" i="1"/>
  <c r="E1035" i="1"/>
  <c r="F1035" i="1"/>
  <c r="G1035" i="1"/>
  <c r="H1035" i="1"/>
  <c r="L1035" i="1"/>
  <c r="M1035" i="1"/>
  <c r="N1035" i="1"/>
  <c r="O1035" i="1"/>
  <c r="P1035" i="1"/>
  <c r="Q1035" i="1"/>
  <c r="R1035" i="1"/>
  <c r="S1035" i="1"/>
  <c r="T1035" i="1"/>
  <c r="U1035" i="1"/>
  <c r="V1035" i="1"/>
  <c r="AB1035" i="1"/>
  <c r="AI1035" i="1"/>
  <c r="AJ1035" i="1"/>
  <c r="AK1035" i="1"/>
  <c r="AP1035" i="1"/>
  <c r="AR1035" i="1"/>
  <c r="AY1035" i="1"/>
  <c r="BE1035" i="1"/>
  <c r="BF1035" i="1"/>
  <c r="C1036" i="1"/>
  <c r="E1036" i="1"/>
  <c r="F1036" i="1"/>
  <c r="G1036" i="1"/>
  <c r="H1036" i="1"/>
  <c r="L1036" i="1"/>
  <c r="M1036" i="1"/>
  <c r="N1036" i="1"/>
  <c r="O1036" i="1"/>
  <c r="P1036" i="1"/>
  <c r="Q1036" i="1"/>
  <c r="R1036" i="1"/>
  <c r="S1036" i="1"/>
  <c r="T1036" i="1"/>
  <c r="U1036" i="1"/>
  <c r="V1036" i="1"/>
  <c r="AB1036" i="1"/>
  <c r="AI1036" i="1"/>
  <c r="AJ1036" i="1"/>
  <c r="AK1036" i="1"/>
  <c r="AP1036" i="1"/>
  <c r="AR1036" i="1"/>
  <c r="AY1036" i="1"/>
  <c r="BE1036" i="1"/>
  <c r="BF1036" i="1"/>
  <c r="C1037" i="1"/>
  <c r="E1037" i="1"/>
  <c r="F1037" i="1"/>
  <c r="G1037" i="1"/>
  <c r="H1037" i="1"/>
  <c r="L1037" i="1"/>
  <c r="M1037" i="1"/>
  <c r="N1037" i="1"/>
  <c r="O1037" i="1"/>
  <c r="P1037" i="1"/>
  <c r="Q1037" i="1"/>
  <c r="R1037" i="1"/>
  <c r="S1037" i="1"/>
  <c r="T1037" i="1"/>
  <c r="U1037" i="1"/>
  <c r="V1037" i="1"/>
  <c r="AB1037" i="1"/>
  <c r="AI1037" i="1"/>
  <c r="AJ1037" i="1"/>
  <c r="AK1037" i="1"/>
  <c r="AP1037" i="1"/>
  <c r="AR1037" i="1"/>
  <c r="AY1037" i="1"/>
  <c r="BE1037" i="1"/>
  <c r="BF1037" i="1"/>
  <c r="C1038" i="1"/>
  <c r="E1038" i="1"/>
  <c r="F1038" i="1"/>
  <c r="G1038" i="1"/>
  <c r="H1038" i="1"/>
  <c r="L1038" i="1"/>
  <c r="M1038" i="1"/>
  <c r="N1038" i="1"/>
  <c r="O1038" i="1"/>
  <c r="P1038" i="1"/>
  <c r="Q1038" i="1"/>
  <c r="R1038" i="1"/>
  <c r="S1038" i="1"/>
  <c r="T1038" i="1"/>
  <c r="U1038" i="1"/>
  <c r="V1038" i="1"/>
  <c r="AB1038" i="1"/>
  <c r="AI1038" i="1"/>
  <c r="AJ1038" i="1"/>
  <c r="AK1038" i="1"/>
  <c r="AP1038" i="1"/>
  <c r="AR1038" i="1"/>
  <c r="AY1038" i="1"/>
  <c r="BE1038" i="1"/>
  <c r="BF1038" i="1"/>
  <c r="C1039" i="1"/>
  <c r="E1039" i="1"/>
  <c r="F1039" i="1"/>
  <c r="G1039" i="1"/>
  <c r="H1039" i="1"/>
  <c r="L1039" i="1"/>
  <c r="M1039" i="1"/>
  <c r="N1039" i="1"/>
  <c r="O1039" i="1"/>
  <c r="P1039" i="1"/>
  <c r="Q1039" i="1"/>
  <c r="R1039" i="1"/>
  <c r="S1039" i="1"/>
  <c r="T1039" i="1"/>
  <c r="U1039" i="1"/>
  <c r="V1039" i="1"/>
  <c r="AB1039" i="1"/>
  <c r="AI1039" i="1"/>
  <c r="AJ1039" i="1"/>
  <c r="AK1039" i="1"/>
  <c r="AP1039" i="1"/>
  <c r="AR1039" i="1"/>
  <c r="AY1039" i="1"/>
  <c r="BE1039" i="1"/>
  <c r="BF1039" i="1"/>
  <c r="C1040" i="1"/>
  <c r="E1040" i="1"/>
  <c r="F1040" i="1"/>
  <c r="G1040" i="1"/>
  <c r="H1040" i="1"/>
  <c r="L1040" i="1"/>
  <c r="M1040" i="1"/>
  <c r="N1040" i="1"/>
  <c r="O1040" i="1"/>
  <c r="P1040" i="1"/>
  <c r="Q1040" i="1"/>
  <c r="R1040" i="1"/>
  <c r="S1040" i="1"/>
  <c r="T1040" i="1"/>
  <c r="U1040" i="1"/>
  <c r="V1040" i="1"/>
  <c r="AB1040" i="1"/>
  <c r="AI1040" i="1"/>
  <c r="AJ1040" i="1"/>
  <c r="AK1040" i="1"/>
  <c r="AP1040" i="1"/>
  <c r="AR1040" i="1"/>
  <c r="AY1040" i="1"/>
  <c r="BE1040" i="1"/>
  <c r="BF1040" i="1"/>
  <c r="C1041" i="1"/>
  <c r="E1041" i="1"/>
  <c r="F1041" i="1"/>
  <c r="G1041" i="1"/>
  <c r="H1041" i="1"/>
  <c r="L1041" i="1"/>
  <c r="M1041" i="1"/>
  <c r="N1041" i="1"/>
  <c r="O1041" i="1"/>
  <c r="P1041" i="1"/>
  <c r="Q1041" i="1"/>
  <c r="R1041" i="1"/>
  <c r="S1041" i="1"/>
  <c r="T1041" i="1"/>
  <c r="U1041" i="1"/>
  <c r="V1041" i="1"/>
  <c r="AB1041" i="1"/>
  <c r="AI1041" i="1"/>
  <c r="AJ1041" i="1"/>
  <c r="AK1041" i="1"/>
  <c r="AP1041" i="1"/>
  <c r="AR1041" i="1"/>
  <c r="AY1041" i="1"/>
  <c r="BE1041" i="1"/>
  <c r="BF1041" i="1"/>
  <c r="C1042" i="1"/>
  <c r="E1042" i="1"/>
  <c r="F1042" i="1"/>
  <c r="G1042" i="1"/>
  <c r="H1042" i="1"/>
  <c r="L1042" i="1"/>
  <c r="M1042" i="1"/>
  <c r="N1042" i="1"/>
  <c r="O1042" i="1"/>
  <c r="P1042" i="1"/>
  <c r="Q1042" i="1"/>
  <c r="R1042" i="1"/>
  <c r="S1042" i="1"/>
  <c r="T1042" i="1"/>
  <c r="U1042" i="1"/>
  <c r="V1042" i="1"/>
  <c r="AB1042" i="1"/>
  <c r="AI1042" i="1"/>
  <c r="AJ1042" i="1"/>
  <c r="AK1042" i="1"/>
  <c r="AP1042" i="1"/>
  <c r="AR1042" i="1"/>
  <c r="AY1042" i="1"/>
  <c r="BE1042" i="1"/>
  <c r="BF1042" i="1"/>
  <c r="C1043" i="1"/>
  <c r="E1043" i="1"/>
  <c r="F1043" i="1"/>
  <c r="G1043" i="1"/>
  <c r="H1043" i="1"/>
  <c r="L1043" i="1"/>
  <c r="M1043" i="1"/>
  <c r="N1043" i="1"/>
  <c r="O1043" i="1"/>
  <c r="P1043" i="1"/>
  <c r="Q1043" i="1"/>
  <c r="R1043" i="1"/>
  <c r="S1043" i="1"/>
  <c r="T1043" i="1"/>
  <c r="U1043" i="1"/>
  <c r="V1043" i="1"/>
  <c r="AB1043" i="1"/>
  <c r="AI1043" i="1"/>
  <c r="AJ1043" i="1"/>
  <c r="AK1043" i="1"/>
  <c r="AP1043" i="1"/>
  <c r="AR1043" i="1"/>
  <c r="AY1043" i="1"/>
  <c r="BE1043" i="1"/>
  <c r="BF1043" i="1"/>
  <c r="C1044" i="1"/>
  <c r="E1044" i="1"/>
  <c r="F1044" i="1"/>
  <c r="G1044" i="1"/>
  <c r="H1044" i="1"/>
  <c r="L1044" i="1"/>
  <c r="M1044" i="1"/>
  <c r="N1044" i="1"/>
  <c r="O1044" i="1"/>
  <c r="P1044" i="1"/>
  <c r="Q1044" i="1"/>
  <c r="R1044" i="1"/>
  <c r="S1044" i="1"/>
  <c r="T1044" i="1"/>
  <c r="U1044" i="1"/>
  <c r="V1044" i="1"/>
  <c r="AB1044" i="1"/>
  <c r="AI1044" i="1"/>
  <c r="AJ1044" i="1"/>
  <c r="AK1044" i="1"/>
  <c r="AP1044" i="1"/>
  <c r="AR1044" i="1"/>
  <c r="AY1044" i="1"/>
  <c r="BE1044" i="1"/>
  <c r="BF1044" i="1"/>
  <c r="C1045" i="1"/>
  <c r="E1045" i="1"/>
  <c r="F1045" i="1"/>
  <c r="G1045" i="1"/>
  <c r="H1045" i="1"/>
  <c r="L1045" i="1"/>
  <c r="M1045" i="1"/>
  <c r="N1045" i="1"/>
  <c r="O1045" i="1"/>
  <c r="P1045" i="1"/>
  <c r="Q1045" i="1"/>
  <c r="R1045" i="1"/>
  <c r="S1045" i="1"/>
  <c r="T1045" i="1"/>
  <c r="U1045" i="1"/>
  <c r="V1045" i="1"/>
  <c r="AB1045" i="1"/>
  <c r="AI1045" i="1"/>
  <c r="AJ1045" i="1"/>
  <c r="AK1045" i="1"/>
  <c r="AP1045" i="1"/>
  <c r="AR1045" i="1"/>
  <c r="AY1045" i="1"/>
  <c r="BE1045" i="1"/>
  <c r="BF1045" i="1"/>
  <c r="C1046" i="1"/>
  <c r="E1046" i="1"/>
  <c r="F1046" i="1"/>
  <c r="G1046" i="1"/>
  <c r="H1046" i="1"/>
  <c r="L1046" i="1"/>
  <c r="M1046" i="1"/>
  <c r="N1046" i="1"/>
  <c r="O1046" i="1"/>
  <c r="P1046" i="1"/>
  <c r="Q1046" i="1"/>
  <c r="R1046" i="1"/>
  <c r="S1046" i="1"/>
  <c r="T1046" i="1"/>
  <c r="U1046" i="1"/>
  <c r="V1046" i="1"/>
  <c r="AB1046" i="1"/>
  <c r="AI1046" i="1"/>
  <c r="AJ1046" i="1"/>
  <c r="AK1046" i="1"/>
  <c r="AP1046" i="1"/>
  <c r="AR1046" i="1"/>
  <c r="AY1046" i="1"/>
  <c r="BE1046" i="1"/>
  <c r="BF1046" i="1"/>
  <c r="C1047" i="1"/>
  <c r="E1047" i="1"/>
  <c r="F1047" i="1"/>
  <c r="G1047" i="1"/>
  <c r="H1047" i="1"/>
  <c r="L1047" i="1"/>
  <c r="M1047" i="1"/>
  <c r="N1047" i="1"/>
  <c r="O1047" i="1"/>
  <c r="P1047" i="1"/>
  <c r="Q1047" i="1"/>
  <c r="R1047" i="1"/>
  <c r="S1047" i="1"/>
  <c r="T1047" i="1"/>
  <c r="U1047" i="1"/>
  <c r="V1047" i="1"/>
  <c r="AB1047" i="1"/>
  <c r="AI1047" i="1"/>
  <c r="AJ1047" i="1"/>
  <c r="AK1047" i="1"/>
  <c r="AP1047" i="1"/>
  <c r="AR1047" i="1"/>
  <c r="AY1047" i="1"/>
  <c r="BE1047" i="1"/>
  <c r="BF1047" i="1"/>
  <c r="C1048" i="1"/>
  <c r="E1048" i="1"/>
  <c r="F1048" i="1"/>
  <c r="G1048" i="1"/>
  <c r="H1048" i="1"/>
  <c r="L1048" i="1"/>
  <c r="M1048" i="1"/>
  <c r="N1048" i="1"/>
  <c r="O1048" i="1"/>
  <c r="P1048" i="1"/>
  <c r="Q1048" i="1"/>
  <c r="R1048" i="1"/>
  <c r="S1048" i="1"/>
  <c r="T1048" i="1"/>
  <c r="U1048" i="1"/>
  <c r="V1048" i="1"/>
  <c r="AB1048" i="1"/>
  <c r="AI1048" i="1"/>
  <c r="AJ1048" i="1"/>
  <c r="AK1048" i="1"/>
  <c r="AP1048" i="1"/>
  <c r="AR1048" i="1"/>
  <c r="AY1048" i="1"/>
  <c r="BE1048" i="1"/>
  <c r="BF1048" i="1"/>
  <c r="C1049" i="1"/>
  <c r="E1049" i="1"/>
  <c r="F1049" i="1"/>
  <c r="G1049" i="1"/>
  <c r="H1049" i="1"/>
  <c r="L1049" i="1"/>
  <c r="M1049" i="1"/>
  <c r="N1049" i="1"/>
  <c r="O1049" i="1"/>
  <c r="P1049" i="1"/>
  <c r="Q1049" i="1"/>
  <c r="R1049" i="1"/>
  <c r="S1049" i="1"/>
  <c r="T1049" i="1"/>
  <c r="U1049" i="1"/>
  <c r="V1049" i="1"/>
  <c r="AB1049" i="1"/>
  <c r="AI1049" i="1"/>
  <c r="AJ1049" i="1"/>
  <c r="AK1049" i="1"/>
  <c r="AP1049" i="1"/>
  <c r="AR1049" i="1"/>
  <c r="AY1049" i="1"/>
  <c r="BE1049" i="1"/>
  <c r="BF1049" i="1"/>
  <c r="C1050" i="1"/>
  <c r="E1050" i="1"/>
  <c r="F1050" i="1"/>
  <c r="G1050" i="1"/>
  <c r="H1050" i="1"/>
  <c r="L1050" i="1"/>
  <c r="M1050" i="1"/>
  <c r="N1050" i="1"/>
  <c r="O1050" i="1"/>
  <c r="P1050" i="1"/>
  <c r="Q1050" i="1"/>
  <c r="R1050" i="1"/>
  <c r="S1050" i="1"/>
  <c r="T1050" i="1"/>
  <c r="U1050" i="1"/>
  <c r="V1050" i="1"/>
  <c r="AB1050" i="1"/>
  <c r="AI1050" i="1"/>
  <c r="AJ1050" i="1"/>
  <c r="AK1050" i="1"/>
  <c r="AP1050" i="1"/>
  <c r="AR1050" i="1"/>
  <c r="AY1050" i="1"/>
  <c r="BE1050" i="1"/>
  <c r="BF1050" i="1"/>
  <c r="C1051" i="1"/>
  <c r="E1051" i="1"/>
  <c r="F1051" i="1"/>
  <c r="G1051" i="1"/>
  <c r="H1051" i="1"/>
  <c r="L1051" i="1"/>
  <c r="M1051" i="1"/>
  <c r="N1051" i="1"/>
  <c r="O1051" i="1"/>
  <c r="P1051" i="1"/>
  <c r="Q1051" i="1"/>
  <c r="R1051" i="1"/>
  <c r="S1051" i="1"/>
  <c r="T1051" i="1"/>
  <c r="U1051" i="1"/>
  <c r="V1051" i="1"/>
  <c r="AB1051" i="1"/>
  <c r="AI1051" i="1"/>
  <c r="AJ1051" i="1"/>
  <c r="AK1051" i="1"/>
  <c r="AP1051" i="1"/>
  <c r="AR1051" i="1"/>
  <c r="AY1051" i="1"/>
  <c r="BE1051" i="1"/>
  <c r="BF1051" i="1"/>
  <c r="C1052" i="1"/>
  <c r="E1052" i="1"/>
  <c r="F1052" i="1"/>
  <c r="G1052" i="1"/>
  <c r="H1052" i="1"/>
  <c r="L1052" i="1"/>
  <c r="M1052" i="1"/>
  <c r="N1052" i="1"/>
  <c r="O1052" i="1"/>
  <c r="P1052" i="1"/>
  <c r="Q1052" i="1"/>
  <c r="R1052" i="1"/>
  <c r="S1052" i="1"/>
  <c r="T1052" i="1"/>
  <c r="U1052" i="1"/>
  <c r="V1052" i="1"/>
  <c r="AB1052" i="1"/>
  <c r="AI1052" i="1"/>
  <c r="AJ1052" i="1"/>
  <c r="AK1052" i="1"/>
  <c r="AP1052" i="1"/>
  <c r="AR1052" i="1"/>
  <c r="AY1052" i="1"/>
  <c r="BE1052" i="1"/>
  <c r="BF1052" i="1"/>
  <c r="C1053" i="1"/>
  <c r="E1053" i="1"/>
  <c r="F1053" i="1"/>
  <c r="G1053" i="1"/>
  <c r="H1053" i="1"/>
  <c r="L1053" i="1"/>
  <c r="M1053" i="1"/>
  <c r="N1053" i="1"/>
  <c r="O1053" i="1"/>
  <c r="P1053" i="1"/>
  <c r="Q1053" i="1"/>
  <c r="R1053" i="1"/>
  <c r="S1053" i="1"/>
  <c r="T1053" i="1"/>
  <c r="U1053" i="1"/>
  <c r="V1053" i="1"/>
  <c r="AB1053" i="1"/>
  <c r="AI1053" i="1"/>
  <c r="AJ1053" i="1"/>
  <c r="AK1053" i="1"/>
  <c r="AP1053" i="1"/>
  <c r="AR1053" i="1"/>
  <c r="AY1053" i="1"/>
  <c r="BE1053" i="1"/>
  <c r="BF1053" i="1"/>
  <c r="C1054" i="1"/>
  <c r="E1054" i="1"/>
  <c r="F1054" i="1"/>
  <c r="G1054" i="1"/>
  <c r="H1054" i="1"/>
  <c r="L1054" i="1"/>
  <c r="M1054" i="1"/>
  <c r="N1054" i="1"/>
  <c r="O1054" i="1"/>
  <c r="P1054" i="1"/>
  <c r="Q1054" i="1"/>
  <c r="R1054" i="1"/>
  <c r="S1054" i="1"/>
  <c r="T1054" i="1"/>
  <c r="U1054" i="1"/>
  <c r="V1054" i="1"/>
  <c r="AB1054" i="1"/>
  <c r="AI1054" i="1"/>
  <c r="AJ1054" i="1"/>
  <c r="AK1054" i="1"/>
  <c r="AP1054" i="1"/>
  <c r="AR1054" i="1"/>
  <c r="AY1054" i="1"/>
  <c r="BE1054" i="1"/>
  <c r="BF1054" i="1"/>
  <c r="C1055" i="1"/>
  <c r="E1055" i="1"/>
  <c r="F1055" i="1"/>
  <c r="G1055" i="1"/>
  <c r="H1055" i="1"/>
  <c r="L1055" i="1"/>
  <c r="M1055" i="1"/>
  <c r="N1055" i="1"/>
  <c r="O1055" i="1"/>
  <c r="P1055" i="1"/>
  <c r="Q1055" i="1"/>
  <c r="R1055" i="1"/>
  <c r="S1055" i="1"/>
  <c r="T1055" i="1"/>
  <c r="U1055" i="1"/>
  <c r="V1055" i="1"/>
  <c r="AB1055" i="1"/>
  <c r="AI1055" i="1"/>
  <c r="AJ1055" i="1"/>
  <c r="AK1055" i="1"/>
  <c r="AP1055" i="1"/>
  <c r="AR1055" i="1"/>
  <c r="AY1055" i="1"/>
  <c r="BE1055" i="1"/>
  <c r="BF1055" i="1"/>
  <c r="C1056" i="1"/>
  <c r="E1056" i="1"/>
  <c r="F1056" i="1"/>
  <c r="G1056" i="1"/>
  <c r="H1056" i="1"/>
  <c r="L1056" i="1"/>
  <c r="M1056" i="1"/>
  <c r="N1056" i="1"/>
  <c r="O1056" i="1"/>
  <c r="P1056" i="1"/>
  <c r="Q1056" i="1"/>
  <c r="R1056" i="1"/>
  <c r="S1056" i="1"/>
  <c r="T1056" i="1"/>
  <c r="U1056" i="1"/>
  <c r="V1056" i="1"/>
  <c r="AB1056" i="1"/>
  <c r="AI1056" i="1"/>
  <c r="AJ1056" i="1"/>
  <c r="AK1056" i="1"/>
  <c r="AP1056" i="1"/>
  <c r="AR1056" i="1"/>
  <c r="AY1056" i="1"/>
  <c r="BE1056" i="1"/>
  <c r="BF1056" i="1"/>
  <c r="C1057" i="1"/>
  <c r="E1057" i="1"/>
  <c r="F1057" i="1"/>
  <c r="G1057" i="1"/>
  <c r="H1057" i="1"/>
  <c r="L1057" i="1"/>
  <c r="M1057" i="1"/>
  <c r="N1057" i="1"/>
  <c r="O1057" i="1"/>
  <c r="P1057" i="1"/>
  <c r="Q1057" i="1"/>
  <c r="R1057" i="1"/>
  <c r="S1057" i="1"/>
  <c r="T1057" i="1"/>
  <c r="U1057" i="1"/>
  <c r="V1057" i="1"/>
  <c r="AB1057" i="1"/>
  <c r="AI1057" i="1"/>
  <c r="AJ1057" i="1"/>
  <c r="AK1057" i="1"/>
  <c r="AP1057" i="1"/>
  <c r="AR1057" i="1"/>
  <c r="AY1057" i="1"/>
  <c r="BE1057" i="1"/>
  <c r="BF1057" i="1"/>
  <c r="C1058" i="1"/>
  <c r="E1058" i="1"/>
  <c r="F1058" i="1"/>
  <c r="G1058" i="1"/>
  <c r="H1058" i="1"/>
  <c r="L1058" i="1"/>
  <c r="M1058" i="1"/>
  <c r="N1058" i="1"/>
  <c r="O1058" i="1"/>
  <c r="P1058" i="1"/>
  <c r="Q1058" i="1"/>
  <c r="R1058" i="1"/>
  <c r="S1058" i="1"/>
  <c r="T1058" i="1"/>
  <c r="U1058" i="1"/>
  <c r="V1058" i="1"/>
  <c r="AB1058" i="1"/>
  <c r="AI1058" i="1"/>
  <c r="AJ1058" i="1"/>
  <c r="AK1058" i="1"/>
  <c r="AP1058" i="1"/>
  <c r="AR1058" i="1"/>
  <c r="AY1058" i="1"/>
  <c r="BE1058" i="1"/>
  <c r="BF1058" i="1"/>
  <c r="C1059" i="1"/>
  <c r="E1059" i="1"/>
  <c r="F1059" i="1"/>
  <c r="G1059" i="1"/>
  <c r="H1059" i="1"/>
  <c r="L1059" i="1"/>
  <c r="M1059" i="1"/>
  <c r="N1059" i="1"/>
  <c r="O1059" i="1"/>
  <c r="P1059" i="1"/>
  <c r="Q1059" i="1"/>
  <c r="R1059" i="1"/>
  <c r="S1059" i="1"/>
  <c r="T1059" i="1"/>
  <c r="U1059" i="1"/>
  <c r="V1059" i="1"/>
  <c r="AB1059" i="1"/>
  <c r="AI1059" i="1"/>
  <c r="AJ1059" i="1"/>
  <c r="AK1059" i="1"/>
  <c r="AP1059" i="1"/>
  <c r="AR1059" i="1"/>
  <c r="AY1059" i="1"/>
  <c r="BE1059" i="1"/>
  <c r="BF1059" i="1"/>
  <c r="C1060" i="1"/>
  <c r="E1060" i="1"/>
  <c r="F1060" i="1"/>
  <c r="G1060" i="1"/>
  <c r="H1060" i="1"/>
  <c r="L1060" i="1"/>
  <c r="M1060" i="1"/>
  <c r="N1060" i="1"/>
  <c r="O1060" i="1"/>
  <c r="P1060" i="1"/>
  <c r="Q1060" i="1"/>
  <c r="R1060" i="1"/>
  <c r="S1060" i="1"/>
  <c r="T1060" i="1"/>
  <c r="U1060" i="1"/>
  <c r="V1060" i="1"/>
  <c r="AB1060" i="1"/>
  <c r="AI1060" i="1"/>
  <c r="AJ1060" i="1"/>
  <c r="AK1060" i="1"/>
  <c r="AP1060" i="1"/>
  <c r="AR1060" i="1"/>
  <c r="AY1060" i="1"/>
  <c r="BE1060" i="1"/>
  <c r="BF1060" i="1"/>
  <c r="C1061" i="1"/>
  <c r="E1061" i="1"/>
  <c r="F1061" i="1"/>
  <c r="G1061" i="1"/>
  <c r="H1061" i="1"/>
  <c r="L1061" i="1"/>
  <c r="M1061" i="1"/>
  <c r="N1061" i="1"/>
  <c r="O1061" i="1"/>
  <c r="P1061" i="1"/>
  <c r="Q1061" i="1"/>
  <c r="R1061" i="1"/>
  <c r="S1061" i="1"/>
  <c r="T1061" i="1"/>
  <c r="U1061" i="1"/>
  <c r="V1061" i="1"/>
  <c r="AB1061" i="1"/>
  <c r="AI1061" i="1"/>
  <c r="AJ1061" i="1"/>
  <c r="AK1061" i="1"/>
  <c r="AP1061" i="1"/>
  <c r="AR1061" i="1"/>
  <c r="AY1061" i="1"/>
  <c r="BE1061" i="1"/>
  <c r="BF1061" i="1"/>
  <c r="C1062" i="1"/>
  <c r="E1062" i="1"/>
  <c r="F1062" i="1"/>
  <c r="G1062" i="1"/>
  <c r="H1062" i="1"/>
  <c r="L1062" i="1"/>
  <c r="M1062" i="1"/>
  <c r="N1062" i="1"/>
  <c r="O1062" i="1"/>
  <c r="P1062" i="1"/>
  <c r="Q1062" i="1"/>
  <c r="R1062" i="1"/>
  <c r="S1062" i="1"/>
  <c r="T1062" i="1"/>
  <c r="U1062" i="1"/>
  <c r="V1062" i="1"/>
  <c r="AB1062" i="1"/>
  <c r="AI1062" i="1"/>
  <c r="AJ1062" i="1"/>
  <c r="AK1062" i="1"/>
  <c r="AP1062" i="1"/>
  <c r="AR1062" i="1"/>
  <c r="AY1062" i="1"/>
  <c r="BE1062" i="1"/>
  <c r="BF1062" i="1"/>
  <c r="C1063" i="1"/>
  <c r="E1063" i="1"/>
  <c r="F1063" i="1"/>
  <c r="G1063" i="1"/>
  <c r="H1063" i="1"/>
  <c r="L1063" i="1"/>
  <c r="M1063" i="1"/>
  <c r="N1063" i="1"/>
  <c r="O1063" i="1"/>
  <c r="P1063" i="1"/>
  <c r="Q1063" i="1"/>
  <c r="R1063" i="1"/>
  <c r="S1063" i="1"/>
  <c r="T1063" i="1"/>
  <c r="U1063" i="1"/>
  <c r="V1063" i="1"/>
  <c r="AB1063" i="1"/>
  <c r="AI1063" i="1"/>
  <c r="AJ1063" i="1"/>
  <c r="AK1063" i="1"/>
  <c r="AP1063" i="1"/>
  <c r="AR1063" i="1"/>
  <c r="AY1063" i="1"/>
  <c r="BE1063" i="1"/>
  <c r="BF1063" i="1"/>
  <c r="C1064" i="1"/>
  <c r="E1064" i="1"/>
  <c r="F1064" i="1"/>
  <c r="G1064" i="1"/>
  <c r="H1064" i="1"/>
  <c r="L1064" i="1"/>
  <c r="M1064" i="1"/>
  <c r="N1064" i="1"/>
  <c r="O1064" i="1"/>
  <c r="P1064" i="1"/>
  <c r="Q1064" i="1"/>
  <c r="R1064" i="1"/>
  <c r="S1064" i="1"/>
  <c r="T1064" i="1"/>
  <c r="U1064" i="1"/>
  <c r="V1064" i="1"/>
  <c r="AB1064" i="1"/>
  <c r="AI1064" i="1"/>
  <c r="AJ1064" i="1"/>
  <c r="AK1064" i="1"/>
  <c r="AP1064" i="1"/>
  <c r="AR1064" i="1"/>
  <c r="AY1064" i="1"/>
  <c r="BE1064" i="1"/>
  <c r="BF1064" i="1"/>
  <c r="C1065" i="1"/>
  <c r="E1065" i="1"/>
  <c r="F1065" i="1"/>
  <c r="G1065" i="1"/>
  <c r="H1065" i="1"/>
  <c r="L1065" i="1"/>
  <c r="M1065" i="1"/>
  <c r="N1065" i="1"/>
  <c r="O1065" i="1"/>
  <c r="P1065" i="1"/>
  <c r="Q1065" i="1"/>
  <c r="R1065" i="1"/>
  <c r="S1065" i="1"/>
  <c r="T1065" i="1"/>
  <c r="U1065" i="1"/>
  <c r="V1065" i="1"/>
  <c r="AB1065" i="1"/>
  <c r="AI1065" i="1"/>
  <c r="AJ1065" i="1"/>
  <c r="AK1065" i="1"/>
  <c r="AP1065" i="1"/>
  <c r="AR1065" i="1"/>
  <c r="AY1065" i="1"/>
  <c r="BE1065" i="1"/>
  <c r="BF1065" i="1"/>
  <c r="C1066" i="1"/>
  <c r="E1066" i="1"/>
  <c r="F1066" i="1"/>
  <c r="G1066" i="1"/>
  <c r="H1066" i="1"/>
  <c r="L1066" i="1"/>
  <c r="M1066" i="1"/>
  <c r="N1066" i="1"/>
  <c r="O1066" i="1"/>
  <c r="P1066" i="1"/>
  <c r="Q1066" i="1"/>
  <c r="R1066" i="1"/>
  <c r="S1066" i="1"/>
  <c r="T1066" i="1"/>
  <c r="U1066" i="1"/>
  <c r="V1066" i="1"/>
  <c r="AB1066" i="1"/>
  <c r="AI1066" i="1"/>
  <c r="AJ1066" i="1"/>
  <c r="AK1066" i="1"/>
  <c r="AP1066" i="1"/>
  <c r="AR1066" i="1"/>
  <c r="AY1066" i="1"/>
  <c r="BE1066" i="1"/>
  <c r="BF1066" i="1"/>
  <c r="C1067" i="1"/>
  <c r="E1067" i="1"/>
  <c r="F1067" i="1"/>
  <c r="G1067" i="1"/>
  <c r="H1067" i="1"/>
  <c r="L1067" i="1"/>
  <c r="M1067" i="1"/>
  <c r="N1067" i="1"/>
  <c r="O1067" i="1"/>
  <c r="P1067" i="1"/>
  <c r="Q1067" i="1"/>
  <c r="R1067" i="1"/>
  <c r="S1067" i="1"/>
  <c r="T1067" i="1"/>
  <c r="U1067" i="1"/>
  <c r="V1067" i="1"/>
  <c r="AB1067" i="1"/>
  <c r="AI1067" i="1"/>
  <c r="AJ1067" i="1"/>
  <c r="AK1067" i="1"/>
  <c r="AP1067" i="1"/>
  <c r="AR1067" i="1"/>
  <c r="AY1067" i="1"/>
  <c r="BE1067" i="1"/>
  <c r="BF1067" i="1"/>
  <c r="C1068" i="1"/>
  <c r="E1068" i="1"/>
  <c r="F1068" i="1"/>
  <c r="G1068" i="1"/>
  <c r="H1068" i="1"/>
  <c r="L1068" i="1"/>
  <c r="M1068" i="1"/>
  <c r="N1068" i="1"/>
  <c r="O1068" i="1"/>
  <c r="P1068" i="1"/>
  <c r="Q1068" i="1"/>
  <c r="R1068" i="1"/>
  <c r="S1068" i="1"/>
  <c r="T1068" i="1"/>
  <c r="U1068" i="1"/>
  <c r="V1068" i="1"/>
  <c r="AB1068" i="1"/>
  <c r="AI1068" i="1"/>
  <c r="AJ1068" i="1"/>
  <c r="AK1068" i="1"/>
  <c r="AP1068" i="1"/>
  <c r="AR1068" i="1"/>
  <c r="AY1068" i="1"/>
  <c r="BE1068" i="1"/>
  <c r="BF1068" i="1"/>
  <c r="C1069" i="1"/>
  <c r="E1069" i="1"/>
  <c r="F1069" i="1"/>
  <c r="G1069" i="1"/>
  <c r="H1069" i="1"/>
  <c r="L1069" i="1"/>
  <c r="M1069" i="1"/>
  <c r="N1069" i="1"/>
  <c r="O1069" i="1"/>
  <c r="P1069" i="1"/>
  <c r="Q1069" i="1"/>
  <c r="R1069" i="1"/>
  <c r="S1069" i="1"/>
  <c r="T1069" i="1"/>
  <c r="U1069" i="1"/>
  <c r="V1069" i="1"/>
  <c r="AB1069" i="1"/>
  <c r="AI1069" i="1"/>
  <c r="AJ1069" i="1"/>
  <c r="AK1069" i="1"/>
  <c r="AP1069" i="1"/>
  <c r="AR1069" i="1"/>
  <c r="AY1069" i="1"/>
  <c r="BE1069" i="1"/>
  <c r="BF1069" i="1"/>
  <c r="C1070" i="1"/>
  <c r="E1070" i="1"/>
  <c r="F1070" i="1"/>
  <c r="G1070" i="1"/>
  <c r="H1070" i="1"/>
  <c r="L1070" i="1"/>
  <c r="M1070" i="1"/>
  <c r="N1070" i="1"/>
  <c r="O1070" i="1"/>
  <c r="P1070" i="1"/>
  <c r="Q1070" i="1"/>
  <c r="R1070" i="1"/>
  <c r="S1070" i="1"/>
  <c r="T1070" i="1"/>
  <c r="U1070" i="1"/>
  <c r="V1070" i="1"/>
  <c r="AB1070" i="1"/>
  <c r="AI1070" i="1"/>
  <c r="AJ1070" i="1"/>
  <c r="AK1070" i="1"/>
  <c r="AP1070" i="1"/>
  <c r="AR1070" i="1"/>
  <c r="AY1070" i="1"/>
  <c r="BE1070" i="1"/>
  <c r="BF1070" i="1"/>
  <c r="C1071" i="1"/>
  <c r="E1071" i="1"/>
  <c r="F1071" i="1"/>
  <c r="G1071" i="1"/>
  <c r="H1071" i="1"/>
  <c r="L1071" i="1"/>
  <c r="M1071" i="1"/>
  <c r="N1071" i="1"/>
  <c r="O1071" i="1"/>
  <c r="P1071" i="1"/>
  <c r="Q1071" i="1"/>
  <c r="R1071" i="1"/>
  <c r="S1071" i="1"/>
  <c r="T1071" i="1"/>
  <c r="U1071" i="1"/>
  <c r="V1071" i="1"/>
  <c r="AB1071" i="1"/>
  <c r="AI1071" i="1"/>
  <c r="AJ1071" i="1"/>
  <c r="AK1071" i="1"/>
  <c r="AP1071" i="1"/>
  <c r="AR1071" i="1"/>
  <c r="AY1071" i="1"/>
  <c r="BE1071" i="1"/>
  <c r="BF1071" i="1"/>
  <c r="C1072" i="1"/>
  <c r="E1072" i="1"/>
  <c r="F1072" i="1"/>
  <c r="G1072" i="1"/>
  <c r="H1072" i="1"/>
  <c r="L1072" i="1"/>
  <c r="M1072" i="1"/>
  <c r="N1072" i="1"/>
  <c r="O1072" i="1"/>
  <c r="P1072" i="1"/>
  <c r="Q1072" i="1"/>
  <c r="R1072" i="1"/>
  <c r="S1072" i="1"/>
  <c r="T1072" i="1"/>
  <c r="U1072" i="1"/>
  <c r="V1072" i="1"/>
  <c r="AB1072" i="1"/>
  <c r="AI1072" i="1"/>
  <c r="AJ1072" i="1"/>
  <c r="AK1072" i="1"/>
  <c r="AP1072" i="1"/>
  <c r="AR1072" i="1"/>
  <c r="AY1072" i="1"/>
  <c r="BE1072" i="1"/>
  <c r="BF1072" i="1"/>
  <c r="C1073" i="1"/>
  <c r="E1073" i="1"/>
  <c r="F1073" i="1"/>
  <c r="G1073" i="1"/>
  <c r="H1073" i="1"/>
  <c r="L1073" i="1"/>
  <c r="M1073" i="1"/>
  <c r="N1073" i="1"/>
  <c r="O1073" i="1"/>
  <c r="P1073" i="1"/>
  <c r="Q1073" i="1"/>
  <c r="R1073" i="1"/>
  <c r="S1073" i="1"/>
  <c r="T1073" i="1"/>
  <c r="U1073" i="1"/>
  <c r="V1073" i="1"/>
  <c r="AB1073" i="1"/>
  <c r="AI1073" i="1"/>
  <c r="AJ1073" i="1"/>
  <c r="AK1073" i="1"/>
  <c r="AP1073" i="1"/>
  <c r="AR1073" i="1"/>
  <c r="AY1073" i="1"/>
  <c r="BE1073" i="1"/>
  <c r="BF1073" i="1"/>
  <c r="C1074" i="1"/>
  <c r="E1074" i="1"/>
  <c r="F1074" i="1"/>
  <c r="G1074" i="1"/>
  <c r="H1074" i="1"/>
  <c r="L1074" i="1"/>
  <c r="M1074" i="1"/>
  <c r="N1074" i="1"/>
  <c r="O1074" i="1"/>
  <c r="P1074" i="1"/>
  <c r="Q1074" i="1"/>
  <c r="R1074" i="1"/>
  <c r="S1074" i="1"/>
  <c r="T1074" i="1"/>
  <c r="U1074" i="1"/>
  <c r="V1074" i="1"/>
  <c r="AB1074" i="1"/>
  <c r="AI1074" i="1"/>
  <c r="AJ1074" i="1"/>
  <c r="AK1074" i="1"/>
  <c r="AP1074" i="1"/>
  <c r="AR1074" i="1"/>
  <c r="AY1074" i="1"/>
  <c r="BE1074" i="1"/>
  <c r="BF1074" i="1"/>
  <c r="C1075" i="1"/>
  <c r="E1075" i="1"/>
  <c r="F1075" i="1"/>
  <c r="G1075" i="1"/>
  <c r="H1075" i="1"/>
  <c r="L1075" i="1"/>
  <c r="M1075" i="1"/>
  <c r="N1075" i="1"/>
  <c r="O1075" i="1"/>
  <c r="P1075" i="1"/>
  <c r="Q1075" i="1"/>
  <c r="R1075" i="1"/>
  <c r="S1075" i="1"/>
  <c r="T1075" i="1"/>
  <c r="U1075" i="1"/>
  <c r="V1075" i="1"/>
  <c r="AB1075" i="1"/>
  <c r="AI1075" i="1"/>
  <c r="AJ1075" i="1"/>
  <c r="AK1075" i="1"/>
  <c r="AP1075" i="1"/>
  <c r="AR1075" i="1"/>
  <c r="AY1075" i="1"/>
  <c r="BE1075" i="1"/>
  <c r="BF1075" i="1"/>
  <c r="C1076" i="1"/>
  <c r="E1076" i="1"/>
  <c r="F1076" i="1"/>
  <c r="G1076" i="1"/>
  <c r="H1076" i="1"/>
  <c r="L1076" i="1"/>
  <c r="M1076" i="1"/>
  <c r="N1076" i="1"/>
  <c r="O1076" i="1"/>
  <c r="P1076" i="1"/>
  <c r="Q1076" i="1"/>
  <c r="R1076" i="1"/>
  <c r="S1076" i="1"/>
  <c r="T1076" i="1"/>
  <c r="U1076" i="1"/>
  <c r="V1076" i="1"/>
  <c r="AB1076" i="1"/>
  <c r="AI1076" i="1"/>
  <c r="AJ1076" i="1"/>
  <c r="AK1076" i="1"/>
  <c r="AP1076" i="1"/>
  <c r="AR1076" i="1"/>
  <c r="AY1076" i="1"/>
  <c r="BE1076" i="1"/>
  <c r="BF1076" i="1"/>
  <c r="C1077" i="1"/>
  <c r="E1077" i="1"/>
  <c r="F1077" i="1"/>
  <c r="G1077" i="1"/>
  <c r="H1077" i="1"/>
  <c r="L1077" i="1"/>
  <c r="M1077" i="1"/>
  <c r="N1077" i="1"/>
  <c r="O1077" i="1"/>
  <c r="P1077" i="1"/>
  <c r="Q1077" i="1"/>
  <c r="R1077" i="1"/>
  <c r="S1077" i="1"/>
  <c r="T1077" i="1"/>
  <c r="U1077" i="1"/>
  <c r="V1077" i="1"/>
  <c r="AB1077" i="1"/>
  <c r="AI1077" i="1"/>
  <c r="AJ1077" i="1"/>
  <c r="AK1077" i="1"/>
  <c r="AP1077" i="1"/>
  <c r="AR1077" i="1"/>
  <c r="AY1077" i="1"/>
  <c r="BE1077" i="1"/>
  <c r="BF1077" i="1"/>
  <c r="C1078" i="1"/>
  <c r="E1078" i="1"/>
  <c r="F1078" i="1"/>
  <c r="G1078" i="1"/>
  <c r="H1078" i="1"/>
  <c r="L1078" i="1"/>
  <c r="M1078" i="1"/>
  <c r="N1078" i="1"/>
  <c r="O1078" i="1"/>
  <c r="P1078" i="1"/>
  <c r="Q1078" i="1"/>
  <c r="R1078" i="1"/>
  <c r="S1078" i="1"/>
  <c r="T1078" i="1"/>
  <c r="U1078" i="1"/>
  <c r="V1078" i="1"/>
  <c r="AB1078" i="1"/>
  <c r="AI1078" i="1"/>
  <c r="AJ1078" i="1"/>
  <c r="AK1078" i="1"/>
  <c r="AP1078" i="1"/>
  <c r="AR1078" i="1"/>
  <c r="AY1078" i="1"/>
  <c r="BE1078" i="1"/>
  <c r="BF1078" i="1"/>
  <c r="C1079" i="1"/>
  <c r="E1079" i="1"/>
  <c r="F1079" i="1"/>
  <c r="G1079" i="1"/>
  <c r="H1079" i="1"/>
  <c r="L1079" i="1"/>
  <c r="M1079" i="1"/>
  <c r="N1079" i="1"/>
  <c r="O1079" i="1"/>
  <c r="P1079" i="1"/>
  <c r="Q1079" i="1"/>
  <c r="R1079" i="1"/>
  <c r="S1079" i="1"/>
  <c r="T1079" i="1"/>
  <c r="U1079" i="1"/>
  <c r="V1079" i="1"/>
  <c r="AB1079" i="1"/>
  <c r="AI1079" i="1"/>
  <c r="AJ1079" i="1"/>
  <c r="AK1079" i="1"/>
  <c r="AP1079" i="1"/>
  <c r="AR1079" i="1"/>
  <c r="AY1079" i="1"/>
  <c r="BE1079" i="1"/>
  <c r="BF1079" i="1"/>
  <c r="C1080" i="1"/>
  <c r="E1080" i="1"/>
  <c r="F1080" i="1"/>
  <c r="G1080" i="1"/>
  <c r="H1080" i="1"/>
  <c r="L1080" i="1"/>
  <c r="M1080" i="1"/>
  <c r="N1080" i="1"/>
  <c r="O1080" i="1"/>
  <c r="P1080" i="1"/>
  <c r="Q1080" i="1"/>
  <c r="R1080" i="1"/>
  <c r="S1080" i="1"/>
  <c r="T1080" i="1"/>
  <c r="U1080" i="1"/>
  <c r="V1080" i="1"/>
  <c r="AB1080" i="1"/>
  <c r="AI1080" i="1"/>
  <c r="AJ1080" i="1"/>
  <c r="AK1080" i="1"/>
  <c r="AP1080" i="1"/>
  <c r="AR1080" i="1"/>
  <c r="AY1080" i="1"/>
  <c r="BE1080" i="1"/>
  <c r="BF1080" i="1"/>
  <c r="C1081" i="1"/>
  <c r="E1081" i="1"/>
  <c r="F1081" i="1"/>
  <c r="G1081" i="1"/>
  <c r="H1081" i="1"/>
  <c r="L1081" i="1"/>
  <c r="M1081" i="1"/>
  <c r="N1081" i="1"/>
  <c r="O1081" i="1"/>
  <c r="P1081" i="1"/>
  <c r="Q1081" i="1"/>
  <c r="R1081" i="1"/>
  <c r="S1081" i="1"/>
  <c r="T1081" i="1"/>
  <c r="U1081" i="1"/>
  <c r="V1081" i="1"/>
  <c r="AB1081" i="1"/>
  <c r="AI1081" i="1"/>
  <c r="AJ1081" i="1"/>
  <c r="AK1081" i="1"/>
  <c r="AP1081" i="1"/>
  <c r="AR1081" i="1"/>
  <c r="AY1081" i="1"/>
  <c r="BE1081" i="1"/>
  <c r="BF1081" i="1"/>
  <c r="C1082" i="1"/>
  <c r="E1082" i="1"/>
  <c r="F1082" i="1"/>
  <c r="G1082" i="1"/>
  <c r="H1082" i="1"/>
  <c r="L1082" i="1"/>
  <c r="M1082" i="1"/>
  <c r="N1082" i="1"/>
  <c r="O1082" i="1"/>
  <c r="P1082" i="1"/>
  <c r="Q1082" i="1"/>
  <c r="R1082" i="1"/>
  <c r="S1082" i="1"/>
  <c r="T1082" i="1"/>
  <c r="U1082" i="1"/>
  <c r="V1082" i="1"/>
  <c r="AB1082" i="1"/>
  <c r="AI1082" i="1"/>
  <c r="AJ1082" i="1"/>
  <c r="AK1082" i="1"/>
  <c r="AP1082" i="1"/>
  <c r="AR1082" i="1"/>
  <c r="AY1082" i="1"/>
  <c r="BE1082" i="1"/>
  <c r="BF1082" i="1"/>
  <c r="C1083" i="1"/>
  <c r="E1083" i="1"/>
  <c r="F1083" i="1"/>
  <c r="G1083" i="1"/>
  <c r="H1083" i="1"/>
  <c r="L1083" i="1"/>
  <c r="M1083" i="1"/>
  <c r="N1083" i="1"/>
  <c r="O1083" i="1"/>
  <c r="P1083" i="1"/>
  <c r="Q1083" i="1"/>
  <c r="R1083" i="1"/>
  <c r="S1083" i="1"/>
  <c r="T1083" i="1"/>
  <c r="U1083" i="1"/>
  <c r="V1083" i="1"/>
  <c r="AB1083" i="1"/>
  <c r="AI1083" i="1"/>
  <c r="AJ1083" i="1"/>
  <c r="AK1083" i="1"/>
  <c r="AP1083" i="1"/>
  <c r="AR1083" i="1"/>
  <c r="AY1083" i="1"/>
  <c r="BE1083" i="1"/>
  <c r="BF1083" i="1"/>
  <c r="C1084" i="1"/>
  <c r="E1084" i="1"/>
  <c r="F1084" i="1"/>
  <c r="G1084" i="1"/>
  <c r="H1084" i="1"/>
  <c r="L1084" i="1"/>
  <c r="M1084" i="1"/>
  <c r="N1084" i="1"/>
  <c r="O1084" i="1"/>
  <c r="P1084" i="1"/>
  <c r="Q1084" i="1"/>
  <c r="R1084" i="1"/>
  <c r="S1084" i="1"/>
  <c r="T1084" i="1"/>
  <c r="U1084" i="1"/>
  <c r="V1084" i="1"/>
  <c r="AB1084" i="1"/>
  <c r="AI1084" i="1"/>
  <c r="AJ1084" i="1"/>
  <c r="AK1084" i="1"/>
  <c r="AP1084" i="1"/>
  <c r="AR1084" i="1"/>
  <c r="AY1084" i="1"/>
  <c r="BE1084" i="1"/>
  <c r="BF1084" i="1"/>
  <c r="C1085" i="1"/>
  <c r="E1085" i="1"/>
  <c r="F1085" i="1"/>
  <c r="G1085" i="1"/>
  <c r="H1085" i="1"/>
  <c r="L1085" i="1"/>
  <c r="M1085" i="1"/>
  <c r="N1085" i="1"/>
  <c r="O1085" i="1"/>
  <c r="P1085" i="1"/>
  <c r="Q1085" i="1"/>
  <c r="R1085" i="1"/>
  <c r="S1085" i="1"/>
  <c r="T1085" i="1"/>
  <c r="U1085" i="1"/>
  <c r="V1085" i="1"/>
  <c r="AB1085" i="1"/>
  <c r="AI1085" i="1"/>
  <c r="AJ1085" i="1"/>
  <c r="AK1085" i="1"/>
  <c r="AP1085" i="1"/>
  <c r="AR1085" i="1"/>
  <c r="AY1085" i="1"/>
  <c r="BE1085" i="1"/>
  <c r="BF1085" i="1"/>
  <c r="C1086" i="1"/>
  <c r="E1086" i="1"/>
  <c r="F1086" i="1"/>
  <c r="G1086" i="1"/>
  <c r="H1086" i="1"/>
  <c r="L1086" i="1"/>
  <c r="M1086" i="1"/>
  <c r="N1086" i="1"/>
  <c r="O1086" i="1"/>
  <c r="P1086" i="1"/>
  <c r="Q1086" i="1"/>
  <c r="R1086" i="1"/>
  <c r="S1086" i="1"/>
  <c r="T1086" i="1"/>
  <c r="U1086" i="1"/>
  <c r="V1086" i="1"/>
  <c r="AB1086" i="1"/>
  <c r="AI1086" i="1"/>
  <c r="AJ1086" i="1"/>
  <c r="AK1086" i="1"/>
  <c r="AP1086" i="1"/>
  <c r="AR1086" i="1"/>
  <c r="AY1086" i="1"/>
  <c r="BE1086" i="1"/>
  <c r="BF1086" i="1"/>
  <c r="C1087" i="1"/>
  <c r="E1087" i="1"/>
  <c r="F1087" i="1"/>
  <c r="G1087" i="1"/>
  <c r="H1087" i="1"/>
  <c r="L1087" i="1"/>
  <c r="M1087" i="1"/>
  <c r="N1087" i="1"/>
  <c r="O1087" i="1"/>
  <c r="P1087" i="1"/>
  <c r="Q1087" i="1"/>
  <c r="R1087" i="1"/>
  <c r="S1087" i="1"/>
  <c r="T1087" i="1"/>
  <c r="U1087" i="1"/>
  <c r="V1087" i="1"/>
  <c r="AB1087" i="1"/>
  <c r="AI1087" i="1"/>
  <c r="AJ1087" i="1"/>
  <c r="AK1087" i="1"/>
  <c r="AP1087" i="1"/>
  <c r="AR1087" i="1"/>
  <c r="AY1087" i="1"/>
  <c r="BE1087" i="1"/>
  <c r="BF1087" i="1"/>
  <c r="C1088" i="1"/>
  <c r="E1088" i="1"/>
  <c r="F1088" i="1"/>
  <c r="G1088" i="1"/>
  <c r="H1088" i="1"/>
  <c r="L1088" i="1"/>
  <c r="M1088" i="1"/>
  <c r="N1088" i="1"/>
  <c r="O1088" i="1"/>
  <c r="P1088" i="1"/>
  <c r="Q1088" i="1"/>
  <c r="R1088" i="1"/>
  <c r="S1088" i="1"/>
  <c r="T1088" i="1"/>
  <c r="U1088" i="1"/>
  <c r="V1088" i="1"/>
  <c r="AB1088" i="1"/>
  <c r="AI1088" i="1"/>
  <c r="AJ1088" i="1"/>
  <c r="AK1088" i="1"/>
  <c r="AP1088" i="1"/>
  <c r="AR1088" i="1"/>
  <c r="AY1088" i="1"/>
  <c r="BE1088" i="1"/>
  <c r="BF1088" i="1"/>
  <c r="C1089" i="1"/>
  <c r="E1089" i="1"/>
  <c r="F1089" i="1"/>
  <c r="G1089" i="1"/>
  <c r="H1089" i="1"/>
  <c r="L1089" i="1"/>
  <c r="M1089" i="1"/>
  <c r="N1089" i="1"/>
  <c r="O1089" i="1"/>
  <c r="P1089" i="1"/>
  <c r="Q1089" i="1"/>
  <c r="R1089" i="1"/>
  <c r="S1089" i="1"/>
  <c r="T1089" i="1"/>
  <c r="U1089" i="1"/>
  <c r="V1089" i="1"/>
  <c r="AB1089" i="1"/>
  <c r="AI1089" i="1"/>
  <c r="AJ1089" i="1"/>
  <c r="AK1089" i="1"/>
  <c r="AP1089" i="1"/>
  <c r="AR1089" i="1"/>
  <c r="AY1089" i="1"/>
  <c r="BE1089" i="1"/>
  <c r="BF1089" i="1"/>
  <c r="C1090" i="1"/>
  <c r="E1090" i="1"/>
  <c r="F1090" i="1"/>
  <c r="G1090" i="1"/>
  <c r="H1090" i="1"/>
  <c r="L1090" i="1"/>
  <c r="M1090" i="1"/>
  <c r="N1090" i="1"/>
  <c r="O1090" i="1"/>
  <c r="P1090" i="1"/>
  <c r="Q1090" i="1"/>
  <c r="R1090" i="1"/>
  <c r="S1090" i="1"/>
  <c r="T1090" i="1"/>
  <c r="U1090" i="1"/>
  <c r="V1090" i="1"/>
  <c r="AB1090" i="1"/>
  <c r="AI1090" i="1"/>
  <c r="AJ1090" i="1"/>
  <c r="AK1090" i="1"/>
  <c r="AP1090" i="1"/>
  <c r="AR1090" i="1"/>
  <c r="AY1090" i="1"/>
  <c r="BE1090" i="1"/>
  <c r="BF1090" i="1"/>
  <c r="C1091" i="1"/>
  <c r="E1091" i="1"/>
  <c r="F1091" i="1"/>
  <c r="G1091" i="1"/>
  <c r="H1091" i="1"/>
  <c r="L1091" i="1"/>
  <c r="M1091" i="1"/>
  <c r="N1091" i="1"/>
  <c r="O1091" i="1"/>
  <c r="P1091" i="1"/>
  <c r="Q1091" i="1"/>
  <c r="R1091" i="1"/>
  <c r="S1091" i="1"/>
  <c r="T1091" i="1"/>
  <c r="U1091" i="1"/>
  <c r="V1091" i="1"/>
  <c r="AB1091" i="1"/>
  <c r="AI1091" i="1"/>
  <c r="AJ1091" i="1"/>
  <c r="AK1091" i="1"/>
  <c r="AP1091" i="1"/>
  <c r="AR1091" i="1"/>
  <c r="AY1091" i="1"/>
  <c r="BE1091" i="1"/>
  <c r="BF1091" i="1"/>
  <c r="C1092" i="1"/>
  <c r="E1092" i="1"/>
  <c r="F1092" i="1"/>
  <c r="G1092" i="1"/>
  <c r="H1092" i="1"/>
  <c r="L1092" i="1"/>
  <c r="M1092" i="1"/>
  <c r="N1092" i="1"/>
  <c r="O1092" i="1"/>
  <c r="P1092" i="1"/>
  <c r="Q1092" i="1"/>
  <c r="R1092" i="1"/>
  <c r="S1092" i="1"/>
  <c r="T1092" i="1"/>
  <c r="U1092" i="1"/>
  <c r="V1092" i="1"/>
  <c r="AB1092" i="1"/>
  <c r="AI1092" i="1"/>
  <c r="AJ1092" i="1"/>
  <c r="AK1092" i="1"/>
  <c r="AP1092" i="1"/>
  <c r="AR1092" i="1"/>
  <c r="AY1092" i="1"/>
  <c r="BE1092" i="1"/>
  <c r="BF1092" i="1"/>
  <c r="C1093" i="1"/>
  <c r="E1093" i="1"/>
  <c r="F1093" i="1"/>
  <c r="G1093" i="1"/>
  <c r="H1093" i="1"/>
  <c r="L1093" i="1"/>
  <c r="M1093" i="1"/>
  <c r="N1093" i="1"/>
  <c r="O1093" i="1"/>
  <c r="P1093" i="1"/>
  <c r="Q1093" i="1"/>
  <c r="R1093" i="1"/>
  <c r="S1093" i="1"/>
  <c r="T1093" i="1"/>
  <c r="U1093" i="1"/>
  <c r="V1093" i="1"/>
  <c r="AB1093" i="1"/>
  <c r="AI1093" i="1"/>
  <c r="AJ1093" i="1"/>
  <c r="AK1093" i="1"/>
  <c r="AP1093" i="1"/>
  <c r="AR1093" i="1"/>
  <c r="AY1093" i="1"/>
  <c r="BE1093" i="1"/>
  <c r="BF1093" i="1"/>
  <c r="C1094" i="1"/>
  <c r="E1094" i="1"/>
  <c r="F1094" i="1"/>
  <c r="G1094" i="1"/>
  <c r="H1094" i="1"/>
  <c r="L1094" i="1"/>
  <c r="M1094" i="1"/>
  <c r="N1094" i="1"/>
  <c r="O1094" i="1"/>
  <c r="P1094" i="1"/>
  <c r="Q1094" i="1"/>
  <c r="R1094" i="1"/>
  <c r="S1094" i="1"/>
  <c r="T1094" i="1"/>
  <c r="U1094" i="1"/>
  <c r="V1094" i="1"/>
  <c r="AB1094" i="1"/>
  <c r="AI1094" i="1"/>
  <c r="AJ1094" i="1"/>
  <c r="AK1094" i="1"/>
  <c r="AP1094" i="1"/>
  <c r="AR1094" i="1"/>
  <c r="AY1094" i="1"/>
  <c r="BE1094" i="1"/>
  <c r="BF1094" i="1"/>
  <c r="C1095" i="1"/>
  <c r="E1095" i="1"/>
  <c r="F1095" i="1"/>
  <c r="G1095" i="1"/>
  <c r="H1095" i="1"/>
  <c r="L1095" i="1"/>
  <c r="M1095" i="1"/>
  <c r="N1095" i="1"/>
  <c r="O1095" i="1"/>
  <c r="P1095" i="1"/>
  <c r="Q1095" i="1"/>
  <c r="R1095" i="1"/>
  <c r="S1095" i="1"/>
  <c r="T1095" i="1"/>
  <c r="U1095" i="1"/>
  <c r="V1095" i="1"/>
  <c r="AB1095" i="1"/>
  <c r="AI1095" i="1"/>
  <c r="AJ1095" i="1"/>
  <c r="AK1095" i="1"/>
  <c r="AP1095" i="1"/>
  <c r="AR1095" i="1"/>
  <c r="AY1095" i="1"/>
  <c r="BE1095" i="1"/>
  <c r="BF1095" i="1"/>
  <c r="C1096" i="1"/>
  <c r="E1096" i="1"/>
  <c r="F1096" i="1"/>
  <c r="G1096" i="1"/>
  <c r="H1096" i="1"/>
  <c r="L1096" i="1"/>
  <c r="M1096" i="1"/>
  <c r="N1096" i="1"/>
  <c r="O1096" i="1"/>
  <c r="P1096" i="1"/>
  <c r="Q1096" i="1"/>
  <c r="R1096" i="1"/>
  <c r="S1096" i="1"/>
  <c r="T1096" i="1"/>
  <c r="U1096" i="1"/>
  <c r="V1096" i="1"/>
  <c r="AB1096" i="1"/>
  <c r="AI1096" i="1"/>
  <c r="AJ1096" i="1"/>
  <c r="AK1096" i="1"/>
  <c r="AP1096" i="1"/>
  <c r="AR1096" i="1"/>
  <c r="AY1096" i="1"/>
  <c r="BE1096" i="1"/>
  <c r="BF1096" i="1"/>
  <c r="C1097" i="1"/>
  <c r="E1097" i="1"/>
  <c r="F1097" i="1"/>
  <c r="G1097" i="1"/>
  <c r="H1097" i="1"/>
  <c r="L1097" i="1"/>
  <c r="M1097" i="1"/>
  <c r="N1097" i="1"/>
  <c r="O1097" i="1"/>
  <c r="P1097" i="1"/>
  <c r="Q1097" i="1"/>
  <c r="R1097" i="1"/>
  <c r="S1097" i="1"/>
  <c r="T1097" i="1"/>
  <c r="U1097" i="1"/>
  <c r="V1097" i="1"/>
  <c r="AB1097" i="1"/>
  <c r="AI1097" i="1"/>
  <c r="AJ1097" i="1"/>
  <c r="AK1097" i="1"/>
  <c r="AP1097" i="1"/>
  <c r="AR1097" i="1"/>
  <c r="AY1097" i="1"/>
  <c r="BE1097" i="1"/>
  <c r="BF1097" i="1"/>
  <c r="C1098" i="1"/>
  <c r="E1098" i="1"/>
  <c r="F1098" i="1"/>
  <c r="G1098" i="1"/>
  <c r="H1098" i="1"/>
  <c r="L1098" i="1"/>
  <c r="M1098" i="1"/>
  <c r="N1098" i="1"/>
  <c r="O1098" i="1"/>
  <c r="P1098" i="1"/>
  <c r="Q1098" i="1"/>
  <c r="R1098" i="1"/>
  <c r="S1098" i="1"/>
  <c r="T1098" i="1"/>
  <c r="U1098" i="1"/>
  <c r="V1098" i="1"/>
  <c r="AB1098" i="1"/>
  <c r="AI1098" i="1"/>
  <c r="AJ1098" i="1"/>
  <c r="AK1098" i="1"/>
  <c r="AP1098" i="1"/>
  <c r="AR1098" i="1"/>
  <c r="AY1098" i="1"/>
  <c r="BE1098" i="1"/>
  <c r="BF1098" i="1"/>
  <c r="C1099" i="1"/>
  <c r="E1099" i="1"/>
  <c r="F1099" i="1"/>
  <c r="G1099" i="1"/>
  <c r="H1099" i="1"/>
  <c r="L1099" i="1"/>
  <c r="M1099" i="1"/>
  <c r="N1099" i="1"/>
  <c r="O1099" i="1"/>
  <c r="P1099" i="1"/>
  <c r="Q1099" i="1"/>
  <c r="R1099" i="1"/>
  <c r="S1099" i="1"/>
  <c r="T1099" i="1"/>
  <c r="U1099" i="1"/>
  <c r="V1099" i="1"/>
  <c r="AB1099" i="1"/>
  <c r="AI1099" i="1"/>
  <c r="AJ1099" i="1"/>
  <c r="AK1099" i="1"/>
  <c r="AP1099" i="1"/>
  <c r="AR1099" i="1"/>
  <c r="AY1099" i="1"/>
  <c r="BE1099" i="1"/>
  <c r="BF1099" i="1"/>
  <c r="C1100" i="1"/>
  <c r="E1100" i="1"/>
  <c r="F1100" i="1"/>
  <c r="G1100" i="1"/>
  <c r="H1100" i="1"/>
  <c r="L1100" i="1"/>
  <c r="M1100" i="1"/>
  <c r="N1100" i="1"/>
  <c r="O1100" i="1"/>
  <c r="P1100" i="1"/>
  <c r="Q1100" i="1"/>
  <c r="R1100" i="1"/>
  <c r="S1100" i="1"/>
  <c r="T1100" i="1"/>
  <c r="U1100" i="1"/>
  <c r="V1100" i="1"/>
  <c r="AB1100" i="1"/>
  <c r="AI1100" i="1"/>
  <c r="AJ1100" i="1"/>
  <c r="AK1100" i="1"/>
  <c r="AP1100" i="1"/>
  <c r="AR1100" i="1"/>
  <c r="AY1100" i="1"/>
  <c r="BE1100" i="1"/>
  <c r="BF1100" i="1"/>
  <c r="C1101" i="1"/>
  <c r="E1101" i="1"/>
  <c r="F1101" i="1"/>
  <c r="G1101" i="1"/>
  <c r="H1101" i="1"/>
  <c r="L1101" i="1"/>
  <c r="M1101" i="1"/>
  <c r="N1101" i="1"/>
  <c r="O1101" i="1"/>
  <c r="P1101" i="1"/>
  <c r="Q1101" i="1"/>
  <c r="R1101" i="1"/>
  <c r="S1101" i="1"/>
  <c r="T1101" i="1"/>
  <c r="U1101" i="1"/>
  <c r="V1101" i="1"/>
  <c r="AB1101" i="1"/>
  <c r="AI1101" i="1"/>
  <c r="AJ1101" i="1"/>
  <c r="AK1101" i="1"/>
  <c r="AP1101" i="1"/>
  <c r="AR1101" i="1"/>
  <c r="AY1101" i="1"/>
  <c r="BE1101" i="1"/>
  <c r="BF1101" i="1"/>
  <c r="C1102" i="1"/>
  <c r="E1102" i="1"/>
  <c r="F1102" i="1"/>
  <c r="G1102" i="1"/>
  <c r="H1102" i="1"/>
  <c r="L1102" i="1"/>
  <c r="M1102" i="1"/>
  <c r="N1102" i="1"/>
  <c r="O1102" i="1"/>
  <c r="P1102" i="1"/>
  <c r="Q1102" i="1"/>
  <c r="R1102" i="1"/>
  <c r="S1102" i="1"/>
  <c r="T1102" i="1"/>
  <c r="U1102" i="1"/>
  <c r="V1102" i="1"/>
  <c r="AB1102" i="1"/>
  <c r="AI1102" i="1"/>
  <c r="AJ1102" i="1"/>
  <c r="AK1102" i="1"/>
  <c r="AP1102" i="1"/>
  <c r="AR1102" i="1"/>
  <c r="AY1102" i="1"/>
  <c r="BE1102" i="1"/>
  <c r="BF1102" i="1"/>
  <c r="C1103" i="1"/>
  <c r="E1103" i="1"/>
  <c r="F1103" i="1"/>
  <c r="G1103" i="1"/>
  <c r="H1103" i="1"/>
  <c r="L1103" i="1"/>
  <c r="M1103" i="1"/>
  <c r="N1103" i="1"/>
  <c r="O1103" i="1"/>
  <c r="P1103" i="1"/>
  <c r="Q1103" i="1"/>
  <c r="R1103" i="1"/>
  <c r="S1103" i="1"/>
  <c r="T1103" i="1"/>
  <c r="U1103" i="1"/>
  <c r="V1103" i="1"/>
  <c r="AB1103" i="1"/>
  <c r="AI1103" i="1"/>
  <c r="AJ1103" i="1"/>
  <c r="AK1103" i="1"/>
  <c r="AP1103" i="1"/>
  <c r="AR1103" i="1"/>
  <c r="AY1103" i="1"/>
  <c r="BE1103" i="1"/>
  <c r="BF1103" i="1"/>
  <c r="C1104" i="1"/>
  <c r="E1104" i="1"/>
  <c r="F1104" i="1"/>
  <c r="G1104" i="1"/>
  <c r="H1104" i="1"/>
  <c r="L1104" i="1"/>
  <c r="M1104" i="1"/>
  <c r="N1104" i="1"/>
  <c r="O1104" i="1"/>
  <c r="P1104" i="1"/>
  <c r="Q1104" i="1"/>
  <c r="R1104" i="1"/>
  <c r="S1104" i="1"/>
  <c r="T1104" i="1"/>
  <c r="U1104" i="1"/>
  <c r="V1104" i="1"/>
  <c r="AB1104" i="1"/>
  <c r="AI1104" i="1"/>
  <c r="AJ1104" i="1"/>
  <c r="AK1104" i="1"/>
  <c r="AP1104" i="1"/>
  <c r="AR1104" i="1"/>
  <c r="AY1104" i="1"/>
  <c r="BE1104" i="1"/>
  <c r="BF1104" i="1"/>
  <c r="C1105" i="1"/>
  <c r="E1105" i="1"/>
  <c r="F1105" i="1"/>
  <c r="G1105" i="1"/>
  <c r="H1105" i="1"/>
  <c r="L1105" i="1"/>
  <c r="M1105" i="1"/>
  <c r="N1105" i="1"/>
  <c r="O1105" i="1"/>
  <c r="P1105" i="1"/>
  <c r="Q1105" i="1"/>
  <c r="R1105" i="1"/>
  <c r="S1105" i="1"/>
  <c r="T1105" i="1"/>
  <c r="U1105" i="1"/>
  <c r="V1105" i="1"/>
  <c r="AB1105" i="1"/>
  <c r="AI1105" i="1"/>
  <c r="AJ1105" i="1"/>
  <c r="AK1105" i="1"/>
  <c r="AP1105" i="1"/>
  <c r="AR1105" i="1"/>
  <c r="AY1105" i="1"/>
  <c r="BE1105" i="1"/>
  <c r="BF1105" i="1"/>
  <c r="C1106" i="1"/>
  <c r="E1106" i="1"/>
  <c r="F1106" i="1"/>
  <c r="G1106" i="1"/>
  <c r="H1106" i="1"/>
  <c r="L1106" i="1"/>
  <c r="M1106" i="1"/>
  <c r="N1106" i="1"/>
  <c r="O1106" i="1"/>
  <c r="P1106" i="1"/>
  <c r="Q1106" i="1"/>
  <c r="R1106" i="1"/>
  <c r="S1106" i="1"/>
  <c r="T1106" i="1"/>
  <c r="U1106" i="1"/>
  <c r="V1106" i="1"/>
  <c r="AB1106" i="1"/>
  <c r="AI1106" i="1"/>
  <c r="AJ1106" i="1"/>
  <c r="AK1106" i="1"/>
  <c r="AP1106" i="1"/>
  <c r="AR1106" i="1"/>
  <c r="AY1106" i="1"/>
  <c r="BE1106" i="1"/>
  <c r="BF1106" i="1"/>
  <c r="C1107" i="1"/>
  <c r="E1107" i="1"/>
  <c r="F1107" i="1"/>
  <c r="G1107" i="1"/>
  <c r="H1107" i="1"/>
  <c r="L1107" i="1"/>
  <c r="M1107" i="1"/>
  <c r="N1107" i="1"/>
  <c r="O1107" i="1"/>
  <c r="P1107" i="1"/>
  <c r="Q1107" i="1"/>
  <c r="R1107" i="1"/>
  <c r="S1107" i="1"/>
  <c r="T1107" i="1"/>
  <c r="U1107" i="1"/>
  <c r="V1107" i="1"/>
  <c r="AB1107" i="1"/>
  <c r="AI1107" i="1"/>
  <c r="AJ1107" i="1"/>
  <c r="AK1107" i="1"/>
  <c r="AP1107" i="1"/>
  <c r="AR1107" i="1"/>
  <c r="AY1107" i="1"/>
  <c r="BE1107" i="1"/>
  <c r="BF1107" i="1"/>
  <c r="C1108" i="1"/>
  <c r="E1108" i="1"/>
  <c r="F1108" i="1"/>
  <c r="G1108" i="1"/>
  <c r="H1108" i="1"/>
  <c r="L1108" i="1"/>
  <c r="M1108" i="1"/>
  <c r="N1108" i="1"/>
  <c r="O1108" i="1"/>
  <c r="P1108" i="1"/>
  <c r="Q1108" i="1"/>
  <c r="R1108" i="1"/>
  <c r="S1108" i="1"/>
  <c r="T1108" i="1"/>
  <c r="U1108" i="1"/>
  <c r="V1108" i="1"/>
  <c r="AB1108" i="1"/>
  <c r="AI1108" i="1"/>
  <c r="AJ1108" i="1"/>
  <c r="AK1108" i="1"/>
  <c r="AP1108" i="1"/>
  <c r="AR1108" i="1"/>
  <c r="AY1108" i="1"/>
  <c r="BE1108" i="1"/>
  <c r="BF1108" i="1"/>
  <c r="C1109" i="1"/>
  <c r="E1109" i="1"/>
  <c r="F1109" i="1"/>
  <c r="G1109" i="1"/>
  <c r="H1109" i="1"/>
  <c r="L1109" i="1"/>
  <c r="M1109" i="1"/>
  <c r="N1109" i="1"/>
  <c r="O1109" i="1"/>
  <c r="P1109" i="1"/>
  <c r="Q1109" i="1"/>
  <c r="R1109" i="1"/>
  <c r="S1109" i="1"/>
  <c r="T1109" i="1"/>
  <c r="U1109" i="1"/>
  <c r="V1109" i="1"/>
  <c r="AB1109" i="1"/>
  <c r="AI1109" i="1"/>
  <c r="AJ1109" i="1"/>
  <c r="AK1109" i="1"/>
  <c r="AP1109" i="1"/>
  <c r="AR1109" i="1"/>
  <c r="AY1109" i="1"/>
  <c r="BE1109" i="1"/>
  <c r="BF1109" i="1"/>
  <c r="C1110" i="1"/>
  <c r="E1110" i="1"/>
  <c r="F1110" i="1"/>
  <c r="G1110" i="1"/>
  <c r="H1110" i="1"/>
  <c r="L1110" i="1"/>
  <c r="M1110" i="1"/>
  <c r="N1110" i="1"/>
  <c r="O1110" i="1"/>
  <c r="P1110" i="1"/>
  <c r="Q1110" i="1"/>
  <c r="R1110" i="1"/>
  <c r="S1110" i="1"/>
  <c r="T1110" i="1"/>
  <c r="U1110" i="1"/>
  <c r="V1110" i="1"/>
  <c r="AB1110" i="1"/>
  <c r="AI1110" i="1"/>
  <c r="AJ1110" i="1"/>
  <c r="AK1110" i="1"/>
  <c r="AP1110" i="1"/>
  <c r="AR1110" i="1"/>
  <c r="AY1110" i="1"/>
  <c r="BE1110" i="1"/>
  <c r="BF1110" i="1"/>
  <c r="C1111" i="1"/>
  <c r="E1111" i="1"/>
  <c r="F1111" i="1"/>
  <c r="G1111" i="1"/>
  <c r="H1111" i="1"/>
  <c r="L1111" i="1"/>
  <c r="M1111" i="1"/>
  <c r="N1111" i="1"/>
  <c r="O1111" i="1"/>
  <c r="P1111" i="1"/>
  <c r="Q1111" i="1"/>
  <c r="R1111" i="1"/>
  <c r="S1111" i="1"/>
  <c r="T1111" i="1"/>
  <c r="U1111" i="1"/>
  <c r="V1111" i="1"/>
  <c r="AB1111" i="1"/>
  <c r="AI1111" i="1"/>
  <c r="AJ1111" i="1"/>
  <c r="AK1111" i="1"/>
  <c r="AP1111" i="1"/>
  <c r="AR1111" i="1"/>
  <c r="AY1111" i="1"/>
  <c r="BE1111" i="1"/>
  <c r="BF1111" i="1"/>
  <c r="C1112" i="1"/>
  <c r="E1112" i="1"/>
  <c r="F1112" i="1"/>
  <c r="G1112" i="1"/>
  <c r="H1112" i="1"/>
  <c r="L1112" i="1"/>
  <c r="M1112" i="1"/>
  <c r="N1112" i="1"/>
  <c r="O1112" i="1"/>
  <c r="P1112" i="1"/>
  <c r="Q1112" i="1"/>
  <c r="R1112" i="1"/>
  <c r="S1112" i="1"/>
  <c r="T1112" i="1"/>
  <c r="U1112" i="1"/>
  <c r="V1112" i="1"/>
  <c r="AB1112" i="1"/>
  <c r="AI1112" i="1"/>
  <c r="AJ1112" i="1"/>
  <c r="AK1112" i="1"/>
  <c r="AP1112" i="1"/>
  <c r="AR1112" i="1"/>
  <c r="AY1112" i="1"/>
  <c r="BE1112" i="1"/>
  <c r="BF1112" i="1"/>
  <c r="C1113" i="1"/>
  <c r="E1113" i="1"/>
  <c r="F1113" i="1"/>
  <c r="G1113" i="1"/>
  <c r="H1113" i="1"/>
  <c r="L1113" i="1"/>
  <c r="M1113" i="1"/>
  <c r="N1113" i="1"/>
  <c r="O1113" i="1"/>
  <c r="P1113" i="1"/>
  <c r="Q1113" i="1"/>
  <c r="R1113" i="1"/>
  <c r="S1113" i="1"/>
  <c r="T1113" i="1"/>
  <c r="U1113" i="1"/>
  <c r="V1113" i="1"/>
  <c r="AB1113" i="1"/>
  <c r="AI1113" i="1"/>
  <c r="AJ1113" i="1"/>
  <c r="AK1113" i="1"/>
  <c r="AP1113" i="1"/>
  <c r="AR1113" i="1"/>
  <c r="AY1113" i="1"/>
  <c r="BE1113" i="1"/>
  <c r="BF1113" i="1"/>
  <c r="C1114" i="1"/>
  <c r="E1114" i="1"/>
  <c r="F1114" i="1"/>
  <c r="G1114" i="1"/>
  <c r="H1114" i="1"/>
  <c r="L1114" i="1"/>
  <c r="M1114" i="1"/>
  <c r="N1114" i="1"/>
  <c r="O1114" i="1"/>
  <c r="P1114" i="1"/>
  <c r="Q1114" i="1"/>
  <c r="R1114" i="1"/>
  <c r="S1114" i="1"/>
  <c r="T1114" i="1"/>
  <c r="U1114" i="1"/>
  <c r="V1114" i="1"/>
  <c r="AB1114" i="1"/>
  <c r="AI1114" i="1"/>
  <c r="AJ1114" i="1"/>
  <c r="AK1114" i="1"/>
  <c r="AP1114" i="1"/>
  <c r="AR1114" i="1"/>
  <c r="AY1114" i="1"/>
  <c r="BE1114" i="1"/>
  <c r="BF1114" i="1"/>
  <c r="C1115" i="1"/>
  <c r="E1115" i="1"/>
  <c r="F1115" i="1"/>
  <c r="G1115" i="1"/>
  <c r="H1115" i="1"/>
  <c r="L1115" i="1"/>
  <c r="M1115" i="1"/>
  <c r="N1115" i="1"/>
  <c r="O1115" i="1"/>
  <c r="P1115" i="1"/>
  <c r="Q1115" i="1"/>
  <c r="R1115" i="1"/>
  <c r="S1115" i="1"/>
  <c r="T1115" i="1"/>
  <c r="U1115" i="1"/>
  <c r="V1115" i="1"/>
  <c r="AB1115" i="1"/>
  <c r="AI1115" i="1"/>
  <c r="AJ1115" i="1"/>
  <c r="AK1115" i="1"/>
  <c r="AP1115" i="1"/>
  <c r="AR1115" i="1"/>
  <c r="AY1115" i="1"/>
  <c r="BE1115" i="1"/>
  <c r="BF1115" i="1"/>
  <c r="C1116" i="1"/>
  <c r="E1116" i="1"/>
  <c r="F1116" i="1"/>
  <c r="G1116" i="1"/>
  <c r="H1116" i="1"/>
  <c r="L1116" i="1"/>
  <c r="M1116" i="1"/>
  <c r="N1116" i="1"/>
  <c r="O1116" i="1"/>
  <c r="P1116" i="1"/>
  <c r="Q1116" i="1"/>
  <c r="R1116" i="1"/>
  <c r="S1116" i="1"/>
  <c r="T1116" i="1"/>
  <c r="U1116" i="1"/>
  <c r="V1116" i="1"/>
  <c r="AB1116" i="1"/>
  <c r="AI1116" i="1"/>
  <c r="AJ1116" i="1"/>
  <c r="AK1116" i="1"/>
  <c r="AP1116" i="1"/>
  <c r="AR1116" i="1"/>
  <c r="AY1116" i="1"/>
  <c r="BE1116" i="1"/>
  <c r="BF1116" i="1"/>
  <c r="C1117" i="1"/>
  <c r="E1117" i="1"/>
  <c r="F1117" i="1"/>
  <c r="G1117" i="1"/>
  <c r="H1117" i="1"/>
  <c r="L1117" i="1"/>
  <c r="M1117" i="1"/>
  <c r="N1117" i="1"/>
  <c r="O1117" i="1"/>
  <c r="P1117" i="1"/>
  <c r="Q1117" i="1"/>
  <c r="R1117" i="1"/>
  <c r="S1117" i="1"/>
  <c r="T1117" i="1"/>
  <c r="U1117" i="1"/>
  <c r="V1117" i="1"/>
  <c r="AB1117" i="1"/>
  <c r="AI1117" i="1"/>
  <c r="AJ1117" i="1"/>
  <c r="AK1117" i="1"/>
  <c r="AP1117" i="1"/>
  <c r="AR1117" i="1"/>
  <c r="AY1117" i="1"/>
  <c r="BE1117" i="1"/>
  <c r="BF1117" i="1"/>
  <c r="C1118" i="1"/>
  <c r="E1118" i="1"/>
  <c r="F1118" i="1"/>
  <c r="G1118" i="1"/>
  <c r="H1118" i="1"/>
  <c r="L1118" i="1"/>
  <c r="M1118" i="1"/>
  <c r="N1118" i="1"/>
  <c r="O1118" i="1"/>
  <c r="P1118" i="1"/>
  <c r="Q1118" i="1"/>
  <c r="R1118" i="1"/>
  <c r="S1118" i="1"/>
  <c r="T1118" i="1"/>
  <c r="U1118" i="1"/>
  <c r="V1118" i="1"/>
  <c r="AB1118" i="1"/>
  <c r="AI1118" i="1"/>
  <c r="AJ1118" i="1"/>
  <c r="AK1118" i="1"/>
  <c r="AP1118" i="1"/>
  <c r="AR1118" i="1"/>
  <c r="AY1118" i="1"/>
  <c r="BE1118" i="1"/>
  <c r="BF1118" i="1"/>
  <c r="C1119" i="1"/>
  <c r="E1119" i="1"/>
  <c r="F1119" i="1"/>
  <c r="G1119" i="1"/>
  <c r="H1119" i="1"/>
  <c r="L1119" i="1"/>
  <c r="M1119" i="1"/>
  <c r="N1119" i="1"/>
  <c r="O1119" i="1"/>
  <c r="P1119" i="1"/>
  <c r="Q1119" i="1"/>
  <c r="R1119" i="1"/>
  <c r="S1119" i="1"/>
  <c r="T1119" i="1"/>
  <c r="U1119" i="1"/>
  <c r="V1119" i="1"/>
  <c r="AB1119" i="1"/>
  <c r="AI1119" i="1"/>
  <c r="AJ1119" i="1"/>
  <c r="AK1119" i="1"/>
  <c r="AP1119" i="1"/>
  <c r="AR1119" i="1"/>
  <c r="AY1119" i="1"/>
  <c r="BE1119" i="1"/>
  <c r="BF1119" i="1"/>
  <c r="C1120" i="1"/>
  <c r="E1120" i="1"/>
  <c r="F1120" i="1"/>
  <c r="G1120" i="1"/>
  <c r="H1120" i="1"/>
  <c r="L1120" i="1"/>
  <c r="M1120" i="1"/>
  <c r="N1120" i="1"/>
  <c r="O1120" i="1"/>
  <c r="P1120" i="1"/>
  <c r="Q1120" i="1"/>
  <c r="R1120" i="1"/>
  <c r="S1120" i="1"/>
  <c r="T1120" i="1"/>
  <c r="U1120" i="1"/>
  <c r="V1120" i="1"/>
  <c r="AB1120" i="1"/>
  <c r="AI1120" i="1"/>
  <c r="AJ1120" i="1"/>
  <c r="AK1120" i="1"/>
  <c r="AP1120" i="1"/>
  <c r="AR1120" i="1"/>
  <c r="AY1120" i="1"/>
  <c r="BE1120" i="1"/>
  <c r="BF1120" i="1"/>
  <c r="C1121" i="1"/>
  <c r="E1121" i="1"/>
  <c r="F1121" i="1"/>
  <c r="G1121" i="1"/>
  <c r="H1121" i="1"/>
  <c r="L1121" i="1"/>
  <c r="M1121" i="1"/>
  <c r="N1121" i="1"/>
  <c r="O1121" i="1"/>
  <c r="P1121" i="1"/>
  <c r="Q1121" i="1"/>
  <c r="R1121" i="1"/>
  <c r="S1121" i="1"/>
  <c r="T1121" i="1"/>
  <c r="U1121" i="1"/>
  <c r="V1121" i="1"/>
  <c r="AB1121" i="1"/>
  <c r="AI1121" i="1"/>
  <c r="AJ1121" i="1"/>
  <c r="AK1121" i="1"/>
  <c r="AP1121" i="1"/>
  <c r="AR1121" i="1"/>
  <c r="AY1121" i="1"/>
  <c r="BE1121" i="1"/>
  <c r="BF1121" i="1"/>
  <c r="C1122" i="1"/>
  <c r="E1122" i="1"/>
  <c r="F1122" i="1"/>
  <c r="G1122" i="1"/>
  <c r="H1122" i="1"/>
  <c r="L1122" i="1"/>
  <c r="M1122" i="1"/>
  <c r="N1122" i="1"/>
  <c r="O1122" i="1"/>
  <c r="P1122" i="1"/>
  <c r="Q1122" i="1"/>
  <c r="R1122" i="1"/>
  <c r="S1122" i="1"/>
  <c r="T1122" i="1"/>
  <c r="U1122" i="1"/>
  <c r="V1122" i="1"/>
  <c r="AB1122" i="1"/>
  <c r="AI1122" i="1"/>
  <c r="AJ1122" i="1"/>
  <c r="AK1122" i="1"/>
  <c r="AP1122" i="1"/>
  <c r="AR1122" i="1"/>
  <c r="AY1122" i="1"/>
  <c r="BE1122" i="1"/>
  <c r="BF1122" i="1"/>
  <c r="C1123" i="1"/>
  <c r="E1123" i="1"/>
  <c r="F1123" i="1"/>
  <c r="G1123" i="1"/>
  <c r="H1123" i="1"/>
  <c r="L1123" i="1"/>
  <c r="M1123" i="1"/>
  <c r="N1123" i="1"/>
  <c r="O1123" i="1"/>
  <c r="P1123" i="1"/>
  <c r="Q1123" i="1"/>
  <c r="R1123" i="1"/>
  <c r="S1123" i="1"/>
  <c r="T1123" i="1"/>
  <c r="U1123" i="1"/>
  <c r="V1123" i="1"/>
  <c r="AB1123" i="1"/>
  <c r="AI1123" i="1"/>
  <c r="AJ1123" i="1"/>
  <c r="AK1123" i="1"/>
  <c r="AP1123" i="1"/>
  <c r="AR1123" i="1"/>
  <c r="AY1123" i="1"/>
  <c r="BE1123" i="1"/>
  <c r="BF1123" i="1"/>
  <c r="C1124" i="1"/>
  <c r="E1124" i="1"/>
  <c r="F1124" i="1"/>
  <c r="G1124" i="1"/>
  <c r="H1124" i="1"/>
  <c r="L1124" i="1"/>
  <c r="M1124" i="1"/>
  <c r="N1124" i="1"/>
  <c r="O1124" i="1"/>
  <c r="P1124" i="1"/>
  <c r="Q1124" i="1"/>
  <c r="R1124" i="1"/>
  <c r="S1124" i="1"/>
  <c r="T1124" i="1"/>
  <c r="U1124" i="1"/>
  <c r="V1124" i="1"/>
  <c r="AB1124" i="1"/>
  <c r="AI1124" i="1"/>
  <c r="AJ1124" i="1"/>
  <c r="AK1124" i="1"/>
  <c r="AP1124" i="1"/>
  <c r="AR1124" i="1"/>
  <c r="AY1124" i="1"/>
  <c r="BE1124" i="1"/>
  <c r="BF1124" i="1"/>
  <c r="C1125" i="1"/>
  <c r="E1125" i="1"/>
  <c r="F1125" i="1"/>
  <c r="G1125" i="1"/>
  <c r="H1125" i="1"/>
  <c r="L1125" i="1"/>
  <c r="M1125" i="1"/>
  <c r="N1125" i="1"/>
  <c r="O1125" i="1"/>
  <c r="P1125" i="1"/>
  <c r="Q1125" i="1"/>
  <c r="R1125" i="1"/>
  <c r="S1125" i="1"/>
  <c r="T1125" i="1"/>
  <c r="U1125" i="1"/>
  <c r="V1125" i="1"/>
  <c r="AB1125" i="1"/>
  <c r="AI1125" i="1"/>
  <c r="AJ1125" i="1"/>
  <c r="AK1125" i="1"/>
  <c r="AP1125" i="1"/>
  <c r="AR1125" i="1"/>
  <c r="AY1125" i="1"/>
  <c r="BE1125" i="1"/>
  <c r="BF1125" i="1"/>
  <c r="C1126" i="1"/>
  <c r="E1126" i="1"/>
  <c r="F1126" i="1"/>
  <c r="G1126" i="1"/>
  <c r="H1126" i="1"/>
  <c r="L1126" i="1"/>
  <c r="M1126" i="1"/>
  <c r="N1126" i="1"/>
  <c r="O1126" i="1"/>
  <c r="P1126" i="1"/>
  <c r="Q1126" i="1"/>
  <c r="R1126" i="1"/>
  <c r="S1126" i="1"/>
  <c r="T1126" i="1"/>
  <c r="U1126" i="1"/>
  <c r="V1126" i="1"/>
  <c r="AB1126" i="1"/>
  <c r="AI1126" i="1"/>
  <c r="AJ1126" i="1"/>
  <c r="AK1126" i="1"/>
  <c r="AP1126" i="1"/>
  <c r="AR1126" i="1"/>
  <c r="AY1126" i="1"/>
  <c r="BE1126" i="1"/>
  <c r="BF1126" i="1"/>
  <c r="C1127" i="1"/>
  <c r="E1127" i="1"/>
  <c r="F1127" i="1"/>
  <c r="G1127" i="1"/>
  <c r="H1127" i="1"/>
  <c r="L1127" i="1"/>
  <c r="M1127" i="1"/>
  <c r="N1127" i="1"/>
  <c r="O1127" i="1"/>
  <c r="P1127" i="1"/>
  <c r="Q1127" i="1"/>
  <c r="R1127" i="1"/>
  <c r="S1127" i="1"/>
  <c r="T1127" i="1"/>
  <c r="U1127" i="1"/>
  <c r="V1127" i="1"/>
  <c r="AB1127" i="1"/>
  <c r="AI1127" i="1"/>
  <c r="AJ1127" i="1"/>
  <c r="AK1127" i="1"/>
  <c r="AP1127" i="1"/>
  <c r="AR1127" i="1"/>
  <c r="AY1127" i="1"/>
  <c r="BE1127" i="1"/>
  <c r="BF1127" i="1"/>
  <c r="C1128" i="1"/>
  <c r="E1128" i="1"/>
  <c r="F1128" i="1"/>
  <c r="G1128" i="1"/>
  <c r="H1128" i="1"/>
  <c r="L1128" i="1"/>
  <c r="M1128" i="1"/>
  <c r="N1128" i="1"/>
  <c r="O1128" i="1"/>
  <c r="P1128" i="1"/>
  <c r="Q1128" i="1"/>
  <c r="R1128" i="1"/>
  <c r="S1128" i="1"/>
  <c r="T1128" i="1"/>
  <c r="U1128" i="1"/>
  <c r="V1128" i="1"/>
  <c r="AB1128" i="1"/>
  <c r="AI1128" i="1"/>
  <c r="AJ1128" i="1"/>
  <c r="AK1128" i="1"/>
  <c r="AP1128" i="1"/>
  <c r="AR1128" i="1"/>
  <c r="AY1128" i="1"/>
  <c r="BE1128" i="1"/>
  <c r="BF1128" i="1"/>
  <c r="C1129" i="1"/>
  <c r="E1129" i="1"/>
  <c r="F1129" i="1"/>
  <c r="G1129" i="1"/>
  <c r="H1129" i="1"/>
  <c r="L1129" i="1"/>
  <c r="M1129" i="1"/>
  <c r="N1129" i="1"/>
  <c r="O1129" i="1"/>
  <c r="P1129" i="1"/>
  <c r="Q1129" i="1"/>
  <c r="R1129" i="1"/>
  <c r="S1129" i="1"/>
  <c r="T1129" i="1"/>
  <c r="U1129" i="1"/>
  <c r="V1129" i="1"/>
  <c r="AB1129" i="1"/>
  <c r="AI1129" i="1"/>
  <c r="AJ1129" i="1"/>
  <c r="AK1129" i="1"/>
  <c r="AP1129" i="1"/>
  <c r="AR1129" i="1"/>
  <c r="AY1129" i="1"/>
  <c r="BE1129" i="1"/>
  <c r="BF1129" i="1"/>
  <c r="C1130" i="1"/>
  <c r="E1130" i="1"/>
  <c r="F1130" i="1"/>
  <c r="G1130" i="1"/>
  <c r="H1130" i="1"/>
  <c r="L1130" i="1"/>
  <c r="M1130" i="1"/>
  <c r="N1130" i="1"/>
  <c r="O1130" i="1"/>
  <c r="P1130" i="1"/>
  <c r="Q1130" i="1"/>
  <c r="R1130" i="1"/>
  <c r="S1130" i="1"/>
  <c r="T1130" i="1"/>
  <c r="U1130" i="1"/>
  <c r="V1130" i="1"/>
  <c r="AB1130" i="1"/>
  <c r="AI1130" i="1"/>
  <c r="AJ1130" i="1"/>
  <c r="AK1130" i="1"/>
  <c r="AP1130" i="1"/>
  <c r="AR1130" i="1"/>
  <c r="AY1130" i="1"/>
  <c r="BE1130" i="1"/>
  <c r="BF1130" i="1"/>
  <c r="C1131" i="1"/>
  <c r="E1131" i="1"/>
  <c r="F1131" i="1"/>
  <c r="G1131" i="1"/>
  <c r="H1131" i="1"/>
  <c r="L1131" i="1"/>
  <c r="M1131" i="1"/>
  <c r="N1131" i="1"/>
  <c r="O1131" i="1"/>
  <c r="P1131" i="1"/>
  <c r="Q1131" i="1"/>
  <c r="R1131" i="1"/>
  <c r="S1131" i="1"/>
  <c r="T1131" i="1"/>
  <c r="U1131" i="1"/>
  <c r="V1131" i="1"/>
  <c r="AB1131" i="1"/>
  <c r="AI1131" i="1"/>
  <c r="AJ1131" i="1"/>
  <c r="AK1131" i="1"/>
  <c r="AP1131" i="1"/>
  <c r="AR1131" i="1"/>
  <c r="AY1131" i="1"/>
  <c r="BE1131" i="1"/>
  <c r="BF1131" i="1"/>
  <c r="C1132" i="1"/>
  <c r="E1132" i="1"/>
  <c r="F1132" i="1"/>
  <c r="G1132" i="1"/>
  <c r="H1132" i="1"/>
  <c r="L1132" i="1"/>
  <c r="M1132" i="1"/>
  <c r="N1132" i="1"/>
  <c r="O1132" i="1"/>
  <c r="P1132" i="1"/>
  <c r="Q1132" i="1"/>
  <c r="R1132" i="1"/>
  <c r="S1132" i="1"/>
  <c r="T1132" i="1"/>
  <c r="U1132" i="1"/>
  <c r="V1132" i="1"/>
  <c r="AB1132" i="1"/>
  <c r="AI1132" i="1"/>
  <c r="AJ1132" i="1"/>
  <c r="AK1132" i="1"/>
  <c r="AP1132" i="1"/>
  <c r="AR1132" i="1"/>
  <c r="AY1132" i="1"/>
  <c r="BE1132" i="1"/>
  <c r="BF1132" i="1"/>
  <c r="C1133" i="1"/>
  <c r="E1133" i="1"/>
  <c r="F1133" i="1"/>
  <c r="G1133" i="1"/>
  <c r="H1133" i="1"/>
  <c r="L1133" i="1"/>
  <c r="M1133" i="1"/>
  <c r="N1133" i="1"/>
  <c r="O1133" i="1"/>
  <c r="P1133" i="1"/>
  <c r="Q1133" i="1"/>
  <c r="R1133" i="1"/>
  <c r="S1133" i="1"/>
  <c r="T1133" i="1"/>
  <c r="U1133" i="1"/>
  <c r="V1133" i="1"/>
  <c r="AB1133" i="1"/>
  <c r="AI1133" i="1"/>
  <c r="AJ1133" i="1"/>
  <c r="AK1133" i="1"/>
  <c r="AP1133" i="1"/>
  <c r="AR1133" i="1"/>
  <c r="AY1133" i="1"/>
  <c r="BE1133" i="1"/>
  <c r="BF1133" i="1"/>
  <c r="C1134" i="1"/>
  <c r="E1134" i="1"/>
  <c r="F1134" i="1"/>
  <c r="G1134" i="1"/>
  <c r="H1134" i="1"/>
  <c r="L1134" i="1"/>
  <c r="M1134" i="1"/>
  <c r="N1134" i="1"/>
  <c r="O1134" i="1"/>
  <c r="P1134" i="1"/>
  <c r="Q1134" i="1"/>
  <c r="R1134" i="1"/>
  <c r="S1134" i="1"/>
  <c r="T1134" i="1"/>
  <c r="U1134" i="1"/>
  <c r="V1134" i="1"/>
  <c r="AB1134" i="1"/>
  <c r="AI1134" i="1"/>
  <c r="AJ1134" i="1"/>
  <c r="AK1134" i="1"/>
  <c r="AP1134" i="1"/>
  <c r="AR1134" i="1"/>
  <c r="AY1134" i="1"/>
  <c r="BE1134" i="1"/>
  <c r="BF1134" i="1"/>
  <c r="C1135" i="1"/>
  <c r="E1135" i="1"/>
  <c r="F1135" i="1"/>
  <c r="G1135" i="1"/>
  <c r="H1135" i="1"/>
  <c r="L1135" i="1"/>
  <c r="M1135" i="1"/>
  <c r="N1135" i="1"/>
  <c r="O1135" i="1"/>
  <c r="P1135" i="1"/>
  <c r="Q1135" i="1"/>
  <c r="R1135" i="1"/>
  <c r="S1135" i="1"/>
  <c r="T1135" i="1"/>
  <c r="U1135" i="1"/>
  <c r="V1135" i="1"/>
  <c r="AB1135" i="1"/>
  <c r="AI1135" i="1"/>
  <c r="AJ1135" i="1"/>
  <c r="AK1135" i="1"/>
  <c r="AP1135" i="1"/>
  <c r="AR1135" i="1"/>
  <c r="AY1135" i="1"/>
  <c r="BE1135" i="1"/>
  <c r="BF1135" i="1"/>
  <c r="C1136" i="1"/>
  <c r="E1136" i="1"/>
  <c r="F1136" i="1"/>
  <c r="G1136" i="1"/>
  <c r="H1136" i="1"/>
  <c r="L1136" i="1"/>
  <c r="M1136" i="1"/>
  <c r="N1136" i="1"/>
  <c r="O1136" i="1"/>
  <c r="P1136" i="1"/>
  <c r="Q1136" i="1"/>
  <c r="R1136" i="1"/>
  <c r="S1136" i="1"/>
  <c r="T1136" i="1"/>
  <c r="U1136" i="1"/>
  <c r="V1136" i="1"/>
  <c r="AB1136" i="1"/>
  <c r="AI1136" i="1"/>
  <c r="AJ1136" i="1"/>
  <c r="AK1136" i="1"/>
  <c r="AP1136" i="1"/>
  <c r="AR1136" i="1"/>
  <c r="AY1136" i="1"/>
  <c r="BE1136" i="1"/>
  <c r="BF1136" i="1"/>
  <c r="C1137" i="1"/>
  <c r="E1137" i="1"/>
  <c r="F1137" i="1"/>
  <c r="G1137" i="1"/>
  <c r="H1137" i="1"/>
  <c r="L1137" i="1"/>
  <c r="M1137" i="1"/>
  <c r="N1137" i="1"/>
  <c r="O1137" i="1"/>
  <c r="P1137" i="1"/>
  <c r="Q1137" i="1"/>
  <c r="R1137" i="1"/>
  <c r="S1137" i="1"/>
  <c r="T1137" i="1"/>
  <c r="U1137" i="1"/>
  <c r="V1137" i="1"/>
  <c r="AB1137" i="1"/>
  <c r="AI1137" i="1"/>
  <c r="AJ1137" i="1"/>
  <c r="AK1137" i="1"/>
  <c r="AP1137" i="1"/>
  <c r="AR1137" i="1"/>
  <c r="AY1137" i="1"/>
  <c r="BE1137" i="1"/>
  <c r="BF1137" i="1"/>
  <c r="C1138" i="1"/>
  <c r="E1138" i="1"/>
  <c r="F1138" i="1"/>
  <c r="G1138" i="1"/>
  <c r="H1138" i="1"/>
  <c r="L1138" i="1"/>
  <c r="M1138" i="1"/>
  <c r="N1138" i="1"/>
  <c r="O1138" i="1"/>
  <c r="P1138" i="1"/>
  <c r="Q1138" i="1"/>
  <c r="R1138" i="1"/>
  <c r="S1138" i="1"/>
  <c r="T1138" i="1"/>
  <c r="U1138" i="1"/>
  <c r="V1138" i="1"/>
  <c r="AB1138" i="1"/>
  <c r="AI1138" i="1"/>
  <c r="AJ1138" i="1"/>
  <c r="AK1138" i="1"/>
  <c r="AP1138" i="1"/>
  <c r="AR1138" i="1"/>
  <c r="AY1138" i="1"/>
  <c r="BE1138" i="1"/>
  <c r="BF1138" i="1"/>
  <c r="C1139" i="1"/>
  <c r="E1139" i="1"/>
  <c r="F1139" i="1"/>
  <c r="G1139" i="1"/>
  <c r="H1139" i="1"/>
  <c r="L1139" i="1"/>
  <c r="M1139" i="1"/>
  <c r="N1139" i="1"/>
  <c r="O1139" i="1"/>
  <c r="P1139" i="1"/>
  <c r="Q1139" i="1"/>
  <c r="R1139" i="1"/>
  <c r="S1139" i="1"/>
  <c r="T1139" i="1"/>
  <c r="U1139" i="1"/>
  <c r="V1139" i="1"/>
  <c r="AB1139" i="1"/>
  <c r="AI1139" i="1"/>
  <c r="AJ1139" i="1"/>
  <c r="AK1139" i="1"/>
  <c r="AP1139" i="1"/>
  <c r="AR1139" i="1"/>
  <c r="AY1139" i="1"/>
  <c r="BE1139" i="1"/>
  <c r="BF1139" i="1"/>
  <c r="C1140" i="1"/>
  <c r="E1140" i="1"/>
  <c r="F1140" i="1"/>
  <c r="G1140" i="1"/>
  <c r="H1140" i="1"/>
  <c r="L1140" i="1"/>
  <c r="M1140" i="1"/>
  <c r="N1140" i="1"/>
  <c r="O1140" i="1"/>
  <c r="P1140" i="1"/>
  <c r="Q1140" i="1"/>
  <c r="R1140" i="1"/>
  <c r="S1140" i="1"/>
  <c r="T1140" i="1"/>
  <c r="U1140" i="1"/>
  <c r="V1140" i="1"/>
  <c r="AB1140" i="1"/>
  <c r="AI1140" i="1"/>
  <c r="AJ1140" i="1"/>
  <c r="AK1140" i="1"/>
  <c r="AP1140" i="1"/>
  <c r="AR1140" i="1"/>
  <c r="AY1140" i="1"/>
  <c r="BE1140" i="1"/>
  <c r="BF1140" i="1"/>
  <c r="C1141" i="1"/>
  <c r="E1141" i="1"/>
  <c r="F1141" i="1"/>
  <c r="G1141" i="1"/>
  <c r="H1141" i="1"/>
  <c r="L1141" i="1"/>
  <c r="M1141" i="1"/>
  <c r="N1141" i="1"/>
  <c r="O1141" i="1"/>
  <c r="P1141" i="1"/>
  <c r="Q1141" i="1"/>
  <c r="R1141" i="1"/>
  <c r="S1141" i="1"/>
  <c r="T1141" i="1"/>
  <c r="U1141" i="1"/>
  <c r="V1141" i="1"/>
  <c r="AB1141" i="1"/>
  <c r="AI1141" i="1"/>
  <c r="AJ1141" i="1"/>
  <c r="AK1141" i="1"/>
  <c r="AP1141" i="1"/>
  <c r="AR1141" i="1"/>
  <c r="AY1141" i="1"/>
  <c r="BE1141" i="1"/>
  <c r="BF1141" i="1"/>
  <c r="C1142" i="1"/>
  <c r="E1142" i="1"/>
  <c r="F1142" i="1"/>
  <c r="G1142" i="1"/>
  <c r="H1142" i="1"/>
  <c r="L1142" i="1"/>
  <c r="M1142" i="1"/>
  <c r="N1142" i="1"/>
  <c r="O1142" i="1"/>
  <c r="P1142" i="1"/>
  <c r="Q1142" i="1"/>
  <c r="R1142" i="1"/>
  <c r="S1142" i="1"/>
  <c r="T1142" i="1"/>
  <c r="U1142" i="1"/>
  <c r="V1142" i="1"/>
  <c r="AB1142" i="1"/>
  <c r="AI1142" i="1"/>
  <c r="AJ1142" i="1"/>
  <c r="AK1142" i="1"/>
  <c r="AP1142" i="1"/>
  <c r="AR1142" i="1"/>
  <c r="AY1142" i="1"/>
  <c r="BE1142" i="1"/>
  <c r="BF1142" i="1"/>
  <c r="C1143" i="1"/>
  <c r="E1143" i="1"/>
  <c r="F1143" i="1"/>
  <c r="G1143" i="1"/>
  <c r="H1143" i="1"/>
  <c r="L1143" i="1"/>
  <c r="M1143" i="1"/>
  <c r="N1143" i="1"/>
  <c r="O1143" i="1"/>
  <c r="P1143" i="1"/>
  <c r="Q1143" i="1"/>
  <c r="R1143" i="1"/>
  <c r="S1143" i="1"/>
  <c r="T1143" i="1"/>
  <c r="U1143" i="1"/>
  <c r="V1143" i="1"/>
  <c r="AB1143" i="1"/>
  <c r="AI1143" i="1"/>
  <c r="AJ1143" i="1"/>
  <c r="AK1143" i="1"/>
  <c r="AP1143" i="1"/>
  <c r="AR1143" i="1"/>
  <c r="AY1143" i="1"/>
  <c r="BE1143" i="1"/>
  <c r="BF1143" i="1"/>
  <c r="C1144" i="1"/>
  <c r="E1144" i="1"/>
  <c r="F1144" i="1"/>
  <c r="G1144" i="1"/>
  <c r="H1144" i="1"/>
  <c r="L1144" i="1"/>
  <c r="M1144" i="1"/>
  <c r="N1144" i="1"/>
  <c r="O1144" i="1"/>
  <c r="P1144" i="1"/>
  <c r="Q1144" i="1"/>
  <c r="R1144" i="1"/>
  <c r="S1144" i="1"/>
  <c r="T1144" i="1"/>
  <c r="U1144" i="1"/>
  <c r="V1144" i="1"/>
  <c r="AB1144" i="1"/>
  <c r="AI1144" i="1"/>
  <c r="AJ1144" i="1"/>
  <c r="AK1144" i="1"/>
  <c r="AP1144" i="1"/>
  <c r="AR1144" i="1"/>
  <c r="AY1144" i="1"/>
  <c r="BE1144" i="1"/>
  <c r="BF1144" i="1"/>
  <c r="C1145" i="1"/>
  <c r="E1145" i="1"/>
  <c r="F1145" i="1"/>
  <c r="G1145" i="1"/>
  <c r="H1145" i="1"/>
  <c r="L1145" i="1"/>
  <c r="M1145" i="1"/>
  <c r="N1145" i="1"/>
  <c r="O1145" i="1"/>
  <c r="P1145" i="1"/>
  <c r="Q1145" i="1"/>
  <c r="R1145" i="1"/>
  <c r="S1145" i="1"/>
  <c r="T1145" i="1"/>
  <c r="U1145" i="1"/>
  <c r="V1145" i="1"/>
  <c r="AB1145" i="1"/>
  <c r="AI1145" i="1"/>
  <c r="AJ1145" i="1"/>
  <c r="AK1145" i="1"/>
  <c r="AP1145" i="1"/>
  <c r="AR1145" i="1"/>
  <c r="AY1145" i="1"/>
  <c r="BE1145" i="1"/>
  <c r="BF1145" i="1"/>
  <c r="C1146" i="1"/>
  <c r="E1146" i="1"/>
  <c r="F1146" i="1"/>
  <c r="G1146" i="1"/>
  <c r="H1146" i="1"/>
  <c r="L1146" i="1"/>
  <c r="M1146" i="1"/>
  <c r="N1146" i="1"/>
  <c r="O1146" i="1"/>
  <c r="P1146" i="1"/>
  <c r="Q1146" i="1"/>
  <c r="R1146" i="1"/>
  <c r="S1146" i="1"/>
  <c r="T1146" i="1"/>
  <c r="U1146" i="1"/>
  <c r="V1146" i="1"/>
  <c r="AB1146" i="1"/>
  <c r="AI1146" i="1"/>
  <c r="AJ1146" i="1"/>
  <c r="AK1146" i="1"/>
  <c r="AP1146" i="1"/>
  <c r="AR1146" i="1"/>
  <c r="AY1146" i="1"/>
  <c r="BE1146" i="1"/>
  <c r="BF1146" i="1"/>
  <c r="C1147" i="1"/>
  <c r="E1147" i="1"/>
  <c r="F1147" i="1"/>
  <c r="G1147" i="1"/>
  <c r="H1147" i="1"/>
  <c r="L1147" i="1"/>
  <c r="M1147" i="1"/>
  <c r="N1147" i="1"/>
  <c r="O1147" i="1"/>
  <c r="P1147" i="1"/>
  <c r="Q1147" i="1"/>
  <c r="R1147" i="1"/>
  <c r="S1147" i="1"/>
  <c r="T1147" i="1"/>
  <c r="U1147" i="1"/>
  <c r="V1147" i="1"/>
  <c r="AB1147" i="1"/>
  <c r="AI1147" i="1"/>
  <c r="AJ1147" i="1"/>
  <c r="AK1147" i="1"/>
  <c r="AP1147" i="1"/>
  <c r="AR1147" i="1"/>
  <c r="AY1147" i="1"/>
  <c r="BE1147" i="1"/>
  <c r="BF1147" i="1"/>
  <c r="C1148" i="1"/>
  <c r="E1148" i="1"/>
  <c r="F1148" i="1"/>
  <c r="G1148" i="1"/>
  <c r="H1148" i="1"/>
  <c r="L1148" i="1"/>
  <c r="M1148" i="1"/>
  <c r="N1148" i="1"/>
  <c r="O1148" i="1"/>
  <c r="P1148" i="1"/>
  <c r="Q1148" i="1"/>
  <c r="R1148" i="1"/>
  <c r="S1148" i="1"/>
  <c r="T1148" i="1"/>
  <c r="U1148" i="1"/>
  <c r="V1148" i="1"/>
  <c r="AB1148" i="1"/>
  <c r="AI1148" i="1"/>
  <c r="AJ1148" i="1"/>
  <c r="AK1148" i="1"/>
  <c r="AP1148" i="1"/>
  <c r="AR1148" i="1"/>
  <c r="AY1148" i="1"/>
  <c r="BE1148" i="1"/>
  <c r="BF1148" i="1"/>
  <c r="C1149" i="1"/>
  <c r="E1149" i="1"/>
  <c r="F1149" i="1"/>
  <c r="G1149" i="1"/>
  <c r="H1149" i="1"/>
  <c r="L1149" i="1"/>
  <c r="M1149" i="1"/>
  <c r="N1149" i="1"/>
  <c r="O1149" i="1"/>
  <c r="P1149" i="1"/>
  <c r="Q1149" i="1"/>
  <c r="R1149" i="1"/>
  <c r="S1149" i="1"/>
  <c r="T1149" i="1"/>
  <c r="U1149" i="1"/>
  <c r="V1149" i="1"/>
  <c r="AB1149" i="1"/>
  <c r="AI1149" i="1"/>
  <c r="AJ1149" i="1"/>
  <c r="AK1149" i="1"/>
  <c r="AP1149" i="1"/>
  <c r="AR1149" i="1"/>
  <c r="AY1149" i="1"/>
  <c r="BE1149" i="1"/>
  <c r="BF1149" i="1"/>
  <c r="C1150" i="1"/>
  <c r="E1150" i="1"/>
  <c r="F1150" i="1"/>
  <c r="G1150" i="1"/>
  <c r="H1150" i="1"/>
  <c r="L1150" i="1"/>
  <c r="M1150" i="1"/>
  <c r="N1150" i="1"/>
  <c r="O1150" i="1"/>
  <c r="P1150" i="1"/>
  <c r="Q1150" i="1"/>
  <c r="R1150" i="1"/>
  <c r="S1150" i="1"/>
  <c r="T1150" i="1"/>
  <c r="U1150" i="1"/>
  <c r="V1150" i="1"/>
  <c r="AB1150" i="1"/>
  <c r="AI1150" i="1"/>
  <c r="AJ1150" i="1"/>
  <c r="AK1150" i="1"/>
  <c r="AP1150" i="1"/>
  <c r="AR1150" i="1"/>
  <c r="AY1150" i="1"/>
  <c r="BE1150" i="1"/>
  <c r="BF1150" i="1"/>
  <c r="C1151" i="1"/>
  <c r="E1151" i="1"/>
  <c r="F1151" i="1"/>
  <c r="G1151" i="1"/>
  <c r="H1151" i="1"/>
  <c r="L1151" i="1"/>
  <c r="M1151" i="1"/>
  <c r="N1151" i="1"/>
  <c r="O1151" i="1"/>
  <c r="P1151" i="1"/>
  <c r="Q1151" i="1"/>
  <c r="R1151" i="1"/>
  <c r="S1151" i="1"/>
  <c r="T1151" i="1"/>
  <c r="U1151" i="1"/>
  <c r="V1151" i="1"/>
  <c r="AB1151" i="1"/>
  <c r="AI1151" i="1"/>
  <c r="AJ1151" i="1"/>
  <c r="AK1151" i="1"/>
  <c r="AP1151" i="1"/>
  <c r="AR1151" i="1"/>
  <c r="AY1151" i="1"/>
  <c r="BE1151" i="1"/>
  <c r="BF1151" i="1"/>
  <c r="C1152" i="1"/>
  <c r="E1152" i="1"/>
  <c r="F1152" i="1"/>
  <c r="G1152" i="1"/>
  <c r="H1152" i="1"/>
  <c r="L1152" i="1"/>
  <c r="M1152" i="1"/>
  <c r="N1152" i="1"/>
  <c r="O1152" i="1"/>
  <c r="P1152" i="1"/>
  <c r="Q1152" i="1"/>
  <c r="R1152" i="1"/>
  <c r="S1152" i="1"/>
  <c r="T1152" i="1"/>
  <c r="U1152" i="1"/>
  <c r="V1152" i="1"/>
  <c r="AB1152" i="1"/>
  <c r="AI1152" i="1"/>
  <c r="AJ1152" i="1"/>
  <c r="AK1152" i="1"/>
  <c r="AP1152" i="1"/>
  <c r="AR1152" i="1"/>
  <c r="AY1152" i="1"/>
  <c r="BE1152" i="1"/>
  <c r="BF1152" i="1"/>
  <c r="C1153" i="1"/>
  <c r="E1153" i="1"/>
  <c r="F1153" i="1"/>
  <c r="G1153" i="1"/>
  <c r="H1153" i="1"/>
  <c r="L1153" i="1"/>
  <c r="M1153" i="1"/>
  <c r="N1153" i="1"/>
  <c r="O1153" i="1"/>
  <c r="P1153" i="1"/>
  <c r="Q1153" i="1"/>
  <c r="R1153" i="1"/>
  <c r="S1153" i="1"/>
  <c r="T1153" i="1"/>
  <c r="U1153" i="1"/>
  <c r="V1153" i="1"/>
  <c r="AB1153" i="1"/>
  <c r="AI1153" i="1"/>
  <c r="AJ1153" i="1"/>
  <c r="AK1153" i="1"/>
  <c r="AP1153" i="1"/>
  <c r="AR1153" i="1"/>
  <c r="AY1153" i="1"/>
  <c r="BE1153" i="1"/>
  <c r="BF1153" i="1"/>
  <c r="C1154" i="1"/>
  <c r="E1154" i="1"/>
  <c r="F1154" i="1"/>
  <c r="G1154" i="1"/>
  <c r="H1154" i="1"/>
  <c r="L1154" i="1"/>
  <c r="M1154" i="1"/>
  <c r="N1154" i="1"/>
  <c r="O1154" i="1"/>
  <c r="P1154" i="1"/>
  <c r="Q1154" i="1"/>
  <c r="R1154" i="1"/>
  <c r="S1154" i="1"/>
  <c r="T1154" i="1"/>
  <c r="U1154" i="1"/>
  <c r="V1154" i="1"/>
  <c r="AB1154" i="1"/>
  <c r="AI1154" i="1"/>
  <c r="AJ1154" i="1"/>
  <c r="AK1154" i="1"/>
  <c r="AP1154" i="1"/>
  <c r="AR1154" i="1"/>
  <c r="AY1154" i="1"/>
  <c r="BE1154" i="1"/>
  <c r="BF1154" i="1"/>
  <c r="C1155" i="1"/>
  <c r="E1155" i="1"/>
  <c r="F1155" i="1"/>
  <c r="G1155" i="1"/>
  <c r="H1155" i="1"/>
  <c r="L1155" i="1"/>
  <c r="M1155" i="1"/>
  <c r="N1155" i="1"/>
  <c r="O1155" i="1"/>
  <c r="P1155" i="1"/>
  <c r="Q1155" i="1"/>
  <c r="R1155" i="1"/>
  <c r="S1155" i="1"/>
  <c r="T1155" i="1"/>
  <c r="U1155" i="1"/>
  <c r="V1155" i="1"/>
  <c r="AB1155" i="1"/>
  <c r="AI1155" i="1"/>
  <c r="AJ1155" i="1"/>
  <c r="AK1155" i="1"/>
  <c r="AP1155" i="1"/>
  <c r="AR1155" i="1"/>
  <c r="AY1155" i="1"/>
  <c r="BE1155" i="1"/>
  <c r="BF1155" i="1"/>
  <c r="C1156" i="1"/>
  <c r="E1156" i="1"/>
  <c r="F1156" i="1"/>
  <c r="G1156" i="1"/>
  <c r="H1156" i="1"/>
  <c r="L1156" i="1"/>
  <c r="M1156" i="1"/>
  <c r="N1156" i="1"/>
  <c r="O1156" i="1"/>
  <c r="P1156" i="1"/>
  <c r="Q1156" i="1"/>
  <c r="R1156" i="1"/>
  <c r="S1156" i="1"/>
  <c r="T1156" i="1"/>
  <c r="U1156" i="1"/>
  <c r="V1156" i="1"/>
  <c r="AB1156" i="1"/>
  <c r="AI1156" i="1"/>
  <c r="AJ1156" i="1"/>
  <c r="AK1156" i="1"/>
  <c r="AP1156" i="1"/>
  <c r="AR1156" i="1"/>
  <c r="AY1156" i="1"/>
  <c r="BE1156" i="1"/>
  <c r="BF1156" i="1"/>
  <c r="C1157" i="1"/>
  <c r="E1157" i="1"/>
  <c r="F1157" i="1"/>
  <c r="G1157" i="1"/>
  <c r="H1157" i="1"/>
  <c r="L1157" i="1"/>
  <c r="M1157" i="1"/>
  <c r="N1157" i="1"/>
  <c r="O1157" i="1"/>
  <c r="P1157" i="1"/>
  <c r="Q1157" i="1"/>
  <c r="R1157" i="1"/>
  <c r="S1157" i="1"/>
  <c r="T1157" i="1"/>
  <c r="U1157" i="1"/>
  <c r="V1157" i="1"/>
  <c r="AB1157" i="1"/>
  <c r="AI1157" i="1"/>
  <c r="AJ1157" i="1"/>
  <c r="AK1157" i="1"/>
  <c r="AP1157" i="1"/>
  <c r="AR1157" i="1"/>
  <c r="AY1157" i="1"/>
  <c r="BE1157" i="1"/>
  <c r="BF1157" i="1"/>
  <c r="C1158" i="1"/>
  <c r="E1158" i="1"/>
  <c r="F1158" i="1"/>
  <c r="G1158" i="1"/>
  <c r="H1158" i="1"/>
  <c r="L1158" i="1"/>
  <c r="M1158" i="1"/>
  <c r="N1158" i="1"/>
  <c r="O1158" i="1"/>
  <c r="P1158" i="1"/>
  <c r="Q1158" i="1"/>
  <c r="R1158" i="1"/>
  <c r="S1158" i="1"/>
  <c r="T1158" i="1"/>
  <c r="U1158" i="1"/>
  <c r="V1158" i="1"/>
  <c r="AB1158" i="1"/>
  <c r="AI1158" i="1"/>
  <c r="AJ1158" i="1"/>
  <c r="AK1158" i="1"/>
  <c r="AP1158" i="1"/>
  <c r="AR1158" i="1"/>
  <c r="AY1158" i="1"/>
  <c r="BE1158" i="1"/>
  <c r="BF1158" i="1"/>
  <c r="C1159" i="1"/>
  <c r="E1159" i="1"/>
  <c r="F1159" i="1"/>
  <c r="G1159" i="1"/>
  <c r="H1159" i="1"/>
  <c r="L1159" i="1"/>
  <c r="M1159" i="1"/>
  <c r="N1159" i="1"/>
  <c r="O1159" i="1"/>
  <c r="P1159" i="1"/>
  <c r="Q1159" i="1"/>
  <c r="R1159" i="1"/>
  <c r="S1159" i="1"/>
  <c r="T1159" i="1"/>
  <c r="U1159" i="1"/>
  <c r="V1159" i="1"/>
  <c r="AB1159" i="1"/>
  <c r="AI1159" i="1"/>
  <c r="AJ1159" i="1"/>
  <c r="AK1159" i="1"/>
  <c r="AP1159" i="1"/>
  <c r="AR1159" i="1"/>
  <c r="AY1159" i="1"/>
  <c r="BE1159" i="1"/>
  <c r="BF1159" i="1"/>
  <c r="C1160" i="1"/>
  <c r="E1160" i="1"/>
  <c r="F1160" i="1"/>
  <c r="G1160" i="1"/>
  <c r="H1160" i="1"/>
  <c r="L1160" i="1"/>
  <c r="M1160" i="1"/>
  <c r="N1160" i="1"/>
  <c r="O1160" i="1"/>
  <c r="P1160" i="1"/>
  <c r="Q1160" i="1"/>
  <c r="R1160" i="1"/>
  <c r="S1160" i="1"/>
  <c r="T1160" i="1"/>
  <c r="U1160" i="1"/>
  <c r="V1160" i="1"/>
  <c r="AB1160" i="1"/>
  <c r="AI1160" i="1"/>
  <c r="AJ1160" i="1"/>
  <c r="AK1160" i="1"/>
  <c r="AP1160" i="1"/>
  <c r="AR1160" i="1"/>
  <c r="AY1160" i="1"/>
  <c r="BE1160" i="1"/>
  <c r="BF1160" i="1"/>
  <c r="C1161" i="1"/>
  <c r="E1161" i="1"/>
  <c r="F1161" i="1"/>
  <c r="G1161" i="1"/>
  <c r="H1161" i="1"/>
  <c r="L1161" i="1"/>
  <c r="M1161" i="1"/>
  <c r="N1161" i="1"/>
  <c r="O1161" i="1"/>
  <c r="P1161" i="1"/>
  <c r="Q1161" i="1"/>
  <c r="R1161" i="1"/>
  <c r="S1161" i="1"/>
  <c r="T1161" i="1"/>
  <c r="U1161" i="1"/>
  <c r="V1161" i="1"/>
  <c r="AB1161" i="1"/>
  <c r="AI1161" i="1"/>
  <c r="AJ1161" i="1"/>
  <c r="AK1161" i="1"/>
  <c r="AP1161" i="1"/>
  <c r="AR1161" i="1"/>
  <c r="AY1161" i="1"/>
  <c r="BE1161" i="1"/>
  <c r="BF1161" i="1"/>
  <c r="C1162" i="1"/>
  <c r="E1162" i="1"/>
  <c r="F1162" i="1"/>
  <c r="G1162" i="1"/>
  <c r="H1162" i="1"/>
  <c r="L1162" i="1"/>
  <c r="M1162" i="1"/>
  <c r="N1162" i="1"/>
  <c r="O1162" i="1"/>
  <c r="P1162" i="1"/>
  <c r="Q1162" i="1"/>
  <c r="R1162" i="1"/>
  <c r="S1162" i="1"/>
  <c r="T1162" i="1"/>
  <c r="U1162" i="1"/>
  <c r="V1162" i="1"/>
  <c r="AB1162" i="1"/>
  <c r="AI1162" i="1"/>
  <c r="AJ1162" i="1"/>
  <c r="AK1162" i="1"/>
  <c r="AP1162" i="1"/>
  <c r="AR1162" i="1"/>
  <c r="AY1162" i="1"/>
  <c r="BE1162" i="1"/>
  <c r="BF1162" i="1"/>
  <c r="C1163" i="1"/>
  <c r="E1163" i="1"/>
  <c r="F1163" i="1"/>
  <c r="G1163" i="1"/>
  <c r="H1163" i="1"/>
  <c r="L1163" i="1"/>
  <c r="M1163" i="1"/>
  <c r="N1163" i="1"/>
  <c r="O1163" i="1"/>
  <c r="P1163" i="1"/>
  <c r="Q1163" i="1"/>
  <c r="R1163" i="1"/>
  <c r="S1163" i="1"/>
  <c r="T1163" i="1"/>
  <c r="U1163" i="1"/>
  <c r="V1163" i="1"/>
  <c r="AB1163" i="1"/>
  <c r="AI1163" i="1"/>
  <c r="AJ1163" i="1"/>
  <c r="AK1163" i="1"/>
  <c r="AP1163" i="1"/>
  <c r="AR1163" i="1"/>
  <c r="AY1163" i="1"/>
  <c r="BE1163" i="1"/>
  <c r="BF1163" i="1"/>
  <c r="C1164" i="1"/>
  <c r="E1164" i="1"/>
  <c r="F1164" i="1"/>
  <c r="G1164" i="1"/>
  <c r="H1164" i="1"/>
  <c r="L1164" i="1"/>
  <c r="M1164" i="1"/>
  <c r="N1164" i="1"/>
  <c r="O1164" i="1"/>
  <c r="P1164" i="1"/>
  <c r="Q1164" i="1"/>
  <c r="R1164" i="1"/>
  <c r="S1164" i="1"/>
  <c r="T1164" i="1"/>
  <c r="U1164" i="1"/>
  <c r="V1164" i="1"/>
  <c r="AB1164" i="1"/>
  <c r="AI1164" i="1"/>
  <c r="AJ1164" i="1"/>
  <c r="AK1164" i="1"/>
  <c r="AP1164" i="1"/>
  <c r="AR1164" i="1"/>
  <c r="AY1164" i="1"/>
  <c r="BE1164" i="1"/>
  <c r="BF1164" i="1"/>
  <c r="C1165" i="1"/>
  <c r="E1165" i="1"/>
  <c r="F1165" i="1"/>
  <c r="G1165" i="1"/>
  <c r="H1165" i="1"/>
  <c r="L1165" i="1"/>
  <c r="M1165" i="1"/>
  <c r="N1165" i="1"/>
  <c r="O1165" i="1"/>
  <c r="P1165" i="1"/>
  <c r="Q1165" i="1"/>
  <c r="R1165" i="1"/>
  <c r="S1165" i="1"/>
  <c r="T1165" i="1"/>
  <c r="U1165" i="1"/>
  <c r="V1165" i="1"/>
  <c r="AB1165" i="1"/>
  <c r="AI1165" i="1"/>
  <c r="AJ1165" i="1"/>
  <c r="AK1165" i="1"/>
  <c r="AP1165" i="1"/>
  <c r="AR1165" i="1"/>
  <c r="AY1165" i="1"/>
  <c r="BE1165" i="1"/>
  <c r="BF1165" i="1"/>
  <c r="C1166" i="1"/>
  <c r="E1166" i="1"/>
  <c r="F1166" i="1"/>
  <c r="G1166" i="1"/>
  <c r="H1166" i="1"/>
  <c r="L1166" i="1"/>
  <c r="M1166" i="1"/>
  <c r="N1166" i="1"/>
  <c r="O1166" i="1"/>
  <c r="P1166" i="1"/>
  <c r="Q1166" i="1"/>
  <c r="R1166" i="1"/>
  <c r="S1166" i="1"/>
  <c r="T1166" i="1"/>
  <c r="U1166" i="1"/>
  <c r="V1166" i="1"/>
  <c r="AB1166" i="1"/>
  <c r="AI1166" i="1"/>
  <c r="AJ1166" i="1"/>
  <c r="AK1166" i="1"/>
  <c r="AP1166" i="1"/>
  <c r="AR1166" i="1"/>
  <c r="AY1166" i="1"/>
  <c r="BE1166" i="1"/>
  <c r="BF1166" i="1"/>
  <c r="C1167" i="1"/>
  <c r="E1167" i="1"/>
  <c r="F1167" i="1"/>
  <c r="G1167" i="1"/>
  <c r="H1167" i="1"/>
  <c r="L1167" i="1"/>
  <c r="M1167" i="1"/>
  <c r="N1167" i="1"/>
  <c r="O1167" i="1"/>
  <c r="P1167" i="1"/>
  <c r="Q1167" i="1"/>
  <c r="R1167" i="1"/>
  <c r="S1167" i="1"/>
  <c r="T1167" i="1"/>
  <c r="U1167" i="1"/>
  <c r="V1167" i="1"/>
  <c r="AB1167" i="1"/>
  <c r="AI1167" i="1"/>
  <c r="AJ1167" i="1"/>
  <c r="AK1167" i="1"/>
  <c r="AP1167" i="1"/>
  <c r="AR1167" i="1"/>
  <c r="AY1167" i="1"/>
  <c r="BE1167" i="1"/>
  <c r="BF1167" i="1"/>
  <c r="C1168" i="1"/>
  <c r="E1168" i="1"/>
  <c r="F1168" i="1"/>
  <c r="G1168" i="1"/>
  <c r="H1168" i="1"/>
  <c r="L1168" i="1"/>
  <c r="M1168" i="1"/>
  <c r="N1168" i="1"/>
  <c r="O1168" i="1"/>
  <c r="P1168" i="1"/>
  <c r="Q1168" i="1"/>
  <c r="R1168" i="1"/>
  <c r="S1168" i="1"/>
  <c r="T1168" i="1"/>
  <c r="U1168" i="1"/>
  <c r="V1168" i="1"/>
  <c r="AB1168" i="1"/>
  <c r="AI1168" i="1"/>
  <c r="AJ1168" i="1"/>
  <c r="AK1168" i="1"/>
  <c r="AP1168" i="1"/>
  <c r="AR1168" i="1"/>
  <c r="AY1168" i="1"/>
  <c r="BE1168" i="1"/>
  <c r="BF1168" i="1"/>
  <c r="C1169" i="1"/>
  <c r="E1169" i="1"/>
  <c r="F1169" i="1"/>
  <c r="G1169" i="1"/>
  <c r="H1169" i="1"/>
  <c r="L1169" i="1"/>
  <c r="M1169" i="1"/>
  <c r="N1169" i="1"/>
  <c r="O1169" i="1"/>
  <c r="P1169" i="1"/>
  <c r="Q1169" i="1"/>
  <c r="R1169" i="1"/>
  <c r="S1169" i="1"/>
  <c r="T1169" i="1"/>
  <c r="U1169" i="1"/>
  <c r="V1169" i="1"/>
  <c r="AB1169" i="1"/>
  <c r="AI1169" i="1"/>
  <c r="AJ1169" i="1"/>
  <c r="AK1169" i="1"/>
  <c r="AP1169" i="1"/>
  <c r="AR1169" i="1"/>
  <c r="AY1169" i="1"/>
  <c r="BE1169" i="1"/>
  <c r="BF1169" i="1"/>
  <c r="C1170" i="1"/>
  <c r="E1170" i="1"/>
  <c r="F1170" i="1"/>
  <c r="G1170" i="1"/>
  <c r="H1170" i="1"/>
  <c r="L1170" i="1"/>
  <c r="M1170" i="1"/>
  <c r="N1170" i="1"/>
  <c r="O1170" i="1"/>
  <c r="P1170" i="1"/>
  <c r="Q1170" i="1"/>
  <c r="R1170" i="1"/>
  <c r="S1170" i="1"/>
  <c r="T1170" i="1"/>
  <c r="U1170" i="1"/>
  <c r="V1170" i="1"/>
  <c r="AB1170" i="1"/>
  <c r="AI1170" i="1"/>
  <c r="AJ1170" i="1"/>
  <c r="AK1170" i="1"/>
  <c r="AP1170" i="1"/>
  <c r="AR1170" i="1"/>
  <c r="AY1170" i="1"/>
  <c r="BE1170" i="1"/>
  <c r="BF1170" i="1"/>
  <c r="C1171" i="1"/>
  <c r="E1171" i="1"/>
  <c r="F1171" i="1"/>
  <c r="G1171" i="1"/>
  <c r="H1171" i="1"/>
  <c r="L1171" i="1"/>
  <c r="M1171" i="1"/>
  <c r="N1171" i="1"/>
  <c r="O1171" i="1"/>
  <c r="P1171" i="1"/>
  <c r="Q1171" i="1"/>
  <c r="R1171" i="1"/>
  <c r="S1171" i="1"/>
  <c r="T1171" i="1"/>
  <c r="U1171" i="1"/>
  <c r="V1171" i="1"/>
  <c r="AB1171" i="1"/>
  <c r="AI1171" i="1"/>
  <c r="AJ1171" i="1"/>
  <c r="AK1171" i="1"/>
  <c r="AP1171" i="1"/>
  <c r="AR1171" i="1"/>
  <c r="AY1171" i="1"/>
  <c r="BE1171" i="1"/>
  <c r="BF1171" i="1"/>
  <c r="C1172" i="1"/>
  <c r="E1172" i="1"/>
  <c r="F1172" i="1"/>
  <c r="G1172" i="1"/>
  <c r="H1172" i="1"/>
  <c r="L1172" i="1"/>
  <c r="M1172" i="1"/>
  <c r="N1172" i="1"/>
  <c r="O1172" i="1"/>
  <c r="P1172" i="1"/>
  <c r="Q1172" i="1"/>
  <c r="R1172" i="1"/>
  <c r="S1172" i="1"/>
  <c r="T1172" i="1"/>
  <c r="U1172" i="1"/>
  <c r="V1172" i="1"/>
  <c r="AB1172" i="1"/>
  <c r="AI1172" i="1"/>
  <c r="AJ1172" i="1"/>
  <c r="AK1172" i="1"/>
  <c r="AP1172" i="1"/>
  <c r="AR1172" i="1"/>
  <c r="AY1172" i="1"/>
  <c r="BE1172" i="1"/>
  <c r="BF1172" i="1"/>
  <c r="C1173" i="1"/>
  <c r="E1173" i="1"/>
  <c r="F1173" i="1"/>
  <c r="G1173" i="1"/>
  <c r="H1173" i="1"/>
  <c r="L1173" i="1"/>
  <c r="M1173" i="1"/>
  <c r="N1173" i="1"/>
  <c r="O1173" i="1"/>
  <c r="P1173" i="1"/>
  <c r="Q1173" i="1"/>
  <c r="R1173" i="1"/>
  <c r="S1173" i="1"/>
  <c r="T1173" i="1"/>
  <c r="U1173" i="1"/>
  <c r="V1173" i="1"/>
  <c r="AB1173" i="1"/>
  <c r="AI1173" i="1"/>
  <c r="AJ1173" i="1"/>
  <c r="AK1173" i="1"/>
  <c r="AP1173" i="1"/>
  <c r="AR1173" i="1"/>
  <c r="AY1173" i="1"/>
  <c r="BE1173" i="1"/>
  <c r="BF1173" i="1"/>
  <c r="C1174" i="1"/>
  <c r="E1174" i="1"/>
  <c r="F1174" i="1"/>
  <c r="G1174" i="1"/>
  <c r="H1174" i="1"/>
  <c r="L1174" i="1"/>
  <c r="M1174" i="1"/>
  <c r="N1174" i="1"/>
  <c r="O1174" i="1"/>
  <c r="P1174" i="1"/>
  <c r="Q1174" i="1"/>
  <c r="R1174" i="1"/>
  <c r="S1174" i="1"/>
  <c r="T1174" i="1"/>
  <c r="U1174" i="1"/>
  <c r="V1174" i="1"/>
  <c r="AB1174" i="1"/>
  <c r="AI1174" i="1"/>
  <c r="AJ1174" i="1"/>
  <c r="AK1174" i="1"/>
  <c r="AP1174" i="1"/>
  <c r="AR1174" i="1"/>
  <c r="AY1174" i="1"/>
  <c r="BE1174" i="1"/>
  <c r="BF1174" i="1"/>
  <c r="C1175" i="1"/>
  <c r="E1175" i="1"/>
  <c r="F1175" i="1"/>
  <c r="G1175" i="1"/>
  <c r="H1175" i="1"/>
  <c r="L1175" i="1"/>
  <c r="M1175" i="1"/>
  <c r="N1175" i="1"/>
  <c r="O1175" i="1"/>
  <c r="P1175" i="1"/>
  <c r="Q1175" i="1"/>
  <c r="R1175" i="1"/>
  <c r="S1175" i="1"/>
  <c r="T1175" i="1"/>
  <c r="U1175" i="1"/>
  <c r="V1175" i="1"/>
  <c r="AB1175" i="1"/>
  <c r="AI1175" i="1"/>
  <c r="AJ1175" i="1"/>
  <c r="AK1175" i="1"/>
  <c r="AP1175" i="1"/>
  <c r="AR1175" i="1"/>
  <c r="AY1175" i="1"/>
  <c r="BE1175" i="1"/>
  <c r="BF1175" i="1"/>
  <c r="C1176" i="1"/>
  <c r="E1176" i="1"/>
  <c r="F1176" i="1"/>
  <c r="G1176" i="1"/>
  <c r="H1176" i="1"/>
  <c r="L1176" i="1"/>
  <c r="M1176" i="1"/>
  <c r="N1176" i="1"/>
  <c r="O1176" i="1"/>
  <c r="P1176" i="1"/>
  <c r="Q1176" i="1"/>
  <c r="R1176" i="1"/>
  <c r="S1176" i="1"/>
  <c r="T1176" i="1"/>
  <c r="U1176" i="1"/>
  <c r="V1176" i="1"/>
  <c r="AB1176" i="1"/>
  <c r="AI1176" i="1"/>
  <c r="AJ1176" i="1"/>
  <c r="AK1176" i="1"/>
  <c r="AP1176" i="1"/>
  <c r="AR1176" i="1"/>
  <c r="AY1176" i="1"/>
  <c r="BE1176" i="1"/>
  <c r="BF1176" i="1"/>
  <c r="C1177" i="1"/>
  <c r="E1177" i="1"/>
  <c r="F1177" i="1"/>
  <c r="G1177" i="1"/>
  <c r="H1177" i="1"/>
  <c r="L1177" i="1"/>
  <c r="M1177" i="1"/>
  <c r="N1177" i="1"/>
  <c r="O1177" i="1"/>
  <c r="P1177" i="1"/>
  <c r="Q1177" i="1"/>
  <c r="R1177" i="1"/>
  <c r="S1177" i="1"/>
  <c r="T1177" i="1"/>
  <c r="U1177" i="1"/>
  <c r="V1177" i="1"/>
  <c r="AB1177" i="1"/>
  <c r="AI1177" i="1"/>
  <c r="AJ1177" i="1"/>
  <c r="AK1177" i="1"/>
  <c r="AP1177" i="1"/>
  <c r="AR1177" i="1"/>
  <c r="AY1177" i="1"/>
  <c r="BE1177" i="1"/>
  <c r="BF1177" i="1"/>
  <c r="C1178" i="1"/>
  <c r="E1178" i="1"/>
  <c r="F1178" i="1"/>
  <c r="G1178" i="1"/>
  <c r="H1178" i="1"/>
  <c r="L1178" i="1"/>
  <c r="M1178" i="1"/>
  <c r="N1178" i="1"/>
  <c r="O1178" i="1"/>
  <c r="P1178" i="1"/>
  <c r="Q1178" i="1"/>
  <c r="R1178" i="1"/>
  <c r="S1178" i="1"/>
  <c r="T1178" i="1"/>
  <c r="U1178" i="1"/>
  <c r="V1178" i="1"/>
  <c r="AB1178" i="1"/>
  <c r="AI1178" i="1"/>
  <c r="AJ1178" i="1"/>
  <c r="AK1178" i="1"/>
  <c r="AP1178" i="1"/>
  <c r="AR1178" i="1"/>
  <c r="AY1178" i="1"/>
  <c r="BE1178" i="1"/>
  <c r="BF1178" i="1"/>
  <c r="C1179" i="1"/>
  <c r="E1179" i="1"/>
  <c r="F1179" i="1"/>
  <c r="G1179" i="1"/>
  <c r="H1179" i="1"/>
  <c r="L1179" i="1"/>
  <c r="M1179" i="1"/>
  <c r="N1179" i="1"/>
  <c r="O1179" i="1"/>
  <c r="P1179" i="1"/>
  <c r="Q1179" i="1"/>
  <c r="R1179" i="1"/>
  <c r="S1179" i="1"/>
  <c r="T1179" i="1"/>
  <c r="U1179" i="1"/>
  <c r="V1179" i="1"/>
  <c r="AB1179" i="1"/>
  <c r="AI1179" i="1"/>
  <c r="AJ1179" i="1"/>
  <c r="AK1179" i="1"/>
  <c r="AP1179" i="1"/>
  <c r="AR1179" i="1"/>
  <c r="AY1179" i="1"/>
  <c r="BE1179" i="1"/>
  <c r="BF1179" i="1"/>
  <c r="C1180" i="1"/>
  <c r="E1180" i="1"/>
  <c r="F1180" i="1"/>
  <c r="G1180" i="1"/>
  <c r="H1180" i="1"/>
  <c r="L1180" i="1"/>
  <c r="M1180" i="1"/>
  <c r="N1180" i="1"/>
  <c r="O1180" i="1"/>
  <c r="P1180" i="1"/>
  <c r="Q1180" i="1"/>
  <c r="R1180" i="1"/>
  <c r="S1180" i="1"/>
  <c r="T1180" i="1"/>
  <c r="U1180" i="1"/>
  <c r="V1180" i="1"/>
  <c r="AB1180" i="1"/>
  <c r="AI1180" i="1"/>
  <c r="AJ1180" i="1"/>
  <c r="AK1180" i="1"/>
  <c r="AP1180" i="1"/>
  <c r="AR1180" i="1"/>
  <c r="AY1180" i="1"/>
  <c r="BE1180" i="1"/>
  <c r="BF1180" i="1"/>
  <c r="C1181" i="1"/>
  <c r="E1181" i="1"/>
  <c r="F1181" i="1"/>
  <c r="G1181" i="1"/>
  <c r="H1181" i="1"/>
  <c r="L1181" i="1"/>
  <c r="M1181" i="1"/>
  <c r="N1181" i="1"/>
  <c r="O1181" i="1"/>
  <c r="P1181" i="1"/>
  <c r="Q1181" i="1"/>
  <c r="R1181" i="1"/>
  <c r="S1181" i="1"/>
  <c r="T1181" i="1"/>
  <c r="U1181" i="1"/>
  <c r="V1181" i="1"/>
  <c r="AB1181" i="1"/>
  <c r="AI1181" i="1"/>
  <c r="AJ1181" i="1"/>
  <c r="AK1181" i="1"/>
  <c r="AP1181" i="1"/>
  <c r="AR1181" i="1"/>
  <c r="AY1181" i="1"/>
  <c r="BE1181" i="1"/>
  <c r="BF1181" i="1"/>
  <c r="C1182" i="1"/>
  <c r="E1182" i="1"/>
  <c r="F1182" i="1"/>
  <c r="G1182" i="1"/>
  <c r="H1182" i="1"/>
  <c r="L1182" i="1"/>
  <c r="M1182" i="1"/>
  <c r="N1182" i="1"/>
  <c r="O1182" i="1"/>
  <c r="P1182" i="1"/>
  <c r="Q1182" i="1"/>
  <c r="R1182" i="1"/>
  <c r="S1182" i="1"/>
  <c r="T1182" i="1"/>
  <c r="U1182" i="1"/>
  <c r="V1182" i="1"/>
  <c r="AB1182" i="1"/>
  <c r="AI1182" i="1"/>
  <c r="AJ1182" i="1"/>
  <c r="AK1182" i="1"/>
  <c r="AP1182" i="1"/>
  <c r="AR1182" i="1"/>
  <c r="AY1182" i="1"/>
  <c r="BE1182" i="1"/>
  <c r="BF1182" i="1"/>
  <c r="C1183" i="1"/>
  <c r="E1183" i="1"/>
  <c r="F1183" i="1"/>
  <c r="G1183" i="1"/>
  <c r="H1183" i="1"/>
  <c r="L1183" i="1"/>
  <c r="M1183" i="1"/>
  <c r="N1183" i="1"/>
  <c r="O1183" i="1"/>
  <c r="P1183" i="1"/>
  <c r="Q1183" i="1"/>
  <c r="R1183" i="1"/>
  <c r="S1183" i="1"/>
  <c r="T1183" i="1"/>
  <c r="U1183" i="1"/>
  <c r="V1183" i="1"/>
  <c r="AB1183" i="1"/>
  <c r="AI1183" i="1"/>
  <c r="AJ1183" i="1"/>
  <c r="AK1183" i="1"/>
  <c r="AP1183" i="1"/>
  <c r="AR1183" i="1"/>
  <c r="AY1183" i="1"/>
  <c r="BE1183" i="1"/>
  <c r="BF1183" i="1"/>
  <c r="C1184" i="1"/>
  <c r="E1184" i="1"/>
  <c r="F1184" i="1"/>
  <c r="G1184" i="1"/>
  <c r="H1184" i="1"/>
  <c r="L1184" i="1"/>
  <c r="M1184" i="1"/>
  <c r="N1184" i="1"/>
  <c r="O1184" i="1"/>
  <c r="P1184" i="1"/>
  <c r="Q1184" i="1"/>
  <c r="R1184" i="1"/>
  <c r="S1184" i="1"/>
  <c r="T1184" i="1"/>
  <c r="U1184" i="1"/>
  <c r="V1184" i="1"/>
  <c r="AB1184" i="1"/>
  <c r="AI1184" i="1"/>
  <c r="AJ1184" i="1"/>
  <c r="AK1184" i="1"/>
  <c r="AP1184" i="1"/>
  <c r="AR1184" i="1"/>
  <c r="AY1184" i="1"/>
  <c r="BE1184" i="1"/>
  <c r="BF1184" i="1"/>
  <c r="C1185" i="1"/>
  <c r="E1185" i="1"/>
  <c r="F1185" i="1"/>
  <c r="G1185" i="1"/>
  <c r="H1185" i="1"/>
  <c r="L1185" i="1"/>
  <c r="M1185" i="1"/>
  <c r="N1185" i="1"/>
  <c r="O1185" i="1"/>
  <c r="P1185" i="1"/>
  <c r="Q1185" i="1"/>
  <c r="R1185" i="1"/>
  <c r="S1185" i="1"/>
  <c r="T1185" i="1"/>
  <c r="U1185" i="1"/>
  <c r="V1185" i="1"/>
  <c r="AB1185" i="1"/>
  <c r="AI1185" i="1"/>
  <c r="AJ1185" i="1"/>
  <c r="AK1185" i="1"/>
  <c r="AP1185" i="1"/>
  <c r="AR1185" i="1"/>
  <c r="AY1185" i="1"/>
  <c r="BE1185" i="1"/>
  <c r="BF1185" i="1"/>
  <c r="C1186" i="1"/>
  <c r="E1186" i="1"/>
  <c r="F1186" i="1"/>
  <c r="G1186" i="1"/>
  <c r="H1186" i="1"/>
  <c r="L1186" i="1"/>
  <c r="M1186" i="1"/>
  <c r="N1186" i="1"/>
  <c r="O1186" i="1"/>
  <c r="P1186" i="1"/>
  <c r="Q1186" i="1"/>
  <c r="R1186" i="1"/>
  <c r="S1186" i="1"/>
  <c r="T1186" i="1"/>
  <c r="U1186" i="1"/>
  <c r="V1186" i="1"/>
  <c r="AB1186" i="1"/>
  <c r="AI1186" i="1"/>
  <c r="AJ1186" i="1"/>
  <c r="AK1186" i="1"/>
  <c r="AP1186" i="1"/>
  <c r="AR1186" i="1"/>
  <c r="AY1186" i="1"/>
  <c r="BE1186" i="1"/>
  <c r="BF1186" i="1"/>
  <c r="C1187" i="1"/>
  <c r="E1187" i="1"/>
  <c r="F1187" i="1"/>
  <c r="G1187" i="1"/>
  <c r="H1187" i="1"/>
  <c r="L1187" i="1"/>
  <c r="M1187" i="1"/>
  <c r="N1187" i="1"/>
  <c r="O1187" i="1"/>
  <c r="P1187" i="1"/>
  <c r="Q1187" i="1"/>
  <c r="R1187" i="1"/>
  <c r="S1187" i="1"/>
  <c r="T1187" i="1"/>
  <c r="U1187" i="1"/>
  <c r="V1187" i="1"/>
  <c r="AB1187" i="1"/>
  <c r="AI1187" i="1"/>
  <c r="AJ1187" i="1"/>
  <c r="AK1187" i="1"/>
  <c r="AP1187" i="1"/>
  <c r="AR1187" i="1"/>
  <c r="AY1187" i="1"/>
  <c r="BE1187" i="1"/>
  <c r="BF1187" i="1"/>
  <c r="C1188" i="1"/>
  <c r="E1188" i="1"/>
  <c r="F1188" i="1"/>
  <c r="G1188" i="1"/>
  <c r="H1188" i="1"/>
  <c r="L1188" i="1"/>
  <c r="M1188" i="1"/>
  <c r="N1188" i="1"/>
  <c r="O1188" i="1"/>
  <c r="P1188" i="1"/>
  <c r="Q1188" i="1"/>
  <c r="R1188" i="1"/>
  <c r="S1188" i="1"/>
  <c r="T1188" i="1"/>
  <c r="U1188" i="1"/>
  <c r="V1188" i="1"/>
  <c r="AB1188" i="1"/>
  <c r="AI1188" i="1"/>
  <c r="AJ1188" i="1"/>
  <c r="AK1188" i="1"/>
  <c r="AP1188" i="1"/>
  <c r="AR1188" i="1"/>
  <c r="AY1188" i="1"/>
  <c r="BE1188" i="1"/>
  <c r="BF1188" i="1"/>
  <c r="C1189" i="1"/>
  <c r="E1189" i="1"/>
  <c r="F1189" i="1"/>
  <c r="G1189" i="1"/>
  <c r="H1189" i="1"/>
  <c r="L1189" i="1"/>
  <c r="M1189" i="1"/>
  <c r="N1189" i="1"/>
  <c r="O1189" i="1"/>
  <c r="P1189" i="1"/>
  <c r="Q1189" i="1"/>
  <c r="R1189" i="1"/>
  <c r="S1189" i="1"/>
  <c r="T1189" i="1"/>
  <c r="U1189" i="1"/>
  <c r="V1189" i="1"/>
  <c r="AB1189" i="1"/>
  <c r="AI1189" i="1"/>
  <c r="AJ1189" i="1"/>
  <c r="AK1189" i="1"/>
  <c r="AP1189" i="1"/>
  <c r="AR1189" i="1"/>
  <c r="AY1189" i="1"/>
  <c r="BE1189" i="1"/>
  <c r="BF1189" i="1"/>
  <c r="C1190" i="1"/>
  <c r="E1190" i="1"/>
  <c r="F1190" i="1"/>
  <c r="G1190" i="1"/>
  <c r="H1190" i="1"/>
  <c r="L1190" i="1"/>
  <c r="M1190" i="1"/>
  <c r="N1190" i="1"/>
  <c r="O1190" i="1"/>
  <c r="P1190" i="1"/>
  <c r="Q1190" i="1"/>
  <c r="R1190" i="1"/>
  <c r="S1190" i="1"/>
  <c r="T1190" i="1"/>
  <c r="U1190" i="1"/>
  <c r="V1190" i="1"/>
  <c r="AB1190" i="1"/>
  <c r="AI1190" i="1"/>
  <c r="AJ1190" i="1"/>
  <c r="AK1190" i="1"/>
  <c r="AP1190" i="1"/>
  <c r="AR1190" i="1"/>
  <c r="AY1190" i="1"/>
  <c r="BE1190" i="1"/>
  <c r="BF1190" i="1"/>
  <c r="C1191" i="1"/>
  <c r="E1191" i="1"/>
  <c r="F1191" i="1"/>
  <c r="G1191" i="1"/>
  <c r="H1191" i="1"/>
  <c r="L1191" i="1"/>
  <c r="M1191" i="1"/>
  <c r="N1191" i="1"/>
  <c r="O1191" i="1"/>
  <c r="P1191" i="1"/>
  <c r="Q1191" i="1"/>
  <c r="R1191" i="1"/>
  <c r="S1191" i="1"/>
  <c r="T1191" i="1"/>
  <c r="U1191" i="1"/>
  <c r="V1191" i="1"/>
  <c r="AB1191" i="1"/>
  <c r="AI1191" i="1"/>
  <c r="AJ1191" i="1"/>
  <c r="AK1191" i="1"/>
  <c r="AP1191" i="1"/>
  <c r="AR1191" i="1"/>
  <c r="AY1191" i="1"/>
  <c r="BE1191" i="1"/>
  <c r="BF1191" i="1"/>
  <c r="C1192" i="1"/>
  <c r="E1192" i="1"/>
  <c r="F1192" i="1"/>
  <c r="G1192" i="1"/>
  <c r="H1192" i="1"/>
  <c r="L1192" i="1"/>
  <c r="M1192" i="1"/>
  <c r="N1192" i="1"/>
  <c r="O1192" i="1"/>
  <c r="P1192" i="1"/>
  <c r="Q1192" i="1"/>
  <c r="R1192" i="1"/>
  <c r="S1192" i="1"/>
  <c r="T1192" i="1"/>
  <c r="U1192" i="1"/>
  <c r="V1192" i="1"/>
  <c r="AB1192" i="1"/>
  <c r="AI1192" i="1"/>
  <c r="AJ1192" i="1"/>
  <c r="AK1192" i="1"/>
  <c r="AP1192" i="1"/>
  <c r="AR1192" i="1"/>
  <c r="AY1192" i="1"/>
  <c r="BE1192" i="1"/>
  <c r="BF1192" i="1"/>
  <c r="C1193" i="1"/>
  <c r="E1193" i="1"/>
  <c r="F1193" i="1"/>
  <c r="G1193" i="1"/>
  <c r="H1193" i="1"/>
  <c r="L1193" i="1"/>
  <c r="M1193" i="1"/>
  <c r="N1193" i="1"/>
  <c r="O1193" i="1"/>
  <c r="P1193" i="1"/>
  <c r="Q1193" i="1"/>
  <c r="R1193" i="1"/>
  <c r="S1193" i="1"/>
  <c r="T1193" i="1"/>
  <c r="U1193" i="1"/>
  <c r="V1193" i="1"/>
  <c r="AB1193" i="1"/>
  <c r="AI1193" i="1"/>
  <c r="AJ1193" i="1"/>
  <c r="AK1193" i="1"/>
  <c r="AP1193" i="1"/>
  <c r="AR1193" i="1"/>
  <c r="AY1193" i="1"/>
  <c r="BE1193" i="1"/>
  <c r="BF1193" i="1"/>
  <c r="C1194" i="1"/>
  <c r="E1194" i="1"/>
  <c r="F1194" i="1"/>
  <c r="G1194" i="1"/>
  <c r="H1194" i="1"/>
  <c r="L1194" i="1"/>
  <c r="M1194" i="1"/>
  <c r="N1194" i="1"/>
  <c r="O1194" i="1"/>
  <c r="P1194" i="1"/>
  <c r="Q1194" i="1"/>
  <c r="R1194" i="1"/>
  <c r="S1194" i="1"/>
  <c r="T1194" i="1"/>
  <c r="U1194" i="1"/>
  <c r="V1194" i="1"/>
  <c r="AB1194" i="1"/>
  <c r="AI1194" i="1"/>
  <c r="AJ1194" i="1"/>
  <c r="AK1194" i="1"/>
  <c r="AP1194" i="1"/>
  <c r="AR1194" i="1"/>
  <c r="AY1194" i="1"/>
  <c r="BE1194" i="1"/>
  <c r="BF1194" i="1"/>
  <c r="C1195" i="1"/>
  <c r="E1195" i="1"/>
  <c r="F1195" i="1"/>
  <c r="G1195" i="1"/>
  <c r="H1195" i="1"/>
  <c r="L1195" i="1"/>
  <c r="M1195" i="1"/>
  <c r="N1195" i="1"/>
  <c r="O1195" i="1"/>
  <c r="P1195" i="1"/>
  <c r="Q1195" i="1"/>
  <c r="R1195" i="1"/>
  <c r="S1195" i="1"/>
  <c r="T1195" i="1"/>
  <c r="U1195" i="1"/>
  <c r="V1195" i="1"/>
  <c r="AB1195" i="1"/>
  <c r="AI1195" i="1"/>
  <c r="AJ1195" i="1"/>
  <c r="AK1195" i="1"/>
  <c r="AP1195" i="1"/>
  <c r="AR1195" i="1"/>
  <c r="AY1195" i="1"/>
  <c r="BE1195" i="1"/>
  <c r="BF1195" i="1"/>
  <c r="C1196" i="1"/>
  <c r="E1196" i="1"/>
  <c r="F1196" i="1"/>
  <c r="G1196" i="1"/>
  <c r="H1196" i="1"/>
  <c r="L1196" i="1"/>
  <c r="M1196" i="1"/>
  <c r="N1196" i="1"/>
  <c r="O1196" i="1"/>
  <c r="P1196" i="1"/>
  <c r="Q1196" i="1"/>
  <c r="R1196" i="1"/>
  <c r="S1196" i="1"/>
  <c r="T1196" i="1"/>
  <c r="U1196" i="1"/>
  <c r="V1196" i="1"/>
  <c r="AB1196" i="1"/>
  <c r="AI1196" i="1"/>
  <c r="AJ1196" i="1"/>
  <c r="AK1196" i="1"/>
  <c r="AP1196" i="1"/>
  <c r="AR1196" i="1"/>
  <c r="AY1196" i="1"/>
  <c r="BE1196" i="1"/>
  <c r="BF1196" i="1"/>
  <c r="C1197" i="1"/>
  <c r="E1197" i="1"/>
  <c r="F1197" i="1"/>
  <c r="G1197" i="1"/>
  <c r="H1197" i="1"/>
  <c r="L1197" i="1"/>
  <c r="M1197" i="1"/>
  <c r="N1197" i="1"/>
  <c r="O1197" i="1"/>
  <c r="P1197" i="1"/>
  <c r="Q1197" i="1"/>
  <c r="R1197" i="1"/>
  <c r="S1197" i="1"/>
  <c r="T1197" i="1"/>
  <c r="U1197" i="1"/>
  <c r="V1197" i="1"/>
  <c r="AB1197" i="1"/>
  <c r="AI1197" i="1"/>
  <c r="AJ1197" i="1"/>
  <c r="AK1197" i="1"/>
  <c r="AP1197" i="1"/>
  <c r="AR1197" i="1"/>
  <c r="AY1197" i="1"/>
  <c r="BE1197" i="1"/>
  <c r="BF1197" i="1"/>
  <c r="C1198" i="1"/>
  <c r="E1198" i="1"/>
  <c r="F1198" i="1"/>
  <c r="G1198" i="1"/>
  <c r="H1198" i="1"/>
  <c r="L1198" i="1"/>
  <c r="M1198" i="1"/>
  <c r="N1198" i="1"/>
  <c r="O1198" i="1"/>
  <c r="P1198" i="1"/>
  <c r="Q1198" i="1"/>
  <c r="R1198" i="1"/>
  <c r="S1198" i="1"/>
  <c r="T1198" i="1"/>
  <c r="U1198" i="1"/>
  <c r="V1198" i="1"/>
  <c r="AB1198" i="1"/>
  <c r="AI1198" i="1"/>
  <c r="AJ1198" i="1"/>
  <c r="AK1198" i="1"/>
  <c r="AP1198" i="1"/>
  <c r="AR1198" i="1"/>
  <c r="AY1198" i="1"/>
  <c r="BE1198" i="1"/>
  <c r="BF1198" i="1"/>
  <c r="C1199" i="1"/>
  <c r="E1199" i="1"/>
  <c r="F1199" i="1"/>
  <c r="G1199" i="1"/>
  <c r="H1199" i="1"/>
  <c r="L1199" i="1"/>
  <c r="M1199" i="1"/>
  <c r="N1199" i="1"/>
  <c r="O1199" i="1"/>
  <c r="P1199" i="1"/>
  <c r="Q1199" i="1"/>
  <c r="R1199" i="1"/>
  <c r="S1199" i="1"/>
  <c r="T1199" i="1"/>
  <c r="U1199" i="1"/>
  <c r="V1199" i="1"/>
  <c r="AB1199" i="1"/>
  <c r="AI1199" i="1"/>
  <c r="AJ1199" i="1"/>
  <c r="AK1199" i="1"/>
  <c r="AP1199" i="1"/>
  <c r="AR1199" i="1"/>
  <c r="AY1199" i="1"/>
  <c r="BE1199" i="1"/>
  <c r="BF1199" i="1"/>
  <c r="C1200" i="1"/>
  <c r="E1200" i="1"/>
  <c r="F1200" i="1"/>
  <c r="G1200" i="1"/>
  <c r="H1200" i="1"/>
  <c r="L1200" i="1"/>
  <c r="M1200" i="1"/>
  <c r="N1200" i="1"/>
  <c r="O1200" i="1"/>
  <c r="P1200" i="1"/>
  <c r="Q1200" i="1"/>
  <c r="R1200" i="1"/>
  <c r="S1200" i="1"/>
  <c r="T1200" i="1"/>
  <c r="U1200" i="1"/>
  <c r="V1200" i="1"/>
  <c r="AB1200" i="1"/>
  <c r="AI1200" i="1"/>
  <c r="AJ1200" i="1"/>
  <c r="AK1200" i="1"/>
  <c r="AP1200" i="1"/>
  <c r="AR1200" i="1"/>
  <c r="AY1200" i="1"/>
  <c r="BE1200" i="1"/>
  <c r="BF1200" i="1"/>
  <c r="C1201" i="1"/>
  <c r="E1201" i="1"/>
  <c r="F1201" i="1"/>
  <c r="G1201" i="1"/>
  <c r="H1201" i="1"/>
  <c r="L1201" i="1"/>
  <c r="M1201" i="1"/>
  <c r="N1201" i="1"/>
  <c r="O1201" i="1"/>
  <c r="P1201" i="1"/>
  <c r="Q1201" i="1"/>
  <c r="R1201" i="1"/>
  <c r="S1201" i="1"/>
  <c r="T1201" i="1"/>
  <c r="U1201" i="1"/>
  <c r="V1201" i="1"/>
  <c r="AB1201" i="1"/>
  <c r="AI1201" i="1"/>
  <c r="AJ1201" i="1"/>
  <c r="AK1201" i="1"/>
  <c r="AP1201" i="1"/>
  <c r="AR1201" i="1"/>
  <c r="AY1201" i="1"/>
  <c r="BE1201" i="1"/>
  <c r="BF1201" i="1"/>
  <c r="C1202" i="1"/>
  <c r="E1202" i="1"/>
  <c r="F1202" i="1"/>
  <c r="G1202" i="1"/>
  <c r="H1202" i="1"/>
  <c r="L1202" i="1"/>
  <c r="M1202" i="1"/>
  <c r="N1202" i="1"/>
  <c r="O1202" i="1"/>
  <c r="P1202" i="1"/>
  <c r="Q1202" i="1"/>
  <c r="R1202" i="1"/>
  <c r="S1202" i="1"/>
  <c r="T1202" i="1"/>
  <c r="U1202" i="1"/>
  <c r="V1202" i="1"/>
  <c r="AB1202" i="1"/>
  <c r="AI1202" i="1"/>
  <c r="AJ1202" i="1"/>
  <c r="AK1202" i="1"/>
  <c r="AP1202" i="1"/>
  <c r="AR1202" i="1"/>
  <c r="AY1202" i="1"/>
  <c r="BE1202" i="1"/>
  <c r="BF1202" i="1"/>
  <c r="C1203" i="1"/>
  <c r="E1203" i="1"/>
  <c r="F1203" i="1"/>
  <c r="G1203" i="1"/>
  <c r="H1203" i="1"/>
  <c r="L1203" i="1"/>
  <c r="M1203" i="1"/>
  <c r="N1203" i="1"/>
  <c r="O1203" i="1"/>
  <c r="P1203" i="1"/>
  <c r="Q1203" i="1"/>
  <c r="R1203" i="1"/>
  <c r="S1203" i="1"/>
  <c r="T1203" i="1"/>
  <c r="U1203" i="1"/>
  <c r="V1203" i="1"/>
  <c r="AI1203" i="1"/>
  <c r="AJ1203" i="1"/>
  <c r="AK1203" i="1"/>
  <c r="AP1203" i="1"/>
  <c r="AR1203" i="1"/>
  <c r="AY1203" i="1"/>
  <c r="BE1203" i="1"/>
  <c r="BF1203" i="1"/>
  <c r="C1204" i="1"/>
  <c r="E1204" i="1"/>
  <c r="F1204" i="1"/>
  <c r="G1204" i="1"/>
  <c r="H1204" i="1"/>
  <c r="L1204" i="1"/>
  <c r="M1204" i="1"/>
  <c r="N1204" i="1"/>
  <c r="O1204" i="1"/>
  <c r="P1204" i="1"/>
  <c r="Q1204" i="1"/>
  <c r="R1204" i="1"/>
  <c r="S1204" i="1"/>
  <c r="T1204" i="1"/>
  <c r="U1204" i="1"/>
  <c r="V1204" i="1"/>
  <c r="AI1204" i="1"/>
  <c r="AJ1204" i="1"/>
  <c r="AK1204" i="1"/>
  <c r="AP1204" i="1"/>
  <c r="AR1204" i="1"/>
  <c r="AY1204" i="1"/>
  <c r="BE1204" i="1"/>
  <c r="BF1204" i="1"/>
  <c r="C1205" i="1"/>
  <c r="E1205" i="1"/>
  <c r="F1205" i="1"/>
  <c r="G1205" i="1"/>
  <c r="H1205" i="1"/>
  <c r="L1205" i="1"/>
  <c r="M1205" i="1"/>
  <c r="N1205" i="1"/>
  <c r="O1205" i="1"/>
  <c r="P1205" i="1"/>
  <c r="Q1205" i="1"/>
  <c r="R1205" i="1"/>
  <c r="S1205" i="1"/>
  <c r="T1205" i="1"/>
  <c r="U1205" i="1"/>
  <c r="V1205" i="1"/>
  <c r="AI1205" i="1"/>
  <c r="AJ1205" i="1"/>
  <c r="AK1205" i="1"/>
  <c r="AP1205" i="1"/>
  <c r="AR1205" i="1"/>
  <c r="AY1205" i="1"/>
  <c r="BE1205" i="1"/>
  <c r="BF1205" i="1"/>
  <c r="C357" i="1"/>
  <c r="E357" i="1"/>
  <c r="F357" i="1"/>
  <c r="G357" i="1"/>
  <c r="H357" i="1"/>
  <c r="L357" i="1"/>
  <c r="M357" i="1"/>
  <c r="N357" i="1"/>
  <c r="O357" i="1"/>
  <c r="P357" i="1"/>
  <c r="Q357" i="1"/>
  <c r="R357" i="1"/>
  <c r="S357" i="1"/>
  <c r="T357" i="1"/>
  <c r="U357" i="1"/>
  <c r="V357" i="1"/>
  <c r="AI357" i="1"/>
  <c r="AJ357" i="1"/>
  <c r="AK357" i="1"/>
  <c r="AP357" i="1"/>
  <c r="AR357" i="1"/>
  <c r="AY357" i="1"/>
  <c r="BE357" i="1"/>
  <c r="BF357" i="1"/>
  <c r="C358" i="1"/>
  <c r="E358" i="1"/>
  <c r="F358" i="1"/>
  <c r="G358" i="1"/>
  <c r="H358" i="1"/>
  <c r="L358" i="1"/>
  <c r="M358" i="1"/>
  <c r="N358" i="1"/>
  <c r="O358" i="1"/>
  <c r="P358" i="1"/>
  <c r="Q358" i="1"/>
  <c r="R358" i="1"/>
  <c r="S358" i="1"/>
  <c r="T358" i="1"/>
  <c r="U358" i="1"/>
  <c r="V358" i="1"/>
  <c r="AI358" i="1"/>
  <c r="AJ358" i="1"/>
  <c r="AK358" i="1"/>
  <c r="AP358" i="1"/>
  <c r="AR358" i="1"/>
  <c r="AY358" i="1"/>
  <c r="BE358" i="1"/>
  <c r="BF358" i="1"/>
  <c r="C359" i="1"/>
  <c r="E359" i="1"/>
  <c r="F359" i="1"/>
  <c r="G359" i="1"/>
  <c r="H359" i="1"/>
  <c r="L359" i="1"/>
  <c r="M359" i="1"/>
  <c r="N359" i="1"/>
  <c r="O359" i="1"/>
  <c r="P359" i="1"/>
  <c r="Q359" i="1"/>
  <c r="R359" i="1"/>
  <c r="S359" i="1"/>
  <c r="T359" i="1"/>
  <c r="U359" i="1"/>
  <c r="V359" i="1"/>
  <c r="AI359" i="1"/>
  <c r="AJ359" i="1"/>
  <c r="AK359" i="1"/>
  <c r="AP359" i="1"/>
  <c r="AR359" i="1"/>
  <c r="AY359" i="1"/>
  <c r="BE359" i="1"/>
  <c r="BF359" i="1"/>
  <c r="C360" i="1"/>
  <c r="E360" i="1"/>
  <c r="F360" i="1"/>
  <c r="G360" i="1"/>
  <c r="H360" i="1"/>
  <c r="L360" i="1"/>
  <c r="M360" i="1"/>
  <c r="N360" i="1"/>
  <c r="O360" i="1"/>
  <c r="P360" i="1"/>
  <c r="Q360" i="1"/>
  <c r="R360" i="1"/>
  <c r="S360" i="1"/>
  <c r="T360" i="1"/>
  <c r="U360" i="1"/>
  <c r="V360" i="1"/>
  <c r="AI360" i="1"/>
  <c r="AJ360" i="1"/>
  <c r="AK360" i="1"/>
  <c r="AP360" i="1"/>
  <c r="AR360" i="1"/>
  <c r="AY360" i="1"/>
  <c r="BE360" i="1"/>
  <c r="BF360" i="1"/>
  <c r="C361" i="1"/>
  <c r="E361" i="1"/>
  <c r="F361" i="1"/>
  <c r="G361" i="1"/>
  <c r="H361" i="1"/>
  <c r="L361" i="1"/>
  <c r="M361" i="1"/>
  <c r="N361" i="1"/>
  <c r="O361" i="1"/>
  <c r="P361" i="1"/>
  <c r="Q361" i="1"/>
  <c r="R361" i="1"/>
  <c r="S361" i="1"/>
  <c r="T361" i="1"/>
  <c r="U361" i="1"/>
  <c r="V361" i="1"/>
  <c r="AI361" i="1"/>
  <c r="AJ361" i="1"/>
  <c r="AK361" i="1"/>
  <c r="AP361" i="1"/>
  <c r="AR361" i="1"/>
  <c r="AY361" i="1"/>
  <c r="BE361" i="1"/>
  <c r="BF361" i="1"/>
  <c r="C362" i="1"/>
  <c r="E362" i="1"/>
  <c r="F362" i="1"/>
  <c r="G362" i="1"/>
  <c r="H362" i="1"/>
  <c r="L362" i="1"/>
  <c r="M362" i="1"/>
  <c r="N362" i="1"/>
  <c r="O362" i="1"/>
  <c r="P362" i="1"/>
  <c r="Q362" i="1"/>
  <c r="R362" i="1"/>
  <c r="S362" i="1"/>
  <c r="T362" i="1"/>
  <c r="U362" i="1"/>
  <c r="V362" i="1"/>
  <c r="AI362" i="1"/>
  <c r="AJ362" i="1"/>
  <c r="AK362" i="1"/>
  <c r="AP362" i="1"/>
  <c r="AR362" i="1"/>
  <c r="AY362" i="1"/>
  <c r="BE362" i="1"/>
  <c r="BF362" i="1"/>
  <c r="C363" i="1"/>
  <c r="E363" i="1"/>
  <c r="F363" i="1"/>
  <c r="G363" i="1"/>
  <c r="H363" i="1"/>
  <c r="L363" i="1"/>
  <c r="M363" i="1"/>
  <c r="N363" i="1"/>
  <c r="O363" i="1"/>
  <c r="P363" i="1"/>
  <c r="Q363" i="1"/>
  <c r="R363" i="1"/>
  <c r="S363" i="1"/>
  <c r="T363" i="1"/>
  <c r="U363" i="1"/>
  <c r="V363" i="1"/>
  <c r="AI363" i="1"/>
  <c r="AJ363" i="1"/>
  <c r="AK363" i="1"/>
  <c r="AP363" i="1"/>
  <c r="AR363" i="1"/>
  <c r="AY363" i="1"/>
  <c r="BE363" i="1"/>
  <c r="BF363" i="1"/>
  <c r="C364" i="1"/>
  <c r="E364" i="1"/>
  <c r="F364" i="1"/>
  <c r="G364" i="1"/>
  <c r="H364" i="1"/>
  <c r="L364" i="1"/>
  <c r="M364" i="1"/>
  <c r="N364" i="1"/>
  <c r="O364" i="1"/>
  <c r="P364" i="1"/>
  <c r="Q364" i="1"/>
  <c r="R364" i="1"/>
  <c r="S364" i="1"/>
  <c r="T364" i="1"/>
  <c r="U364" i="1"/>
  <c r="V364" i="1"/>
  <c r="AI364" i="1"/>
  <c r="AJ364" i="1"/>
  <c r="AK364" i="1"/>
  <c r="AP364" i="1"/>
  <c r="AR364" i="1"/>
  <c r="AY364" i="1"/>
  <c r="BE364" i="1"/>
  <c r="BF364" i="1"/>
  <c r="C365" i="1"/>
  <c r="E365" i="1"/>
  <c r="F365" i="1"/>
  <c r="G365" i="1"/>
  <c r="H365" i="1"/>
  <c r="L365" i="1"/>
  <c r="M365" i="1"/>
  <c r="N365" i="1"/>
  <c r="O365" i="1"/>
  <c r="P365" i="1"/>
  <c r="Q365" i="1"/>
  <c r="R365" i="1"/>
  <c r="S365" i="1"/>
  <c r="T365" i="1"/>
  <c r="U365" i="1"/>
  <c r="V365" i="1"/>
  <c r="AI365" i="1"/>
  <c r="AJ365" i="1"/>
  <c r="AK365" i="1"/>
  <c r="AP365" i="1"/>
  <c r="AR365" i="1"/>
  <c r="AY365" i="1"/>
  <c r="BE365" i="1"/>
  <c r="BF365" i="1"/>
  <c r="C366" i="1"/>
  <c r="E366" i="1"/>
  <c r="F366" i="1"/>
  <c r="G366" i="1"/>
  <c r="H366" i="1"/>
  <c r="L366" i="1"/>
  <c r="M366" i="1"/>
  <c r="N366" i="1"/>
  <c r="O366" i="1"/>
  <c r="P366" i="1"/>
  <c r="Q366" i="1"/>
  <c r="R366" i="1"/>
  <c r="S366" i="1"/>
  <c r="T366" i="1"/>
  <c r="U366" i="1"/>
  <c r="V366" i="1"/>
  <c r="AI366" i="1"/>
  <c r="AJ366" i="1"/>
  <c r="AK366" i="1"/>
  <c r="AP366" i="1"/>
  <c r="AR366" i="1"/>
  <c r="AY366" i="1"/>
  <c r="BE366" i="1"/>
  <c r="BF366" i="1"/>
  <c r="C367" i="1"/>
  <c r="E367" i="1"/>
  <c r="F367" i="1"/>
  <c r="G367" i="1"/>
  <c r="H367" i="1"/>
  <c r="L367" i="1"/>
  <c r="M367" i="1"/>
  <c r="N367" i="1"/>
  <c r="O367" i="1"/>
  <c r="P367" i="1"/>
  <c r="Q367" i="1"/>
  <c r="R367" i="1"/>
  <c r="S367" i="1"/>
  <c r="T367" i="1"/>
  <c r="U367" i="1"/>
  <c r="V367" i="1"/>
  <c r="AI367" i="1"/>
  <c r="AJ367" i="1"/>
  <c r="AK367" i="1"/>
  <c r="AP367" i="1"/>
  <c r="AR367" i="1"/>
  <c r="AY367" i="1"/>
  <c r="BE367" i="1"/>
  <c r="BF367" i="1"/>
  <c r="C368" i="1"/>
  <c r="E368" i="1"/>
  <c r="F368" i="1"/>
  <c r="G368" i="1"/>
  <c r="H368" i="1"/>
  <c r="L368" i="1"/>
  <c r="M368" i="1"/>
  <c r="N368" i="1"/>
  <c r="O368" i="1"/>
  <c r="P368" i="1"/>
  <c r="Q368" i="1"/>
  <c r="R368" i="1"/>
  <c r="S368" i="1"/>
  <c r="T368" i="1"/>
  <c r="U368" i="1"/>
  <c r="V368" i="1"/>
  <c r="AI368" i="1"/>
  <c r="AJ368" i="1"/>
  <c r="AK368" i="1"/>
  <c r="AP368" i="1"/>
  <c r="AR368" i="1"/>
  <c r="AY368" i="1"/>
  <c r="BE368" i="1"/>
  <c r="BF368" i="1"/>
  <c r="C369" i="1"/>
  <c r="E369" i="1"/>
  <c r="F369" i="1"/>
  <c r="G369" i="1"/>
  <c r="H369" i="1"/>
  <c r="L369" i="1"/>
  <c r="M369" i="1"/>
  <c r="N369" i="1"/>
  <c r="O369" i="1"/>
  <c r="P369" i="1"/>
  <c r="Q369" i="1"/>
  <c r="R369" i="1"/>
  <c r="S369" i="1"/>
  <c r="T369" i="1"/>
  <c r="U369" i="1"/>
  <c r="V369" i="1"/>
  <c r="AI369" i="1"/>
  <c r="AJ369" i="1"/>
  <c r="AK369" i="1"/>
  <c r="AP369" i="1"/>
  <c r="AR369" i="1"/>
  <c r="AY369" i="1"/>
  <c r="BE369" i="1"/>
  <c r="BF369" i="1"/>
  <c r="C1206" i="1"/>
  <c r="E1206" i="1"/>
  <c r="F1206" i="1"/>
  <c r="G1206" i="1"/>
  <c r="H1206" i="1"/>
  <c r="L1206" i="1"/>
  <c r="M1206" i="1"/>
  <c r="N1206" i="1"/>
  <c r="O1206" i="1"/>
  <c r="P1206" i="1"/>
  <c r="Q1206" i="1"/>
  <c r="R1206" i="1"/>
  <c r="S1206" i="1"/>
  <c r="T1206" i="1"/>
  <c r="U1206" i="1"/>
  <c r="V1206" i="1"/>
  <c r="AI1206" i="1"/>
  <c r="AJ1206" i="1"/>
  <c r="AK1206" i="1"/>
  <c r="AP1206" i="1"/>
  <c r="AR1206" i="1"/>
  <c r="AY1206" i="1"/>
  <c r="BE1206" i="1"/>
  <c r="BF1206" i="1"/>
  <c r="C370" i="1"/>
  <c r="E370" i="1"/>
  <c r="F370" i="1"/>
  <c r="G370" i="1"/>
  <c r="H370" i="1"/>
  <c r="L370" i="1"/>
  <c r="M370" i="1"/>
  <c r="N370" i="1"/>
  <c r="O370" i="1"/>
  <c r="P370" i="1"/>
  <c r="Q370" i="1"/>
  <c r="R370" i="1"/>
  <c r="S370" i="1"/>
  <c r="T370" i="1"/>
  <c r="U370" i="1"/>
  <c r="V370" i="1"/>
  <c r="AB370" i="1"/>
  <c r="AI370" i="1"/>
  <c r="AJ370" i="1"/>
  <c r="AK370" i="1"/>
  <c r="AP370" i="1"/>
  <c r="AR370" i="1"/>
  <c r="AY370" i="1"/>
  <c r="BE370" i="1"/>
  <c r="BF370" i="1"/>
  <c r="C371" i="1"/>
  <c r="E371" i="1"/>
  <c r="F371" i="1"/>
  <c r="G371" i="1"/>
  <c r="H371" i="1"/>
  <c r="L371" i="1"/>
  <c r="M371" i="1"/>
  <c r="N371" i="1"/>
  <c r="O371" i="1"/>
  <c r="P371" i="1"/>
  <c r="Q371" i="1"/>
  <c r="R371" i="1"/>
  <c r="S371" i="1"/>
  <c r="T371" i="1"/>
  <c r="U371" i="1"/>
  <c r="V371" i="1"/>
  <c r="AB371" i="1"/>
  <c r="AI371" i="1"/>
  <c r="AJ371" i="1"/>
  <c r="AK371" i="1"/>
  <c r="AP371" i="1"/>
  <c r="AR371" i="1"/>
  <c r="AY371" i="1"/>
  <c r="BE371" i="1"/>
  <c r="BF371" i="1"/>
  <c r="C372" i="1"/>
  <c r="E372" i="1"/>
  <c r="F372" i="1"/>
  <c r="G372" i="1"/>
  <c r="H372" i="1"/>
  <c r="L372" i="1"/>
  <c r="M372" i="1"/>
  <c r="N372" i="1"/>
  <c r="O372" i="1"/>
  <c r="P372" i="1"/>
  <c r="Q372" i="1"/>
  <c r="R372" i="1"/>
  <c r="S372" i="1"/>
  <c r="T372" i="1"/>
  <c r="U372" i="1"/>
  <c r="V372" i="1"/>
  <c r="AB372" i="1"/>
  <c r="AI372" i="1"/>
  <c r="AJ372" i="1"/>
  <c r="AK372" i="1"/>
  <c r="AP372" i="1"/>
  <c r="AR372" i="1"/>
  <c r="AY372" i="1"/>
  <c r="BE372" i="1"/>
  <c r="BF372" i="1"/>
  <c r="C373" i="1"/>
  <c r="E373" i="1"/>
  <c r="F373" i="1"/>
  <c r="G373" i="1"/>
  <c r="H373" i="1"/>
  <c r="L373" i="1"/>
  <c r="M373" i="1"/>
  <c r="N373" i="1"/>
  <c r="O373" i="1"/>
  <c r="P373" i="1"/>
  <c r="Q373" i="1"/>
  <c r="R373" i="1"/>
  <c r="S373" i="1"/>
  <c r="T373" i="1"/>
  <c r="U373" i="1"/>
  <c r="V373" i="1"/>
  <c r="AB373" i="1"/>
  <c r="AI373" i="1"/>
  <c r="AJ373" i="1"/>
  <c r="AK373" i="1"/>
  <c r="AP373" i="1"/>
  <c r="AR373" i="1"/>
  <c r="AY373" i="1"/>
  <c r="BE373" i="1"/>
  <c r="BF373" i="1"/>
  <c r="C1207" i="1"/>
  <c r="E1207" i="1"/>
  <c r="F1207" i="1"/>
  <c r="G1207" i="1"/>
  <c r="H1207" i="1"/>
  <c r="L1207" i="1"/>
  <c r="M1207" i="1"/>
  <c r="N1207" i="1"/>
  <c r="O1207" i="1"/>
  <c r="P1207" i="1"/>
  <c r="Q1207" i="1"/>
  <c r="R1207" i="1"/>
  <c r="S1207" i="1"/>
  <c r="T1207" i="1"/>
  <c r="U1207" i="1"/>
  <c r="V1207" i="1"/>
  <c r="AI1207" i="1"/>
  <c r="AJ1207" i="1"/>
  <c r="AK1207" i="1"/>
  <c r="AP1207" i="1"/>
  <c r="AR1207" i="1"/>
  <c r="AY1207" i="1"/>
  <c r="BE1207" i="1"/>
  <c r="BF1207" i="1"/>
  <c r="C1208" i="1"/>
  <c r="E1208" i="1"/>
  <c r="F1208" i="1"/>
  <c r="G1208" i="1"/>
  <c r="H1208" i="1"/>
  <c r="L1208" i="1"/>
  <c r="M1208" i="1"/>
  <c r="N1208" i="1"/>
  <c r="O1208" i="1"/>
  <c r="P1208" i="1"/>
  <c r="Q1208" i="1"/>
  <c r="R1208" i="1"/>
  <c r="S1208" i="1"/>
  <c r="T1208" i="1"/>
  <c r="U1208" i="1"/>
  <c r="V1208" i="1"/>
  <c r="AI1208" i="1"/>
  <c r="AJ1208" i="1"/>
  <c r="AK1208" i="1"/>
  <c r="AP1208" i="1"/>
  <c r="AR1208" i="1"/>
  <c r="AY1208" i="1"/>
  <c r="BE1208" i="1"/>
  <c r="BF1208" i="1"/>
  <c r="C1209" i="1"/>
  <c r="E1209" i="1"/>
  <c r="F1209" i="1"/>
  <c r="G1209" i="1"/>
  <c r="H1209" i="1"/>
  <c r="L1209" i="1"/>
  <c r="M1209" i="1"/>
  <c r="N1209" i="1"/>
  <c r="O1209" i="1"/>
  <c r="P1209" i="1"/>
  <c r="Q1209" i="1"/>
  <c r="R1209" i="1"/>
  <c r="S1209" i="1"/>
  <c r="T1209" i="1"/>
  <c r="U1209" i="1"/>
  <c r="V1209" i="1"/>
  <c r="AI1209" i="1"/>
  <c r="AJ1209" i="1"/>
  <c r="AK1209" i="1"/>
  <c r="AP1209" i="1"/>
  <c r="AR1209" i="1"/>
  <c r="AY1209" i="1"/>
  <c r="BE1209" i="1"/>
  <c r="BF1209" i="1"/>
  <c r="C1210" i="1"/>
  <c r="E1210" i="1"/>
  <c r="F1210" i="1"/>
  <c r="G1210" i="1"/>
  <c r="H1210" i="1"/>
  <c r="L1210" i="1"/>
  <c r="M1210" i="1"/>
  <c r="N1210" i="1"/>
  <c r="O1210" i="1"/>
  <c r="P1210" i="1"/>
  <c r="Q1210" i="1"/>
  <c r="R1210" i="1"/>
  <c r="S1210" i="1"/>
  <c r="T1210" i="1"/>
  <c r="U1210" i="1"/>
  <c r="V1210" i="1"/>
  <c r="AI1210" i="1"/>
  <c r="AJ1210" i="1"/>
  <c r="AK1210" i="1"/>
  <c r="AP1210" i="1"/>
  <c r="AR1210" i="1"/>
  <c r="AY1210" i="1"/>
  <c r="BE1210" i="1"/>
  <c r="BF1210" i="1"/>
  <c r="C1211" i="1"/>
  <c r="E1211" i="1"/>
  <c r="F1211" i="1"/>
  <c r="G1211" i="1"/>
  <c r="H1211" i="1"/>
  <c r="L1211" i="1"/>
  <c r="M1211" i="1"/>
  <c r="N1211" i="1"/>
  <c r="O1211" i="1"/>
  <c r="P1211" i="1"/>
  <c r="Q1211" i="1"/>
  <c r="R1211" i="1"/>
  <c r="S1211" i="1"/>
  <c r="T1211" i="1"/>
  <c r="U1211" i="1"/>
  <c r="V1211" i="1"/>
  <c r="AI1211" i="1"/>
  <c r="AJ1211" i="1"/>
  <c r="AK1211" i="1"/>
  <c r="AP1211" i="1"/>
  <c r="AR1211" i="1"/>
  <c r="AY1211" i="1"/>
  <c r="BE1211" i="1"/>
  <c r="BF1211" i="1"/>
  <c r="C1212" i="1"/>
  <c r="E1212" i="1"/>
  <c r="F1212" i="1"/>
  <c r="G1212" i="1"/>
  <c r="H1212" i="1"/>
  <c r="L1212" i="1"/>
  <c r="M1212" i="1"/>
  <c r="N1212" i="1"/>
  <c r="O1212" i="1"/>
  <c r="P1212" i="1"/>
  <c r="Q1212" i="1"/>
  <c r="R1212" i="1"/>
  <c r="S1212" i="1"/>
  <c r="T1212" i="1"/>
  <c r="U1212" i="1"/>
  <c r="V1212" i="1"/>
  <c r="AI1212" i="1"/>
  <c r="AJ1212" i="1"/>
  <c r="AK1212" i="1"/>
  <c r="AP1212" i="1"/>
  <c r="AR1212" i="1"/>
  <c r="AY1212" i="1"/>
  <c r="BE1212" i="1"/>
  <c r="BF1212" i="1"/>
  <c r="C1213" i="1"/>
  <c r="E1213" i="1"/>
  <c r="F1213" i="1"/>
  <c r="G1213" i="1"/>
  <c r="H1213" i="1"/>
  <c r="L1213" i="1"/>
  <c r="M1213" i="1"/>
  <c r="N1213" i="1"/>
  <c r="O1213" i="1"/>
  <c r="P1213" i="1"/>
  <c r="Q1213" i="1"/>
  <c r="R1213" i="1"/>
  <c r="S1213" i="1"/>
  <c r="T1213" i="1"/>
  <c r="U1213" i="1"/>
  <c r="V1213" i="1"/>
  <c r="AI1213" i="1"/>
  <c r="AJ1213" i="1"/>
  <c r="AK1213" i="1"/>
  <c r="AP1213" i="1"/>
  <c r="AR1213" i="1"/>
  <c r="AY1213" i="1"/>
  <c r="BE1213" i="1"/>
  <c r="BF1213" i="1"/>
  <c r="C1214" i="1"/>
  <c r="E1214" i="1"/>
  <c r="F1214" i="1"/>
  <c r="G1214" i="1"/>
  <c r="H1214" i="1"/>
  <c r="L1214" i="1"/>
  <c r="M1214" i="1"/>
  <c r="N1214" i="1"/>
  <c r="O1214" i="1"/>
  <c r="P1214" i="1"/>
  <c r="Q1214" i="1"/>
  <c r="R1214" i="1"/>
  <c r="S1214" i="1"/>
  <c r="T1214" i="1"/>
  <c r="U1214" i="1"/>
  <c r="V1214" i="1"/>
  <c r="AI1214" i="1"/>
  <c r="AJ1214" i="1"/>
  <c r="AK1214" i="1"/>
  <c r="AP1214" i="1"/>
  <c r="AR1214" i="1"/>
  <c r="AY1214" i="1"/>
  <c r="BE1214" i="1"/>
  <c r="BF1214" i="1"/>
  <c r="C1215" i="1"/>
  <c r="E1215" i="1"/>
  <c r="F1215" i="1"/>
  <c r="G1215" i="1"/>
  <c r="H1215" i="1"/>
  <c r="L1215" i="1"/>
  <c r="M1215" i="1"/>
  <c r="N1215" i="1"/>
  <c r="O1215" i="1"/>
  <c r="P1215" i="1"/>
  <c r="Q1215" i="1"/>
  <c r="R1215" i="1"/>
  <c r="S1215" i="1"/>
  <c r="T1215" i="1"/>
  <c r="U1215" i="1"/>
  <c r="V1215" i="1"/>
  <c r="AI1215" i="1"/>
  <c r="AJ1215" i="1"/>
  <c r="AK1215" i="1"/>
  <c r="AP1215" i="1"/>
  <c r="AR1215" i="1"/>
  <c r="AY1215" i="1"/>
  <c r="BE1215" i="1"/>
  <c r="BF1215" i="1"/>
  <c r="C1216" i="1"/>
  <c r="E1216" i="1"/>
  <c r="F1216" i="1"/>
  <c r="G1216" i="1"/>
  <c r="H1216" i="1"/>
  <c r="L1216" i="1"/>
  <c r="M1216" i="1"/>
  <c r="N1216" i="1"/>
  <c r="O1216" i="1"/>
  <c r="P1216" i="1"/>
  <c r="Q1216" i="1"/>
  <c r="R1216" i="1"/>
  <c r="S1216" i="1"/>
  <c r="T1216" i="1"/>
  <c r="U1216" i="1"/>
  <c r="V1216" i="1"/>
  <c r="AI1216" i="1"/>
  <c r="AJ1216" i="1"/>
  <c r="AK1216" i="1"/>
  <c r="AP1216" i="1"/>
  <c r="AR1216" i="1"/>
  <c r="AY1216" i="1"/>
  <c r="BE1216" i="1"/>
  <c r="BF1216" i="1"/>
  <c r="C1217" i="1"/>
  <c r="E1217" i="1"/>
  <c r="F1217" i="1"/>
  <c r="G1217" i="1"/>
  <c r="H1217" i="1"/>
  <c r="L1217" i="1"/>
  <c r="M1217" i="1"/>
  <c r="N1217" i="1"/>
  <c r="O1217" i="1"/>
  <c r="P1217" i="1"/>
  <c r="Q1217" i="1"/>
  <c r="R1217" i="1"/>
  <c r="S1217" i="1"/>
  <c r="T1217" i="1"/>
  <c r="U1217" i="1"/>
  <c r="V1217" i="1"/>
  <c r="AI1217" i="1"/>
  <c r="AJ1217" i="1"/>
  <c r="AK1217" i="1"/>
  <c r="AP1217" i="1"/>
  <c r="AR1217" i="1"/>
  <c r="AY1217" i="1"/>
  <c r="BE1217" i="1"/>
  <c r="BF1217" i="1"/>
  <c r="C1218" i="1"/>
  <c r="E1218" i="1"/>
  <c r="F1218" i="1"/>
  <c r="G1218" i="1"/>
  <c r="H1218" i="1"/>
  <c r="L1218" i="1"/>
  <c r="M1218" i="1"/>
  <c r="N1218" i="1"/>
  <c r="O1218" i="1"/>
  <c r="P1218" i="1"/>
  <c r="Q1218" i="1"/>
  <c r="R1218" i="1"/>
  <c r="S1218" i="1"/>
  <c r="T1218" i="1"/>
  <c r="U1218" i="1"/>
  <c r="V1218" i="1"/>
  <c r="AI1218" i="1"/>
  <c r="AJ1218" i="1"/>
  <c r="AK1218" i="1"/>
  <c r="AP1218" i="1"/>
  <c r="AR1218" i="1"/>
  <c r="AY1218" i="1"/>
  <c r="BE1218" i="1"/>
  <c r="BF1218" i="1"/>
  <c r="C1219" i="1"/>
  <c r="E1219" i="1"/>
  <c r="F1219" i="1"/>
  <c r="G1219" i="1"/>
  <c r="H1219" i="1"/>
  <c r="L1219" i="1"/>
  <c r="M1219" i="1"/>
  <c r="N1219" i="1"/>
  <c r="O1219" i="1"/>
  <c r="P1219" i="1"/>
  <c r="Q1219" i="1"/>
  <c r="R1219" i="1"/>
  <c r="S1219" i="1"/>
  <c r="T1219" i="1"/>
  <c r="U1219" i="1"/>
  <c r="V1219" i="1"/>
  <c r="AI1219" i="1"/>
  <c r="AJ1219" i="1"/>
  <c r="AK1219" i="1"/>
  <c r="AP1219" i="1"/>
  <c r="AR1219" i="1"/>
  <c r="AY1219" i="1"/>
  <c r="BE1219" i="1"/>
  <c r="BF1219" i="1"/>
  <c r="C1220" i="1"/>
  <c r="E1220" i="1"/>
  <c r="F1220" i="1"/>
  <c r="G1220" i="1"/>
  <c r="H1220" i="1"/>
  <c r="L1220" i="1"/>
  <c r="M1220" i="1"/>
  <c r="N1220" i="1"/>
  <c r="O1220" i="1"/>
  <c r="P1220" i="1"/>
  <c r="Q1220" i="1"/>
  <c r="R1220" i="1"/>
  <c r="S1220" i="1"/>
  <c r="T1220" i="1"/>
  <c r="U1220" i="1"/>
  <c r="V1220" i="1"/>
  <c r="AI1220" i="1"/>
  <c r="AJ1220" i="1"/>
  <c r="AK1220" i="1"/>
  <c r="AP1220" i="1"/>
  <c r="AR1220" i="1"/>
  <c r="AY1220" i="1"/>
  <c r="BE1220" i="1"/>
  <c r="BF1220" i="1"/>
  <c r="C1221" i="1"/>
  <c r="E1221" i="1"/>
  <c r="F1221" i="1"/>
  <c r="G1221" i="1"/>
  <c r="H1221" i="1"/>
  <c r="L1221" i="1"/>
  <c r="M1221" i="1"/>
  <c r="N1221" i="1"/>
  <c r="O1221" i="1"/>
  <c r="P1221" i="1"/>
  <c r="Q1221" i="1"/>
  <c r="R1221" i="1"/>
  <c r="S1221" i="1"/>
  <c r="T1221" i="1"/>
  <c r="U1221" i="1"/>
  <c r="V1221" i="1"/>
  <c r="AI1221" i="1"/>
  <c r="AJ1221" i="1"/>
  <c r="AK1221" i="1"/>
  <c r="AP1221" i="1"/>
  <c r="AR1221" i="1"/>
  <c r="AY1221" i="1"/>
  <c r="BE1221" i="1"/>
  <c r="BF1221" i="1"/>
  <c r="C1222" i="1"/>
  <c r="E1222" i="1"/>
  <c r="F1222" i="1"/>
  <c r="G1222" i="1"/>
  <c r="H1222" i="1"/>
  <c r="L1222" i="1"/>
  <c r="M1222" i="1"/>
  <c r="N1222" i="1"/>
  <c r="O1222" i="1"/>
  <c r="P1222" i="1"/>
  <c r="Q1222" i="1"/>
  <c r="R1222" i="1"/>
  <c r="S1222" i="1"/>
  <c r="T1222" i="1"/>
  <c r="U1222" i="1"/>
  <c r="V1222" i="1"/>
  <c r="AI1222" i="1"/>
  <c r="AJ1222" i="1"/>
  <c r="AK1222" i="1"/>
  <c r="AP1222" i="1"/>
  <c r="AR1222" i="1"/>
  <c r="AY1222" i="1"/>
  <c r="BE1222" i="1"/>
  <c r="BF1222" i="1"/>
  <c r="C1223" i="1"/>
  <c r="E1223" i="1"/>
  <c r="F1223" i="1"/>
  <c r="G1223" i="1"/>
  <c r="H1223" i="1"/>
  <c r="L1223" i="1"/>
  <c r="M1223" i="1"/>
  <c r="N1223" i="1"/>
  <c r="O1223" i="1"/>
  <c r="P1223" i="1"/>
  <c r="Q1223" i="1"/>
  <c r="R1223" i="1"/>
  <c r="S1223" i="1"/>
  <c r="T1223" i="1"/>
  <c r="U1223" i="1"/>
  <c r="V1223" i="1"/>
  <c r="AI1223" i="1"/>
  <c r="AJ1223" i="1"/>
  <c r="AK1223" i="1"/>
  <c r="AP1223" i="1"/>
  <c r="AR1223" i="1"/>
  <c r="AY1223" i="1"/>
  <c r="BE1223" i="1"/>
  <c r="BF1223" i="1"/>
  <c r="C1224" i="1"/>
  <c r="E1224" i="1"/>
  <c r="F1224" i="1"/>
  <c r="G1224" i="1"/>
  <c r="H1224" i="1"/>
  <c r="L1224" i="1"/>
  <c r="M1224" i="1"/>
  <c r="N1224" i="1"/>
  <c r="O1224" i="1"/>
  <c r="P1224" i="1"/>
  <c r="Q1224" i="1"/>
  <c r="R1224" i="1"/>
  <c r="S1224" i="1"/>
  <c r="T1224" i="1"/>
  <c r="U1224" i="1"/>
  <c r="V1224" i="1"/>
  <c r="AI1224" i="1"/>
  <c r="AJ1224" i="1"/>
  <c r="AK1224" i="1"/>
  <c r="AP1224" i="1"/>
  <c r="AR1224" i="1"/>
  <c r="AY1224" i="1"/>
  <c r="BE1224" i="1"/>
  <c r="BF1224" i="1"/>
  <c r="C1225" i="1"/>
  <c r="E1225" i="1"/>
  <c r="F1225" i="1"/>
  <c r="G1225" i="1"/>
  <c r="H1225" i="1"/>
  <c r="L1225" i="1"/>
  <c r="M1225" i="1"/>
  <c r="N1225" i="1"/>
  <c r="O1225" i="1"/>
  <c r="P1225" i="1"/>
  <c r="Q1225" i="1"/>
  <c r="R1225" i="1"/>
  <c r="S1225" i="1"/>
  <c r="T1225" i="1"/>
  <c r="U1225" i="1"/>
  <c r="V1225" i="1"/>
  <c r="AI1225" i="1"/>
  <c r="AJ1225" i="1"/>
  <c r="AK1225" i="1"/>
  <c r="AP1225" i="1"/>
  <c r="AR1225" i="1"/>
  <c r="AY1225" i="1"/>
  <c r="BE1225" i="1"/>
  <c r="BF1225" i="1"/>
  <c r="C1226" i="1"/>
  <c r="E1226" i="1"/>
  <c r="F1226" i="1"/>
  <c r="G1226" i="1"/>
  <c r="H1226" i="1"/>
  <c r="L1226" i="1"/>
  <c r="M1226" i="1"/>
  <c r="N1226" i="1"/>
  <c r="O1226" i="1"/>
  <c r="P1226" i="1"/>
  <c r="Q1226" i="1"/>
  <c r="R1226" i="1"/>
  <c r="S1226" i="1"/>
  <c r="T1226" i="1"/>
  <c r="U1226" i="1"/>
  <c r="V1226" i="1"/>
  <c r="AI1226" i="1"/>
  <c r="AJ1226" i="1"/>
  <c r="AK1226" i="1"/>
  <c r="AP1226" i="1"/>
  <c r="AR1226" i="1"/>
  <c r="AY1226" i="1"/>
  <c r="BE1226" i="1"/>
  <c r="BF1226" i="1"/>
  <c r="C1227" i="1"/>
  <c r="E1227" i="1"/>
  <c r="F1227" i="1"/>
  <c r="G1227" i="1"/>
  <c r="H1227" i="1"/>
  <c r="L1227" i="1"/>
  <c r="M1227" i="1"/>
  <c r="N1227" i="1"/>
  <c r="O1227" i="1"/>
  <c r="P1227" i="1"/>
  <c r="Q1227" i="1"/>
  <c r="R1227" i="1"/>
  <c r="S1227" i="1"/>
  <c r="T1227" i="1"/>
  <c r="U1227" i="1"/>
  <c r="V1227" i="1"/>
  <c r="AI1227" i="1"/>
  <c r="AJ1227" i="1"/>
  <c r="AK1227" i="1"/>
  <c r="AP1227" i="1"/>
  <c r="AR1227" i="1"/>
  <c r="AY1227" i="1"/>
  <c r="BE1227" i="1"/>
  <c r="BF1227" i="1"/>
  <c r="C1228" i="1"/>
  <c r="E1228" i="1"/>
  <c r="F1228" i="1"/>
  <c r="G1228" i="1"/>
  <c r="H1228" i="1"/>
  <c r="L1228" i="1"/>
  <c r="M1228" i="1"/>
  <c r="N1228" i="1"/>
  <c r="O1228" i="1"/>
  <c r="P1228" i="1"/>
  <c r="Q1228" i="1"/>
  <c r="R1228" i="1"/>
  <c r="S1228" i="1"/>
  <c r="T1228" i="1"/>
  <c r="U1228" i="1"/>
  <c r="V1228" i="1"/>
  <c r="AI1228" i="1"/>
  <c r="AJ1228" i="1"/>
  <c r="AK1228" i="1"/>
  <c r="AP1228" i="1"/>
  <c r="AR1228" i="1"/>
  <c r="AY1228" i="1"/>
  <c r="BE1228" i="1"/>
  <c r="BF1228" i="1"/>
  <c r="C1229" i="1"/>
  <c r="E1229" i="1"/>
  <c r="F1229" i="1"/>
  <c r="G1229" i="1"/>
  <c r="H1229" i="1"/>
  <c r="L1229" i="1"/>
  <c r="M1229" i="1"/>
  <c r="N1229" i="1"/>
  <c r="O1229" i="1"/>
  <c r="P1229" i="1"/>
  <c r="Q1229" i="1"/>
  <c r="R1229" i="1"/>
  <c r="S1229" i="1"/>
  <c r="T1229" i="1"/>
  <c r="U1229" i="1"/>
  <c r="V1229" i="1"/>
  <c r="AI1229" i="1"/>
  <c r="AJ1229" i="1"/>
  <c r="AK1229" i="1"/>
  <c r="AP1229" i="1"/>
  <c r="AR1229" i="1"/>
  <c r="AY1229" i="1"/>
  <c r="BE1229" i="1"/>
  <c r="BF1229" i="1"/>
  <c r="C1230" i="1"/>
  <c r="E1230" i="1"/>
  <c r="F1230" i="1"/>
  <c r="G1230" i="1"/>
  <c r="H1230" i="1"/>
  <c r="L1230" i="1"/>
  <c r="M1230" i="1"/>
  <c r="N1230" i="1"/>
  <c r="O1230" i="1"/>
  <c r="P1230" i="1"/>
  <c r="Q1230" i="1"/>
  <c r="R1230" i="1"/>
  <c r="S1230" i="1"/>
  <c r="T1230" i="1"/>
  <c r="U1230" i="1"/>
  <c r="V1230" i="1"/>
  <c r="AI1230" i="1"/>
  <c r="AJ1230" i="1"/>
  <c r="AK1230" i="1"/>
  <c r="AP1230" i="1"/>
  <c r="AR1230" i="1"/>
  <c r="AY1230" i="1"/>
  <c r="BE1230" i="1"/>
  <c r="BF1230" i="1"/>
  <c r="C1231" i="1"/>
  <c r="E1231" i="1"/>
  <c r="F1231" i="1"/>
  <c r="G1231" i="1"/>
  <c r="H1231" i="1"/>
  <c r="L1231" i="1"/>
  <c r="M1231" i="1"/>
  <c r="N1231" i="1"/>
  <c r="O1231" i="1"/>
  <c r="P1231" i="1"/>
  <c r="Q1231" i="1"/>
  <c r="R1231" i="1"/>
  <c r="S1231" i="1"/>
  <c r="T1231" i="1"/>
  <c r="U1231" i="1"/>
  <c r="V1231" i="1"/>
  <c r="AI1231" i="1"/>
  <c r="AJ1231" i="1"/>
  <c r="AK1231" i="1"/>
  <c r="AP1231" i="1"/>
  <c r="AR1231" i="1"/>
  <c r="AY1231" i="1"/>
  <c r="BE1231" i="1"/>
  <c r="BF1231" i="1"/>
  <c r="C1232" i="1"/>
  <c r="E1232" i="1"/>
  <c r="F1232" i="1"/>
  <c r="G1232" i="1"/>
  <c r="H1232" i="1"/>
  <c r="L1232" i="1"/>
  <c r="M1232" i="1"/>
  <c r="N1232" i="1"/>
  <c r="O1232" i="1"/>
  <c r="P1232" i="1"/>
  <c r="Q1232" i="1"/>
  <c r="R1232" i="1"/>
  <c r="S1232" i="1"/>
  <c r="T1232" i="1"/>
  <c r="U1232" i="1"/>
  <c r="V1232" i="1"/>
  <c r="AI1232" i="1"/>
  <c r="AJ1232" i="1"/>
  <c r="AK1232" i="1"/>
  <c r="AP1232" i="1"/>
  <c r="AR1232" i="1"/>
  <c r="AY1232" i="1"/>
  <c r="BE1232" i="1"/>
  <c r="BF1232" i="1"/>
  <c r="C1233" i="1"/>
  <c r="E1233" i="1"/>
  <c r="F1233" i="1"/>
  <c r="G1233" i="1"/>
  <c r="H1233" i="1"/>
  <c r="L1233" i="1"/>
  <c r="M1233" i="1"/>
  <c r="N1233" i="1"/>
  <c r="O1233" i="1"/>
  <c r="P1233" i="1"/>
  <c r="Q1233" i="1"/>
  <c r="R1233" i="1"/>
  <c r="S1233" i="1"/>
  <c r="T1233" i="1"/>
  <c r="U1233" i="1"/>
  <c r="V1233" i="1"/>
  <c r="AI1233" i="1"/>
  <c r="AJ1233" i="1"/>
  <c r="AK1233" i="1"/>
  <c r="AP1233" i="1"/>
  <c r="AR1233" i="1"/>
  <c r="AY1233" i="1"/>
  <c r="BE1233" i="1"/>
  <c r="BF1233" i="1"/>
  <c r="C1234" i="1"/>
  <c r="E1234" i="1"/>
  <c r="F1234" i="1"/>
  <c r="G1234" i="1"/>
  <c r="H1234" i="1"/>
  <c r="L1234" i="1"/>
  <c r="M1234" i="1"/>
  <c r="N1234" i="1"/>
  <c r="O1234" i="1"/>
  <c r="P1234" i="1"/>
  <c r="Q1234" i="1"/>
  <c r="R1234" i="1"/>
  <c r="S1234" i="1"/>
  <c r="T1234" i="1"/>
  <c r="U1234" i="1"/>
  <c r="V1234" i="1"/>
  <c r="AI1234" i="1"/>
  <c r="AJ1234" i="1"/>
  <c r="AK1234" i="1"/>
  <c r="AP1234" i="1"/>
  <c r="AR1234" i="1"/>
  <c r="AY1234" i="1"/>
  <c r="BE1234" i="1"/>
  <c r="BF1234" i="1"/>
  <c r="C1235" i="1"/>
  <c r="E1235" i="1"/>
  <c r="F1235" i="1"/>
  <c r="G1235" i="1"/>
  <c r="H1235" i="1"/>
  <c r="L1235" i="1"/>
  <c r="M1235" i="1"/>
  <c r="N1235" i="1"/>
  <c r="O1235" i="1"/>
  <c r="P1235" i="1"/>
  <c r="Q1235" i="1"/>
  <c r="R1235" i="1"/>
  <c r="S1235" i="1"/>
  <c r="T1235" i="1"/>
  <c r="U1235" i="1"/>
  <c r="V1235" i="1"/>
  <c r="AI1235" i="1"/>
  <c r="AJ1235" i="1"/>
  <c r="AK1235" i="1"/>
  <c r="AP1235" i="1"/>
  <c r="AR1235" i="1"/>
  <c r="AY1235" i="1"/>
  <c r="BE1235" i="1"/>
  <c r="BF1235" i="1"/>
  <c r="C1236" i="1"/>
  <c r="E1236" i="1"/>
  <c r="F1236" i="1"/>
  <c r="G1236" i="1"/>
  <c r="H1236" i="1"/>
  <c r="L1236" i="1"/>
  <c r="M1236" i="1"/>
  <c r="N1236" i="1"/>
  <c r="O1236" i="1"/>
  <c r="P1236" i="1"/>
  <c r="Q1236" i="1"/>
  <c r="R1236" i="1"/>
  <c r="S1236" i="1"/>
  <c r="T1236" i="1"/>
  <c r="U1236" i="1"/>
  <c r="V1236" i="1"/>
  <c r="AI1236" i="1"/>
  <c r="AJ1236" i="1"/>
  <c r="AK1236" i="1"/>
  <c r="AP1236" i="1"/>
  <c r="AR1236" i="1"/>
  <c r="AY1236" i="1"/>
  <c r="BE1236" i="1"/>
  <c r="BF1236" i="1"/>
  <c r="C1237" i="1"/>
  <c r="E1237" i="1"/>
  <c r="F1237" i="1"/>
  <c r="G1237" i="1"/>
  <c r="H1237" i="1"/>
  <c r="L1237" i="1"/>
  <c r="M1237" i="1"/>
  <c r="N1237" i="1"/>
  <c r="O1237" i="1"/>
  <c r="P1237" i="1"/>
  <c r="Q1237" i="1"/>
  <c r="R1237" i="1"/>
  <c r="S1237" i="1"/>
  <c r="T1237" i="1"/>
  <c r="U1237" i="1"/>
  <c r="V1237" i="1"/>
  <c r="AI1237" i="1"/>
  <c r="AJ1237" i="1"/>
  <c r="AK1237" i="1"/>
  <c r="AP1237" i="1"/>
  <c r="AR1237" i="1"/>
  <c r="AY1237" i="1"/>
  <c r="BE1237" i="1"/>
  <c r="BF1237" i="1"/>
  <c r="C1238" i="1"/>
  <c r="E1238" i="1"/>
  <c r="F1238" i="1"/>
  <c r="G1238" i="1"/>
  <c r="H1238" i="1"/>
  <c r="L1238" i="1"/>
  <c r="M1238" i="1"/>
  <c r="N1238" i="1"/>
  <c r="O1238" i="1"/>
  <c r="P1238" i="1"/>
  <c r="Q1238" i="1"/>
  <c r="R1238" i="1"/>
  <c r="S1238" i="1"/>
  <c r="T1238" i="1"/>
  <c r="U1238" i="1"/>
  <c r="V1238" i="1"/>
  <c r="AI1238" i="1"/>
  <c r="AJ1238" i="1"/>
  <c r="AK1238" i="1"/>
  <c r="AP1238" i="1"/>
  <c r="AR1238" i="1"/>
  <c r="AY1238" i="1"/>
  <c r="BE1238" i="1"/>
  <c r="BF1238" i="1"/>
  <c r="C1239" i="1"/>
  <c r="E1239" i="1"/>
  <c r="F1239" i="1"/>
  <c r="G1239" i="1"/>
  <c r="H1239" i="1"/>
  <c r="L1239" i="1"/>
  <c r="M1239" i="1"/>
  <c r="N1239" i="1"/>
  <c r="O1239" i="1"/>
  <c r="P1239" i="1"/>
  <c r="Q1239" i="1"/>
  <c r="R1239" i="1"/>
  <c r="S1239" i="1"/>
  <c r="T1239" i="1"/>
  <c r="U1239" i="1"/>
  <c r="V1239" i="1"/>
  <c r="AI1239" i="1"/>
  <c r="AJ1239" i="1"/>
  <c r="AK1239" i="1"/>
  <c r="AP1239" i="1"/>
  <c r="AR1239" i="1"/>
  <c r="AY1239" i="1"/>
  <c r="BE1239" i="1"/>
  <c r="BF1239" i="1"/>
  <c r="C1240" i="1"/>
  <c r="E1240" i="1"/>
  <c r="F1240" i="1"/>
  <c r="G1240" i="1"/>
  <c r="H1240" i="1"/>
  <c r="L1240" i="1"/>
  <c r="M1240" i="1"/>
  <c r="N1240" i="1"/>
  <c r="O1240" i="1"/>
  <c r="P1240" i="1"/>
  <c r="Q1240" i="1"/>
  <c r="R1240" i="1"/>
  <c r="S1240" i="1"/>
  <c r="T1240" i="1"/>
  <c r="U1240" i="1"/>
  <c r="V1240" i="1"/>
  <c r="AI1240" i="1"/>
  <c r="AJ1240" i="1"/>
  <c r="AK1240" i="1"/>
  <c r="AP1240" i="1"/>
  <c r="AR1240" i="1"/>
  <c r="AY1240" i="1"/>
  <c r="BE1240" i="1"/>
  <c r="BF1240" i="1"/>
  <c r="C1241" i="1"/>
  <c r="E1241" i="1"/>
  <c r="F1241" i="1"/>
  <c r="G1241" i="1"/>
  <c r="H1241" i="1"/>
  <c r="L1241" i="1"/>
  <c r="M1241" i="1"/>
  <c r="N1241" i="1"/>
  <c r="O1241" i="1"/>
  <c r="P1241" i="1"/>
  <c r="Q1241" i="1"/>
  <c r="R1241" i="1"/>
  <c r="S1241" i="1"/>
  <c r="T1241" i="1"/>
  <c r="U1241" i="1"/>
  <c r="V1241" i="1"/>
  <c r="AI1241" i="1"/>
  <c r="AJ1241" i="1"/>
  <c r="AK1241" i="1"/>
  <c r="AP1241" i="1"/>
  <c r="AR1241" i="1"/>
  <c r="AY1241" i="1"/>
  <c r="BE1241" i="1"/>
  <c r="BF1241" i="1"/>
  <c r="C1242" i="1"/>
  <c r="E1242" i="1"/>
  <c r="F1242" i="1"/>
  <c r="G1242" i="1"/>
  <c r="H1242" i="1"/>
  <c r="L1242" i="1"/>
  <c r="M1242" i="1"/>
  <c r="N1242" i="1"/>
  <c r="O1242" i="1"/>
  <c r="P1242" i="1"/>
  <c r="Q1242" i="1"/>
  <c r="R1242" i="1"/>
  <c r="S1242" i="1"/>
  <c r="T1242" i="1"/>
  <c r="U1242" i="1"/>
  <c r="V1242" i="1"/>
  <c r="AI1242" i="1"/>
  <c r="AJ1242" i="1"/>
  <c r="AK1242" i="1"/>
  <c r="AP1242" i="1"/>
  <c r="AR1242" i="1"/>
  <c r="AY1242" i="1"/>
  <c r="BE1242" i="1"/>
  <c r="BF1242" i="1"/>
  <c r="C1243" i="1"/>
  <c r="E1243" i="1"/>
  <c r="F1243" i="1"/>
  <c r="G1243" i="1"/>
  <c r="H1243" i="1"/>
  <c r="L1243" i="1"/>
  <c r="M1243" i="1"/>
  <c r="N1243" i="1"/>
  <c r="O1243" i="1"/>
  <c r="P1243" i="1"/>
  <c r="Q1243" i="1"/>
  <c r="R1243" i="1"/>
  <c r="S1243" i="1"/>
  <c r="T1243" i="1"/>
  <c r="U1243" i="1"/>
  <c r="V1243" i="1"/>
  <c r="AI1243" i="1"/>
  <c r="AJ1243" i="1"/>
  <c r="AK1243" i="1"/>
  <c r="AP1243" i="1"/>
  <c r="AR1243" i="1"/>
  <c r="AY1243" i="1"/>
  <c r="BE1243" i="1"/>
  <c r="BF1243" i="1"/>
  <c r="C1244" i="1"/>
  <c r="E1244" i="1"/>
  <c r="F1244" i="1"/>
  <c r="G1244" i="1"/>
  <c r="H1244" i="1"/>
  <c r="L1244" i="1"/>
  <c r="M1244" i="1"/>
  <c r="N1244" i="1"/>
  <c r="O1244" i="1"/>
  <c r="P1244" i="1"/>
  <c r="Q1244" i="1"/>
  <c r="R1244" i="1"/>
  <c r="S1244" i="1"/>
  <c r="T1244" i="1"/>
  <c r="U1244" i="1"/>
  <c r="V1244" i="1"/>
  <c r="AI1244" i="1"/>
  <c r="AJ1244" i="1"/>
  <c r="AK1244" i="1"/>
  <c r="AP1244" i="1"/>
  <c r="AR1244" i="1"/>
  <c r="AY1244" i="1"/>
  <c r="BE1244" i="1"/>
  <c r="BF1244" i="1"/>
  <c r="C1245" i="1"/>
  <c r="E1245" i="1"/>
  <c r="F1245" i="1"/>
  <c r="G1245" i="1"/>
  <c r="H1245" i="1"/>
  <c r="L1245" i="1"/>
  <c r="M1245" i="1"/>
  <c r="N1245" i="1"/>
  <c r="O1245" i="1"/>
  <c r="P1245" i="1"/>
  <c r="Q1245" i="1"/>
  <c r="R1245" i="1"/>
  <c r="S1245" i="1"/>
  <c r="T1245" i="1"/>
  <c r="U1245" i="1"/>
  <c r="V1245" i="1"/>
  <c r="AI1245" i="1"/>
  <c r="AJ1245" i="1"/>
  <c r="AK1245" i="1"/>
  <c r="AP1245" i="1"/>
  <c r="AR1245" i="1"/>
  <c r="AY1245" i="1"/>
  <c r="BE1245" i="1"/>
  <c r="BF1245" i="1"/>
  <c r="C1246" i="1"/>
  <c r="E1246" i="1"/>
  <c r="F1246" i="1"/>
  <c r="G1246" i="1"/>
  <c r="H1246" i="1"/>
  <c r="L1246" i="1"/>
  <c r="M1246" i="1"/>
  <c r="N1246" i="1"/>
  <c r="O1246" i="1"/>
  <c r="P1246" i="1"/>
  <c r="Q1246" i="1"/>
  <c r="R1246" i="1"/>
  <c r="S1246" i="1"/>
  <c r="T1246" i="1"/>
  <c r="U1246" i="1"/>
  <c r="V1246" i="1"/>
  <c r="AI1246" i="1"/>
  <c r="AJ1246" i="1"/>
  <c r="AK1246" i="1"/>
  <c r="AP1246" i="1"/>
  <c r="AR1246" i="1"/>
  <c r="AY1246" i="1"/>
  <c r="BE1246" i="1"/>
  <c r="BF1246" i="1"/>
  <c r="C1247" i="1"/>
  <c r="E1247" i="1"/>
  <c r="F1247" i="1"/>
  <c r="G1247" i="1"/>
  <c r="H1247" i="1"/>
  <c r="L1247" i="1"/>
  <c r="M1247" i="1"/>
  <c r="N1247" i="1"/>
  <c r="O1247" i="1"/>
  <c r="P1247" i="1"/>
  <c r="Q1247" i="1"/>
  <c r="R1247" i="1"/>
  <c r="S1247" i="1"/>
  <c r="T1247" i="1"/>
  <c r="U1247" i="1"/>
  <c r="V1247" i="1"/>
  <c r="AI1247" i="1"/>
  <c r="AJ1247" i="1"/>
  <c r="AK1247" i="1"/>
  <c r="AP1247" i="1"/>
  <c r="AR1247" i="1"/>
  <c r="AY1247" i="1"/>
  <c r="BE1247" i="1"/>
  <c r="BF1247" i="1"/>
  <c r="C1248" i="1"/>
  <c r="E1248" i="1"/>
  <c r="F1248" i="1"/>
  <c r="G1248" i="1"/>
  <c r="H1248" i="1"/>
  <c r="L1248" i="1"/>
  <c r="M1248" i="1"/>
  <c r="N1248" i="1"/>
  <c r="O1248" i="1"/>
  <c r="P1248" i="1"/>
  <c r="Q1248" i="1"/>
  <c r="R1248" i="1"/>
  <c r="S1248" i="1"/>
  <c r="T1248" i="1"/>
  <c r="U1248" i="1"/>
  <c r="V1248" i="1"/>
  <c r="AI1248" i="1"/>
  <c r="AJ1248" i="1"/>
  <c r="AK1248" i="1"/>
  <c r="AP1248" i="1"/>
  <c r="AR1248" i="1"/>
  <c r="AY1248" i="1"/>
  <c r="BE1248" i="1"/>
  <c r="BF1248" i="1"/>
  <c r="C1249" i="1"/>
  <c r="E1249" i="1"/>
  <c r="F1249" i="1"/>
  <c r="G1249" i="1"/>
  <c r="H1249" i="1"/>
  <c r="L1249" i="1"/>
  <c r="M1249" i="1"/>
  <c r="N1249" i="1"/>
  <c r="O1249" i="1"/>
  <c r="P1249" i="1"/>
  <c r="Q1249" i="1"/>
  <c r="R1249" i="1"/>
  <c r="S1249" i="1"/>
  <c r="T1249" i="1"/>
  <c r="U1249" i="1"/>
  <c r="V1249" i="1"/>
  <c r="AI1249" i="1"/>
  <c r="AJ1249" i="1"/>
  <c r="AK1249" i="1"/>
  <c r="AP1249" i="1"/>
  <c r="AR1249" i="1"/>
  <c r="AY1249" i="1"/>
  <c r="BE1249" i="1"/>
  <c r="BF1249" i="1"/>
  <c r="C1250" i="1"/>
  <c r="E1250" i="1"/>
  <c r="F1250" i="1"/>
  <c r="G1250" i="1"/>
  <c r="H1250" i="1"/>
  <c r="L1250" i="1"/>
  <c r="M1250" i="1"/>
  <c r="N1250" i="1"/>
  <c r="O1250" i="1"/>
  <c r="P1250" i="1"/>
  <c r="Q1250" i="1"/>
  <c r="R1250" i="1"/>
  <c r="S1250" i="1"/>
  <c r="T1250" i="1"/>
  <c r="U1250" i="1"/>
  <c r="V1250" i="1"/>
  <c r="AI1250" i="1"/>
  <c r="AJ1250" i="1"/>
  <c r="AK1250" i="1"/>
  <c r="AP1250" i="1"/>
  <c r="AR1250" i="1"/>
  <c r="AY1250" i="1"/>
  <c r="BE1250" i="1"/>
  <c r="BF1250" i="1"/>
  <c r="C1251" i="1"/>
  <c r="E1251" i="1"/>
  <c r="F1251" i="1"/>
  <c r="G1251" i="1"/>
  <c r="H1251" i="1"/>
  <c r="L1251" i="1"/>
  <c r="M1251" i="1"/>
  <c r="N1251" i="1"/>
  <c r="O1251" i="1"/>
  <c r="P1251" i="1"/>
  <c r="Q1251" i="1"/>
  <c r="R1251" i="1"/>
  <c r="S1251" i="1"/>
  <c r="T1251" i="1"/>
  <c r="U1251" i="1"/>
  <c r="V1251" i="1"/>
  <c r="AI1251" i="1"/>
  <c r="AJ1251" i="1"/>
  <c r="AK1251" i="1"/>
  <c r="AP1251" i="1"/>
  <c r="AR1251" i="1"/>
  <c r="AY1251" i="1"/>
  <c r="BE1251" i="1"/>
  <c r="BF1251" i="1"/>
  <c r="C1252" i="1"/>
  <c r="E1252" i="1"/>
  <c r="F1252" i="1"/>
  <c r="G1252" i="1"/>
  <c r="H1252" i="1"/>
  <c r="L1252" i="1"/>
  <c r="M1252" i="1"/>
  <c r="N1252" i="1"/>
  <c r="O1252" i="1"/>
  <c r="P1252" i="1"/>
  <c r="Q1252" i="1"/>
  <c r="R1252" i="1"/>
  <c r="S1252" i="1"/>
  <c r="T1252" i="1"/>
  <c r="U1252" i="1"/>
  <c r="V1252" i="1"/>
  <c r="AI1252" i="1"/>
  <c r="AJ1252" i="1"/>
  <c r="AK1252" i="1"/>
  <c r="AP1252" i="1"/>
  <c r="AR1252" i="1"/>
  <c r="AY1252" i="1"/>
  <c r="BE1252" i="1"/>
  <c r="BF1252" i="1"/>
  <c r="C1253" i="1"/>
  <c r="E1253" i="1"/>
  <c r="F1253" i="1"/>
  <c r="G1253" i="1"/>
  <c r="H1253" i="1"/>
  <c r="L1253" i="1"/>
  <c r="M1253" i="1"/>
  <c r="N1253" i="1"/>
  <c r="O1253" i="1"/>
  <c r="P1253" i="1"/>
  <c r="Q1253" i="1"/>
  <c r="R1253" i="1"/>
  <c r="S1253" i="1"/>
  <c r="T1253" i="1"/>
  <c r="U1253" i="1"/>
  <c r="V1253" i="1"/>
  <c r="AI1253" i="1"/>
  <c r="AJ1253" i="1"/>
  <c r="AK1253" i="1"/>
  <c r="AP1253" i="1"/>
  <c r="AR1253" i="1"/>
  <c r="AY1253" i="1"/>
  <c r="BE1253" i="1"/>
  <c r="BF1253" i="1"/>
  <c r="C1254" i="1"/>
  <c r="E1254" i="1"/>
  <c r="F1254" i="1"/>
  <c r="G1254" i="1"/>
  <c r="H1254" i="1"/>
  <c r="L1254" i="1"/>
  <c r="M1254" i="1"/>
  <c r="N1254" i="1"/>
  <c r="O1254" i="1"/>
  <c r="P1254" i="1"/>
  <c r="Q1254" i="1"/>
  <c r="R1254" i="1"/>
  <c r="S1254" i="1"/>
  <c r="T1254" i="1"/>
  <c r="U1254" i="1"/>
  <c r="V1254" i="1"/>
  <c r="AI1254" i="1"/>
  <c r="AJ1254" i="1"/>
  <c r="AK1254" i="1"/>
  <c r="AP1254" i="1"/>
  <c r="AR1254" i="1"/>
  <c r="AY1254" i="1"/>
  <c r="BE1254" i="1"/>
  <c r="BF1254" i="1"/>
  <c r="C1255" i="1"/>
  <c r="E1255" i="1"/>
  <c r="F1255" i="1"/>
  <c r="G1255" i="1"/>
  <c r="H1255" i="1"/>
  <c r="L1255" i="1"/>
  <c r="M1255" i="1"/>
  <c r="N1255" i="1"/>
  <c r="O1255" i="1"/>
  <c r="P1255" i="1"/>
  <c r="Q1255" i="1"/>
  <c r="R1255" i="1"/>
  <c r="S1255" i="1"/>
  <c r="T1255" i="1"/>
  <c r="U1255" i="1"/>
  <c r="V1255" i="1"/>
  <c r="AI1255" i="1"/>
  <c r="AJ1255" i="1"/>
  <c r="AK1255" i="1"/>
  <c r="AP1255" i="1"/>
  <c r="AR1255" i="1"/>
  <c r="AY1255" i="1"/>
  <c r="BE1255" i="1"/>
  <c r="BF1255" i="1"/>
  <c r="C1256" i="1"/>
  <c r="E1256" i="1"/>
  <c r="F1256" i="1"/>
  <c r="G1256" i="1"/>
  <c r="H1256" i="1"/>
  <c r="L1256" i="1"/>
  <c r="M1256" i="1"/>
  <c r="N1256" i="1"/>
  <c r="O1256" i="1"/>
  <c r="P1256" i="1"/>
  <c r="Q1256" i="1"/>
  <c r="R1256" i="1"/>
  <c r="S1256" i="1"/>
  <c r="T1256" i="1"/>
  <c r="U1256" i="1"/>
  <c r="V1256" i="1"/>
  <c r="AI1256" i="1"/>
  <c r="AJ1256" i="1"/>
  <c r="AK1256" i="1"/>
  <c r="AP1256" i="1"/>
  <c r="AR1256" i="1"/>
  <c r="AY1256" i="1"/>
  <c r="BE1256" i="1"/>
  <c r="BF1256" i="1"/>
  <c r="C1257" i="1"/>
  <c r="E1257" i="1"/>
  <c r="F1257" i="1"/>
  <c r="G1257" i="1"/>
  <c r="H1257" i="1"/>
  <c r="L1257" i="1"/>
  <c r="M1257" i="1"/>
  <c r="N1257" i="1"/>
  <c r="O1257" i="1"/>
  <c r="P1257" i="1"/>
  <c r="Q1257" i="1"/>
  <c r="R1257" i="1"/>
  <c r="S1257" i="1"/>
  <c r="T1257" i="1"/>
  <c r="U1257" i="1"/>
  <c r="V1257" i="1"/>
  <c r="AI1257" i="1"/>
  <c r="AJ1257" i="1"/>
  <c r="AK1257" i="1"/>
  <c r="AP1257" i="1"/>
  <c r="AR1257" i="1"/>
  <c r="AY1257" i="1"/>
  <c r="BE1257" i="1"/>
  <c r="BF1257" i="1"/>
  <c r="C1258" i="1"/>
  <c r="E1258" i="1"/>
  <c r="F1258" i="1"/>
  <c r="G1258" i="1"/>
  <c r="H1258" i="1"/>
  <c r="L1258" i="1"/>
  <c r="M1258" i="1"/>
  <c r="N1258" i="1"/>
  <c r="O1258" i="1"/>
  <c r="P1258" i="1"/>
  <c r="Q1258" i="1"/>
  <c r="R1258" i="1"/>
  <c r="S1258" i="1"/>
  <c r="T1258" i="1"/>
  <c r="U1258" i="1"/>
  <c r="V1258" i="1"/>
  <c r="AI1258" i="1"/>
  <c r="AJ1258" i="1"/>
  <c r="AK1258" i="1"/>
  <c r="AP1258" i="1"/>
  <c r="AR1258" i="1"/>
  <c r="AY1258" i="1"/>
  <c r="BE1258" i="1"/>
  <c r="BF1258" i="1"/>
  <c r="C1259" i="1"/>
  <c r="E1259" i="1"/>
  <c r="F1259" i="1"/>
  <c r="G1259" i="1"/>
  <c r="H1259" i="1"/>
  <c r="L1259" i="1"/>
  <c r="M1259" i="1"/>
  <c r="N1259" i="1"/>
  <c r="O1259" i="1"/>
  <c r="P1259" i="1"/>
  <c r="Q1259" i="1"/>
  <c r="R1259" i="1"/>
  <c r="S1259" i="1"/>
  <c r="T1259" i="1"/>
  <c r="U1259" i="1"/>
  <c r="V1259" i="1"/>
  <c r="AI1259" i="1"/>
  <c r="AJ1259" i="1"/>
  <c r="AK1259" i="1"/>
  <c r="AP1259" i="1"/>
  <c r="AR1259" i="1"/>
  <c r="AY1259" i="1"/>
  <c r="BE1259" i="1"/>
  <c r="BF1259" i="1"/>
  <c r="C1260" i="1"/>
  <c r="E1260" i="1"/>
  <c r="F1260" i="1"/>
  <c r="G1260" i="1"/>
  <c r="H1260" i="1"/>
  <c r="L1260" i="1"/>
  <c r="M1260" i="1"/>
  <c r="N1260" i="1"/>
  <c r="O1260" i="1"/>
  <c r="P1260" i="1"/>
  <c r="Q1260" i="1"/>
  <c r="R1260" i="1"/>
  <c r="S1260" i="1"/>
  <c r="T1260" i="1"/>
  <c r="U1260" i="1"/>
  <c r="V1260" i="1"/>
  <c r="AI1260" i="1"/>
  <c r="AJ1260" i="1"/>
  <c r="AK1260" i="1"/>
  <c r="AP1260" i="1"/>
  <c r="AR1260" i="1"/>
  <c r="AY1260" i="1"/>
  <c r="BE1260" i="1"/>
  <c r="BF1260" i="1"/>
  <c r="C1261" i="1"/>
  <c r="E1261" i="1"/>
  <c r="F1261" i="1"/>
  <c r="G1261" i="1"/>
  <c r="H1261" i="1"/>
  <c r="L1261" i="1"/>
  <c r="M1261" i="1"/>
  <c r="N1261" i="1"/>
  <c r="O1261" i="1"/>
  <c r="P1261" i="1"/>
  <c r="Q1261" i="1"/>
  <c r="R1261" i="1"/>
  <c r="S1261" i="1"/>
  <c r="T1261" i="1"/>
  <c r="U1261" i="1"/>
  <c r="V1261" i="1"/>
  <c r="AI1261" i="1"/>
  <c r="AJ1261" i="1"/>
  <c r="AK1261" i="1"/>
  <c r="AP1261" i="1"/>
  <c r="AR1261" i="1"/>
  <c r="AY1261" i="1"/>
  <c r="BE1261" i="1"/>
  <c r="BF1261" i="1"/>
  <c r="C1262" i="1"/>
  <c r="E1262" i="1"/>
  <c r="F1262" i="1"/>
  <c r="G1262" i="1"/>
  <c r="H1262" i="1"/>
  <c r="L1262" i="1"/>
  <c r="M1262" i="1"/>
  <c r="N1262" i="1"/>
  <c r="O1262" i="1"/>
  <c r="P1262" i="1"/>
  <c r="Q1262" i="1"/>
  <c r="R1262" i="1"/>
  <c r="S1262" i="1"/>
  <c r="T1262" i="1"/>
  <c r="U1262" i="1"/>
  <c r="V1262" i="1"/>
  <c r="AI1262" i="1"/>
  <c r="AJ1262" i="1"/>
  <c r="AK1262" i="1"/>
  <c r="AP1262" i="1"/>
  <c r="AR1262" i="1"/>
  <c r="AY1262" i="1"/>
  <c r="BE1262" i="1"/>
  <c r="BF1262" i="1"/>
  <c r="C1263" i="1"/>
  <c r="E1263" i="1"/>
  <c r="F1263" i="1"/>
  <c r="G1263" i="1"/>
  <c r="H1263" i="1"/>
  <c r="L1263" i="1"/>
  <c r="M1263" i="1"/>
  <c r="N1263" i="1"/>
  <c r="O1263" i="1"/>
  <c r="P1263" i="1"/>
  <c r="Q1263" i="1"/>
  <c r="R1263" i="1"/>
  <c r="S1263" i="1"/>
  <c r="T1263" i="1"/>
  <c r="U1263" i="1"/>
  <c r="V1263" i="1"/>
  <c r="AI1263" i="1"/>
  <c r="AJ1263" i="1"/>
  <c r="AK1263" i="1"/>
  <c r="AP1263" i="1"/>
  <c r="AR1263" i="1"/>
  <c r="AY1263" i="1"/>
  <c r="BE1263" i="1"/>
  <c r="BF1263" i="1"/>
  <c r="C1264" i="1"/>
  <c r="E1264" i="1"/>
  <c r="F1264" i="1"/>
  <c r="G1264" i="1"/>
  <c r="H1264" i="1"/>
  <c r="L1264" i="1"/>
  <c r="M1264" i="1"/>
  <c r="N1264" i="1"/>
  <c r="O1264" i="1"/>
  <c r="P1264" i="1"/>
  <c r="Q1264" i="1"/>
  <c r="R1264" i="1"/>
  <c r="S1264" i="1"/>
  <c r="T1264" i="1"/>
  <c r="U1264" i="1"/>
  <c r="V1264" i="1"/>
  <c r="AI1264" i="1"/>
  <c r="AJ1264" i="1"/>
  <c r="AK1264" i="1"/>
  <c r="AP1264" i="1"/>
  <c r="AR1264" i="1"/>
  <c r="AY1264" i="1"/>
  <c r="BE1264" i="1"/>
  <c r="BF1264" i="1"/>
  <c r="C1265" i="1"/>
  <c r="E1265" i="1"/>
  <c r="F1265" i="1"/>
  <c r="G1265" i="1"/>
  <c r="H1265" i="1"/>
  <c r="L1265" i="1"/>
  <c r="M1265" i="1"/>
  <c r="N1265" i="1"/>
  <c r="O1265" i="1"/>
  <c r="P1265" i="1"/>
  <c r="Q1265" i="1"/>
  <c r="R1265" i="1"/>
  <c r="S1265" i="1"/>
  <c r="T1265" i="1"/>
  <c r="U1265" i="1"/>
  <c r="V1265" i="1"/>
  <c r="AI1265" i="1"/>
  <c r="AJ1265" i="1"/>
  <c r="AK1265" i="1"/>
  <c r="AP1265" i="1"/>
  <c r="AR1265" i="1"/>
  <c r="AY1265" i="1"/>
  <c r="BE1265" i="1"/>
  <c r="BF1265" i="1"/>
  <c r="C1266" i="1"/>
  <c r="E1266" i="1"/>
  <c r="F1266" i="1"/>
  <c r="G1266" i="1"/>
  <c r="H1266" i="1"/>
  <c r="L1266" i="1"/>
  <c r="M1266" i="1"/>
  <c r="N1266" i="1"/>
  <c r="O1266" i="1"/>
  <c r="P1266" i="1"/>
  <c r="Q1266" i="1"/>
  <c r="R1266" i="1"/>
  <c r="S1266" i="1"/>
  <c r="T1266" i="1"/>
  <c r="U1266" i="1"/>
  <c r="V1266" i="1"/>
  <c r="AI1266" i="1"/>
  <c r="AJ1266" i="1"/>
  <c r="AK1266" i="1"/>
  <c r="AP1266" i="1"/>
  <c r="AR1266" i="1"/>
  <c r="AY1266" i="1"/>
  <c r="BE1266" i="1"/>
  <c r="BF1266" i="1"/>
  <c r="C1267" i="1"/>
  <c r="E1267" i="1"/>
  <c r="F1267" i="1"/>
  <c r="G1267" i="1"/>
  <c r="H1267" i="1"/>
  <c r="L1267" i="1"/>
  <c r="M1267" i="1"/>
  <c r="N1267" i="1"/>
  <c r="O1267" i="1"/>
  <c r="P1267" i="1"/>
  <c r="Q1267" i="1"/>
  <c r="R1267" i="1"/>
  <c r="S1267" i="1"/>
  <c r="T1267" i="1"/>
  <c r="U1267" i="1"/>
  <c r="V1267" i="1"/>
  <c r="AI1267" i="1"/>
  <c r="AJ1267" i="1"/>
  <c r="AK1267" i="1"/>
  <c r="AP1267" i="1"/>
  <c r="AR1267" i="1"/>
  <c r="AY1267" i="1"/>
  <c r="BE1267" i="1"/>
  <c r="BF1267" i="1"/>
  <c r="C1268" i="1"/>
  <c r="E1268" i="1"/>
  <c r="F1268" i="1"/>
  <c r="G1268" i="1"/>
  <c r="H1268" i="1"/>
  <c r="L1268" i="1"/>
  <c r="M1268" i="1"/>
  <c r="N1268" i="1"/>
  <c r="O1268" i="1"/>
  <c r="P1268" i="1"/>
  <c r="Q1268" i="1"/>
  <c r="R1268" i="1"/>
  <c r="S1268" i="1"/>
  <c r="T1268" i="1"/>
  <c r="U1268" i="1"/>
  <c r="V1268" i="1"/>
  <c r="AI1268" i="1"/>
  <c r="AJ1268" i="1"/>
  <c r="AK1268" i="1"/>
  <c r="AP1268" i="1"/>
  <c r="AR1268" i="1"/>
  <c r="AY1268" i="1"/>
  <c r="BE1268" i="1"/>
  <c r="BF1268" i="1"/>
  <c r="C1269" i="1"/>
  <c r="E1269" i="1"/>
  <c r="F1269" i="1"/>
  <c r="G1269" i="1"/>
  <c r="H1269" i="1"/>
  <c r="L1269" i="1"/>
  <c r="M1269" i="1"/>
  <c r="N1269" i="1"/>
  <c r="O1269" i="1"/>
  <c r="P1269" i="1"/>
  <c r="Q1269" i="1"/>
  <c r="R1269" i="1"/>
  <c r="S1269" i="1"/>
  <c r="T1269" i="1"/>
  <c r="U1269" i="1"/>
  <c r="V1269" i="1"/>
  <c r="AI1269" i="1"/>
  <c r="AJ1269" i="1"/>
  <c r="AK1269" i="1"/>
  <c r="AP1269" i="1"/>
  <c r="AR1269" i="1"/>
  <c r="AY1269" i="1"/>
  <c r="BE1269" i="1"/>
  <c r="BF1269" i="1"/>
  <c r="C1270" i="1"/>
  <c r="E1270" i="1"/>
  <c r="F1270" i="1"/>
  <c r="G1270" i="1"/>
  <c r="H1270" i="1"/>
  <c r="L1270" i="1"/>
  <c r="M1270" i="1"/>
  <c r="N1270" i="1"/>
  <c r="O1270" i="1"/>
  <c r="P1270" i="1"/>
  <c r="Q1270" i="1"/>
  <c r="R1270" i="1"/>
  <c r="S1270" i="1"/>
  <c r="T1270" i="1"/>
  <c r="U1270" i="1"/>
  <c r="V1270" i="1"/>
  <c r="AI1270" i="1"/>
  <c r="AJ1270" i="1"/>
  <c r="AK1270" i="1"/>
  <c r="AP1270" i="1"/>
  <c r="AR1270" i="1"/>
  <c r="AY1270" i="1"/>
  <c r="BE1270" i="1"/>
  <c r="BF1270" i="1"/>
  <c r="C1271" i="1"/>
  <c r="E1271" i="1"/>
  <c r="F1271" i="1"/>
  <c r="G1271" i="1"/>
  <c r="H1271" i="1"/>
  <c r="L1271" i="1"/>
  <c r="M1271" i="1"/>
  <c r="N1271" i="1"/>
  <c r="O1271" i="1"/>
  <c r="P1271" i="1"/>
  <c r="Q1271" i="1"/>
  <c r="R1271" i="1"/>
  <c r="S1271" i="1"/>
  <c r="T1271" i="1"/>
  <c r="U1271" i="1"/>
  <c r="V1271" i="1"/>
  <c r="AI1271" i="1"/>
  <c r="AJ1271" i="1"/>
  <c r="AK1271" i="1"/>
  <c r="AP1271" i="1"/>
  <c r="AR1271" i="1"/>
  <c r="AY1271" i="1"/>
  <c r="BE1271" i="1"/>
  <c r="BF1271" i="1"/>
  <c r="C1272" i="1"/>
  <c r="E1272" i="1"/>
  <c r="F1272" i="1"/>
  <c r="G1272" i="1"/>
  <c r="H1272" i="1"/>
  <c r="L1272" i="1"/>
  <c r="M1272" i="1"/>
  <c r="N1272" i="1"/>
  <c r="O1272" i="1"/>
  <c r="P1272" i="1"/>
  <c r="Q1272" i="1"/>
  <c r="R1272" i="1"/>
  <c r="S1272" i="1"/>
  <c r="T1272" i="1"/>
  <c r="U1272" i="1"/>
  <c r="V1272" i="1"/>
  <c r="AI1272" i="1"/>
  <c r="AJ1272" i="1"/>
  <c r="AK1272" i="1"/>
  <c r="AP1272" i="1"/>
  <c r="AR1272" i="1"/>
  <c r="AY1272" i="1"/>
  <c r="BE1272" i="1"/>
  <c r="BF1272" i="1"/>
  <c r="C1273" i="1"/>
  <c r="E1273" i="1"/>
  <c r="F1273" i="1"/>
  <c r="G1273" i="1"/>
  <c r="H1273" i="1"/>
  <c r="L1273" i="1"/>
  <c r="M1273" i="1"/>
  <c r="N1273" i="1"/>
  <c r="O1273" i="1"/>
  <c r="P1273" i="1"/>
  <c r="Q1273" i="1"/>
  <c r="R1273" i="1"/>
  <c r="S1273" i="1"/>
  <c r="T1273" i="1"/>
  <c r="U1273" i="1"/>
  <c r="V1273" i="1"/>
  <c r="AI1273" i="1"/>
  <c r="AJ1273" i="1"/>
  <c r="AK1273" i="1"/>
  <c r="AP1273" i="1"/>
  <c r="AR1273" i="1"/>
  <c r="AY1273" i="1"/>
  <c r="BE1273" i="1"/>
  <c r="BF1273" i="1"/>
  <c r="C1274" i="1"/>
  <c r="E1274" i="1"/>
  <c r="F1274" i="1"/>
  <c r="G1274" i="1"/>
  <c r="H1274" i="1"/>
  <c r="L1274" i="1"/>
  <c r="M1274" i="1"/>
  <c r="N1274" i="1"/>
  <c r="O1274" i="1"/>
  <c r="P1274" i="1"/>
  <c r="Q1274" i="1"/>
  <c r="R1274" i="1"/>
  <c r="S1274" i="1"/>
  <c r="T1274" i="1"/>
  <c r="U1274" i="1"/>
  <c r="V1274" i="1"/>
  <c r="AI1274" i="1"/>
  <c r="AJ1274" i="1"/>
  <c r="AK1274" i="1"/>
  <c r="AP1274" i="1"/>
  <c r="AR1274" i="1"/>
  <c r="AY1274" i="1"/>
  <c r="BE1274" i="1"/>
  <c r="BF1274" i="1"/>
  <c r="C1275" i="1"/>
  <c r="E1275" i="1"/>
  <c r="F1275" i="1"/>
  <c r="G1275" i="1"/>
  <c r="H1275" i="1"/>
  <c r="L1275" i="1"/>
  <c r="M1275" i="1"/>
  <c r="N1275" i="1"/>
  <c r="O1275" i="1"/>
  <c r="P1275" i="1"/>
  <c r="Q1275" i="1"/>
  <c r="R1275" i="1"/>
  <c r="S1275" i="1"/>
  <c r="T1275" i="1"/>
  <c r="U1275" i="1"/>
  <c r="V1275" i="1"/>
  <c r="AI1275" i="1"/>
  <c r="AJ1275" i="1"/>
  <c r="AK1275" i="1"/>
  <c r="AP1275" i="1"/>
  <c r="AR1275" i="1"/>
  <c r="AY1275" i="1"/>
  <c r="BE1275" i="1"/>
  <c r="BF1275" i="1"/>
  <c r="C1276" i="1"/>
  <c r="E1276" i="1"/>
  <c r="F1276" i="1"/>
  <c r="G1276" i="1"/>
  <c r="H1276" i="1"/>
  <c r="L1276" i="1"/>
  <c r="M1276" i="1"/>
  <c r="N1276" i="1"/>
  <c r="O1276" i="1"/>
  <c r="P1276" i="1"/>
  <c r="Q1276" i="1"/>
  <c r="R1276" i="1"/>
  <c r="S1276" i="1"/>
  <c r="T1276" i="1"/>
  <c r="U1276" i="1"/>
  <c r="V1276" i="1"/>
  <c r="AI1276" i="1"/>
  <c r="AJ1276" i="1"/>
  <c r="AK1276" i="1"/>
  <c r="AP1276" i="1"/>
  <c r="AR1276" i="1"/>
  <c r="AY1276" i="1"/>
  <c r="BE1276" i="1"/>
  <c r="BF1276" i="1"/>
  <c r="C1277" i="1"/>
  <c r="E1277" i="1"/>
  <c r="F1277" i="1"/>
  <c r="G1277" i="1"/>
  <c r="H1277" i="1"/>
  <c r="L1277" i="1"/>
  <c r="M1277" i="1"/>
  <c r="N1277" i="1"/>
  <c r="O1277" i="1"/>
  <c r="P1277" i="1"/>
  <c r="Q1277" i="1"/>
  <c r="R1277" i="1"/>
  <c r="S1277" i="1"/>
  <c r="T1277" i="1"/>
  <c r="U1277" i="1"/>
  <c r="V1277" i="1"/>
  <c r="AI1277" i="1"/>
  <c r="AJ1277" i="1"/>
  <c r="AK1277" i="1"/>
  <c r="AP1277" i="1"/>
  <c r="AR1277" i="1"/>
  <c r="AY1277" i="1"/>
  <c r="BE1277" i="1"/>
  <c r="BF1277" i="1"/>
  <c r="C1278" i="1"/>
  <c r="E1278" i="1"/>
  <c r="F1278" i="1"/>
  <c r="G1278" i="1"/>
  <c r="H1278" i="1"/>
  <c r="L1278" i="1"/>
  <c r="M1278" i="1"/>
  <c r="N1278" i="1"/>
  <c r="O1278" i="1"/>
  <c r="P1278" i="1"/>
  <c r="Q1278" i="1"/>
  <c r="R1278" i="1"/>
  <c r="S1278" i="1"/>
  <c r="T1278" i="1"/>
  <c r="U1278" i="1"/>
  <c r="V1278" i="1"/>
  <c r="AI1278" i="1"/>
  <c r="AJ1278" i="1"/>
  <c r="AK1278" i="1"/>
  <c r="AP1278" i="1"/>
  <c r="AR1278" i="1"/>
  <c r="AY1278" i="1"/>
  <c r="BE1278" i="1"/>
  <c r="BF1278" i="1"/>
  <c r="C1279" i="1"/>
  <c r="E1279" i="1"/>
  <c r="F1279" i="1"/>
  <c r="G1279" i="1"/>
  <c r="H1279" i="1"/>
  <c r="L1279" i="1"/>
  <c r="M1279" i="1"/>
  <c r="N1279" i="1"/>
  <c r="O1279" i="1"/>
  <c r="P1279" i="1"/>
  <c r="Q1279" i="1"/>
  <c r="R1279" i="1"/>
  <c r="S1279" i="1"/>
  <c r="T1279" i="1"/>
  <c r="U1279" i="1"/>
  <c r="V1279" i="1"/>
  <c r="AI1279" i="1"/>
  <c r="AJ1279" i="1"/>
  <c r="AK1279" i="1"/>
  <c r="AP1279" i="1"/>
  <c r="AR1279" i="1"/>
  <c r="AY1279" i="1"/>
  <c r="BE1279" i="1"/>
  <c r="BF1279" i="1"/>
  <c r="C1280" i="1"/>
  <c r="E1280" i="1"/>
  <c r="F1280" i="1"/>
  <c r="G1280" i="1"/>
  <c r="H1280" i="1"/>
  <c r="L1280" i="1"/>
  <c r="M1280" i="1"/>
  <c r="N1280" i="1"/>
  <c r="O1280" i="1"/>
  <c r="P1280" i="1"/>
  <c r="Q1280" i="1"/>
  <c r="R1280" i="1"/>
  <c r="S1280" i="1"/>
  <c r="T1280" i="1"/>
  <c r="U1280" i="1"/>
  <c r="V1280" i="1"/>
  <c r="AI1280" i="1"/>
  <c r="AJ1280" i="1"/>
  <c r="AK1280" i="1"/>
  <c r="AP1280" i="1"/>
  <c r="AR1280" i="1"/>
  <c r="AY1280" i="1"/>
  <c r="BE1280" i="1"/>
  <c r="BF1280" i="1"/>
  <c r="C1281" i="1"/>
  <c r="E1281" i="1"/>
  <c r="F1281" i="1"/>
  <c r="G1281" i="1"/>
  <c r="H1281" i="1"/>
  <c r="L1281" i="1"/>
  <c r="M1281" i="1"/>
  <c r="N1281" i="1"/>
  <c r="O1281" i="1"/>
  <c r="P1281" i="1"/>
  <c r="Q1281" i="1"/>
  <c r="R1281" i="1"/>
  <c r="S1281" i="1"/>
  <c r="T1281" i="1"/>
  <c r="U1281" i="1"/>
  <c r="V1281" i="1"/>
  <c r="AI1281" i="1"/>
  <c r="AJ1281" i="1"/>
  <c r="AK1281" i="1"/>
  <c r="AP1281" i="1"/>
  <c r="AR1281" i="1"/>
  <c r="AY1281" i="1"/>
  <c r="BE1281" i="1"/>
  <c r="BF1281" i="1"/>
  <c r="C1282" i="1"/>
  <c r="E1282" i="1"/>
  <c r="F1282" i="1"/>
  <c r="G1282" i="1"/>
  <c r="H1282" i="1"/>
  <c r="L1282" i="1"/>
  <c r="M1282" i="1"/>
  <c r="N1282" i="1"/>
  <c r="O1282" i="1"/>
  <c r="P1282" i="1"/>
  <c r="Q1282" i="1"/>
  <c r="R1282" i="1"/>
  <c r="S1282" i="1"/>
  <c r="T1282" i="1"/>
  <c r="U1282" i="1"/>
  <c r="V1282" i="1"/>
  <c r="AI1282" i="1"/>
  <c r="AJ1282" i="1"/>
  <c r="AK1282" i="1"/>
  <c r="AP1282" i="1"/>
  <c r="AR1282" i="1"/>
  <c r="AY1282" i="1"/>
  <c r="BE1282" i="1"/>
  <c r="BF1282" i="1"/>
  <c r="C1283" i="1"/>
  <c r="E1283" i="1"/>
  <c r="F1283" i="1"/>
  <c r="G1283" i="1"/>
  <c r="H1283" i="1"/>
  <c r="L1283" i="1"/>
  <c r="M1283" i="1"/>
  <c r="N1283" i="1"/>
  <c r="O1283" i="1"/>
  <c r="P1283" i="1"/>
  <c r="Q1283" i="1"/>
  <c r="R1283" i="1"/>
  <c r="S1283" i="1"/>
  <c r="T1283" i="1"/>
  <c r="U1283" i="1"/>
  <c r="V1283" i="1"/>
  <c r="AI1283" i="1"/>
  <c r="AJ1283" i="1"/>
  <c r="AK1283" i="1"/>
  <c r="AP1283" i="1"/>
  <c r="AR1283" i="1"/>
  <c r="AY1283" i="1"/>
  <c r="BE1283" i="1"/>
  <c r="BF1283" i="1"/>
  <c r="C1284" i="1"/>
  <c r="E1284" i="1"/>
  <c r="F1284" i="1"/>
  <c r="G1284" i="1"/>
  <c r="H1284" i="1"/>
  <c r="L1284" i="1"/>
  <c r="M1284" i="1"/>
  <c r="N1284" i="1"/>
  <c r="O1284" i="1"/>
  <c r="P1284" i="1"/>
  <c r="Q1284" i="1"/>
  <c r="R1284" i="1"/>
  <c r="S1284" i="1"/>
  <c r="T1284" i="1"/>
  <c r="U1284" i="1"/>
  <c r="V1284" i="1"/>
  <c r="AI1284" i="1"/>
  <c r="AJ1284" i="1"/>
  <c r="AK1284" i="1"/>
  <c r="AP1284" i="1"/>
  <c r="AR1284" i="1"/>
  <c r="AY1284" i="1"/>
  <c r="BE1284" i="1"/>
  <c r="BF1284" i="1"/>
  <c r="C1285" i="1"/>
  <c r="E1285" i="1"/>
  <c r="F1285" i="1"/>
  <c r="G1285" i="1"/>
  <c r="H1285" i="1"/>
  <c r="L1285" i="1"/>
  <c r="M1285" i="1"/>
  <c r="N1285" i="1"/>
  <c r="O1285" i="1"/>
  <c r="P1285" i="1"/>
  <c r="Q1285" i="1"/>
  <c r="R1285" i="1"/>
  <c r="S1285" i="1"/>
  <c r="T1285" i="1"/>
  <c r="U1285" i="1"/>
  <c r="V1285" i="1"/>
  <c r="AI1285" i="1"/>
  <c r="AJ1285" i="1"/>
  <c r="AK1285" i="1"/>
  <c r="AP1285" i="1"/>
  <c r="AR1285" i="1"/>
  <c r="AY1285" i="1"/>
  <c r="BE1285" i="1"/>
  <c r="BF1285" i="1"/>
  <c r="C1286" i="1"/>
  <c r="E1286" i="1"/>
  <c r="F1286" i="1"/>
  <c r="G1286" i="1"/>
  <c r="H1286" i="1"/>
  <c r="L1286" i="1"/>
  <c r="M1286" i="1"/>
  <c r="N1286" i="1"/>
  <c r="O1286" i="1"/>
  <c r="P1286" i="1"/>
  <c r="Q1286" i="1"/>
  <c r="R1286" i="1"/>
  <c r="S1286" i="1"/>
  <c r="T1286" i="1"/>
  <c r="U1286" i="1"/>
  <c r="V1286" i="1"/>
  <c r="AI1286" i="1"/>
  <c r="AJ1286" i="1"/>
  <c r="AK1286" i="1"/>
  <c r="AP1286" i="1"/>
  <c r="AR1286" i="1"/>
  <c r="AY1286" i="1"/>
  <c r="BE1286" i="1"/>
  <c r="BF1286" i="1"/>
  <c r="C1287" i="1"/>
  <c r="E1287" i="1"/>
  <c r="F1287" i="1"/>
  <c r="G1287" i="1"/>
  <c r="H1287" i="1"/>
  <c r="L1287" i="1"/>
  <c r="M1287" i="1"/>
  <c r="N1287" i="1"/>
  <c r="O1287" i="1"/>
  <c r="P1287" i="1"/>
  <c r="Q1287" i="1"/>
  <c r="R1287" i="1"/>
  <c r="S1287" i="1"/>
  <c r="T1287" i="1"/>
  <c r="U1287" i="1"/>
  <c r="V1287" i="1"/>
  <c r="AI1287" i="1"/>
  <c r="AJ1287" i="1"/>
  <c r="AK1287" i="1"/>
  <c r="AP1287" i="1"/>
  <c r="AR1287" i="1"/>
  <c r="AY1287" i="1"/>
  <c r="BE1287" i="1"/>
  <c r="BF1287" i="1"/>
  <c r="C1288" i="1"/>
  <c r="E1288" i="1"/>
  <c r="F1288" i="1"/>
  <c r="G1288" i="1"/>
  <c r="H1288" i="1"/>
  <c r="L1288" i="1"/>
  <c r="M1288" i="1"/>
  <c r="N1288" i="1"/>
  <c r="O1288" i="1"/>
  <c r="P1288" i="1"/>
  <c r="Q1288" i="1"/>
  <c r="R1288" i="1"/>
  <c r="S1288" i="1"/>
  <c r="T1288" i="1"/>
  <c r="U1288" i="1"/>
  <c r="V1288" i="1"/>
  <c r="AI1288" i="1"/>
  <c r="AJ1288" i="1"/>
  <c r="AK1288" i="1"/>
  <c r="AP1288" i="1"/>
  <c r="AR1288" i="1"/>
  <c r="AY1288" i="1"/>
  <c r="BE1288" i="1"/>
  <c r="BF1288" i="1"/>
  <c r="C1289" i="1"/>
  <c r="E1289" i="1"/>
  <c r="F1289" i="1"/>
  <c r="G1289" i="1"/>
  <c r="H1289" i="1"/>
  <c r="L1289" i="1"/>
  <c r="M1289" i="1"/>
  <c r="N1289" i="1"/>
  <c r="O1289" i="1"/>
  <c r="P1289" i="1"/>
  <c r="Q1289" i="1"/>
  <c r="R1289" i="1"/>
  <c r="S1289" i="1"/>
  <c r="T1289" i="1"/>
  <c r="U1289" i="1"/>
  <c r="V1289" i="1"/>
  <c r="AI1289" i="1"/>
  <c r="AJ1289" i="1"/>
  <c r="AK1289" i="1"/>
  <c r="AP1289" i="1"/>
  <c r="AR1289" i="1"/>
  <c r="AY1289" i="1"/>
  <c r="BE1289" i="1"/>
  <c r="BF1289" i="1"/>
  <c r="C1290" i="1"/>
  <c r="E1290" i="1"/>
  <c r="F1290" i="1"/>
  <c r="G1290" i="1"/>
  <c r="H1290" i="1"/>
  <c r="L1290" i="1"/>
  <c r="M1290" i="1"/>
  <c r="N1290" i="1"/>
  <c r="O1290" i="1"/>
  <c r="P1290" i="1"/>
  <c r="Q1290" i="1"/>
  <c r="R1290" i="1"/>
  <c r="S1290" i="1"/>
  <c r="T1290" i="1"/>
  <c r="U1290" i="1"/>
  <c r="V1290" i="1"/>
  <c r="AI1290" i="1"/>
  <c r="AJ1290" i="1"/>
  <c r="AK1290" i="1"/>
  <c r="AP1290" i="1"/>
  <c r="AR1290" i="1"/>
  <c r="AY1290" i="1"/>
  <c r="BE1290" i="1"/>
  <c r="BF1290" i="1"/>
  <c r="C1291" i="1"/>
  <c r="E1291" i="1"/>
  <c r="F1291" i="1"/>
  <c r="G1291" i="1"/>
  <c r="H1291" i="1"/>
  <c r="L1291" i="1"/>
  <c r="M1291" i="1"/>
  <c r="N1291" i="1"/>
  <c r="O1291" i="1"/>
  <c r="P1291" i="1"/>
  <c r="Q1291" i="1"/>
  <c r="R1291" i="1"/>
  <c r="S1291" i="1"/>
  <c r="T1291" i="1"/>
  <c r="U1291" i="1"/>
  <c r="V1291" i="1"/>
  <c r="AI1291" i="1"/>
  <c r="AJ1291" i="1"/>
  <c r="AK1291" i="1"/>
  <c r="AP1291" i="1"/>
  <c r="AR1291" i="1"/>
  <c r="AY1291" i="1"/>
  <c r="BE1291" i="1"/>
  <c r="BF1291" i="1"/>
  <c r="C1292" i="1"/>
  <c r="E1292" i="1"/>
  <c r="F1292" i="1"/>
  <c r="G1292" i="1"/>
  <c r="H1292" i="1"/>
  <c r="L1292" i="1"/>
  <c r="M1292" i="1"/>
  <c r="N1292" i="1"/>
  <c r="O1292" i="1"/>
  <c r="P1292" i="1"/>
  <c r="Q1292" i="1"/>
  <c r="R1292" i="1"/>
  <c r="S1292" i="1"/>
  <c r="T1292" i="1"/>
  <c r="U1292" i="1"/>
  <c r="V1292" i="1"/>
  <c r="AI1292" i="1"/>
  <c r="AJ1292" i="1"/>
  <c r="AK1292" i="1"/>
  <c r="AP1292" i="1"/>
  <c r="AR1292" i="1"/>
  <c r="AY1292" i="1"/>
  <c r="BE1292" i="1"/>
  <c r="BF1292" i="1"/>
  <c r="C1293" i="1"/>
  <c r="E1293" i="1"/>
  <c r="F1293" i="1"/>
  <c r="G1293" i="1"/>
  <c r="H1293" i="1"/>
  <c r="L1293" i="1"/>
  <c r="M1293" i="1"/>
  <c r="N1293" i="1"/>
  <c r="O1293" i="1"/>
  <c r="P1293" i="1"/>
  <c r="Q1293" i="1"/>
  <c r="R1293" i="1"/>
  <c r="S1293" i="1"/>
  <c r="T1293" i="1"/>
  <c r="U1293" i="1"/>
  <c r="V1293" i="1"/>
  <c r="AI1293" i="1"/>
  <c r="AJ1293" i="1"/>
  <c r="AK1293" i="1"/>
  <c r="AP1293" i="1"/>
  <c r="AR1293" i="1"/>
  <c r="AY1293" i="1"/>
  <c r="BE1293" i="1"/>
  <c r="BF1293" i="1"/>
  <c r="C1294" i="1"/>
  <c r="E1294" i="1"/>
  <c r="F1294" i="1"/>
  <c r="G1294" i="1"/>
  <c r="H1294" i="1"/>
  <c r="L1294" i="1"/>
  <c r="M1294" i="1"/>
  <c r="N1294" i="1"/>
  <c r="O1294" i="1"/>
  <c r="P1294" i="1"/>
  <c r="Q1294" i="1"/>
  <c r="R1294" i="1"/>
  <c r="S1294" i="1"/>
  <c r="T1294" i="1"/>
  <c r="U1294" i="1"/>
  <c r="V1294" i="1"/>
  <c r="AI1294" i="1"/>
  <c r="AJ1294" i="1"/>
  <c r="AK1294" i="1"/>
  <c r="AP1294" i="1"/>
  <c r="AR1294" i="1"/>
  <c r="AY1294" i="1"/>
  <c r="BE1294" i="1"/>
  <c r="BF1294" i="1"/>
  <c r="C1295" i="1"/>
  <c r="E1295" i="1"/>
  <c r="F1295" i="1"/>
  <c r="G1295" i="1"/>
  <c r="H1295" i="1"/>
  <c r="L1295" i="1"/>
  <c r="M1295" i="1"/>
  <c r="N1295" i="1"/>
  <c r="O1295" i="1"/>
  <c r="P1295" i="1"/>
  <c r="Q1295" i="1"/>
  <c r="R1295" i="1"/>
  <c r="S1295" i="1"/>
  <c r="T1295" i="1"/>
  <c r="U1295" i="1"/>
  <c r="V1295" i="1"/>
  <c r="AI1295" i="1"/>
  <c r="AJ1295" i="1"/>
  <c r="AK1295" i="1"/>
  <c r="AP1295" i="1"/>
  <c r="AR1295" i="1"/>
  <c r="AY1295" i="1"/>
  <c r="BE1295" i="1"/>
  <c r="BF1295" i="1"/>
  <c r="C1296" i="1"/>
  <c r="E1296" i="1"/>
  <c r="F1296" i="1"/>
  <c r="G1296" i="1"/>
  <c r="H1296" i="1"/>
  <c r="L1296" i="1"/>
  <c r="M1296" i="1"/>
  <c r="N1296" i="1"/>
  <c r="O1296" i="1"/>
  <c r="P1296" i="1"/>
  <c r="Q1296" i="1"/>
  <c r="R1296" i="1"/>
  <c r="S1296" i="1"/>
  <c r="T1296" i="1"/>
  <c r="U1296" i="1"/>
  <c r="V1296" i="1"/>
  <c r="AI1296" i="1"/>
  <c r="AJ1296" i="1"/>
  <c r="AK1296" i="1"/>
  <c r="AP1296" i="1"/>
  <c r="AR1296" i="1"/>
  <c r="AY1296" i="1"/>
  <c r="BE1296" i="1"/>
  <c r="BF1296" i="1"/>
  <c r="C1297" i="1"/>
  <c r="E1297" i="1"/>
  <c r="F1297" i="1"/>
  <c r="G1297" i="1"/>
  <c r="H1297" i="1"/>
  <c r="L1297" i="1"/>
  <c r="M1297" i="1"/>
  <c r="N1297" i="1"/>
  <c r="O1297" i="1"/>
  <c r="P1297" i="1"/>
  <c r="Q1297" i="1"/>
  <c r="R1297" i="1"/>
  <c r="S1297" i="1"/>
  <c r="T1297" i="1"/>
  <c r="U1297" i="1"/>
  <c r="V1297" i="1"/>
  <c r="AI1297" i="1"/>
  <c r="AJ1297" i="1"/>
  <c r="AK1297" i="1"/>
  <c r="AP1297" i="1"/>
  <c r="AR1297" i="1"/>
  <c r="AY1297" i="1"/>
  <c r="BE1297" i="1"/>
  <c r="BF1297" i="1"/>
  <c r="C1298" i="1"/>
  <c r="E1298" i="1"/>
  <c r="F1298" i="1"/>
  <c r="G1298" i="1"/>
  <c r="H1298" i="1"/>
  <c r="L1298" i="1"/>
  <c r="M1298" i="1"/>
  <c r="N1298" i="1"/>
  <c r="O1298" i="1"/>
  <c r="P1298" i="1"/>
  <c r="Q1298" i="1"/>
  <c r="R1298" i="1"/>
  <c r="S1298" i="1"/>
  <c r="T1298" i="1"/>
  <c r="U1298" i="1"/>
  <c r="V1298" i="1"/>
  <c r="AI1298" i="1"/>
  <c r="AJ1298" i="1"/>
  <c r="AK1298" i="1"/>
  <c r="AP1298" i="1"/>
  <c r="AR1298" i="1"/>
  <c r="AY1298" i="1"/>
  <c r="BE1298" i="1"/>
  <c r="BF1298" i="1"/>
  <c r="C1299" i="1"/>
  <c r="E1299" i="1"/>
  <c r="F1299" i="1"/>
  <c r="G1299" i="1"/>
  <c r="H1299" i="1"/>
  <c r="L1299" i="1"/>
  <c r="M1299" i="1"/>
  <c r="N1299" i="1"/>
  <c r="O1299" i="1"/>
  <c r="P1299" i="1"/>
  <c r="Q1299" i="1"/>
  <c r="R1299" i="1"/>
  <c r="S1299" i="1"/>
  <c r="T1299" i="1"/>
  <c r="U1299" i="1"/>
  <c r="V1299" i="1"/>
  <c r="AI1299" i="1"/>
  <c r="AJ1299" i="1"/>
  <c r="AK1299" i="1"/>
  <c r="AP1299" i="1"/>
  <c r="AR1299" i="1"/>
  <c r="AY1299" i="1"/>
  <c r="BE1299" i="1"/>
  <c r="BF1299" i="1"/>
  <c r="C1300" i="1"/>
  <c r="E1300" i="1"/>
  <c r="F1300" i="1"/>
  <c r="G1300" i="1"/>
  <c r="H1300" i="1"/>
  <c r="L1300" i="1"/>
  <c r="M1300" i="1"/>
  <c r="N1300" i="1"/>
  <c r="O1300" i="1"/>
  <c r="P1300" i="1"/>
  <c r="Q1300" i="1"/>
  <c r="R1300" i="1"/>
  <c r="S1300" i="1"/>
  <c r="T1300" i="1"/>
  <c r="U1300" i="1"/>
  <c r="V1300" i="1"/>
  <c r="AI1300" i="1"/>
  <c r="AJ1300" i="1"/>
  <c r="AK1300" i="1"/>
  <c r="AP1300" i="1"/>
  <c r="AR1300" i="1"/>
  <c r="AY1300" i="1"/>
  <c r="BE1300" i="1"/>
  <c r="BF1300" i="1"/>
  <c r="C1301" i="1"/>
  <c r="E1301" i="1"/>
  <c r="F1301" i="1"/>
  <c r="G1301" i="1"/>
  <c r="H1301" i="1"/>
  <c r="L1301" i="1"/>
  <c r="M1301" i="1"/>
  <c r="N1301" i="1"/>
  <c r="O1301" i="1"/>
  <c r="P1301" i="1"/>
  <c r="Q1301" i="1"/>
  <c r="R1301" i="1"/>
  <c r="S1301" i="1"/>
  <c r="T1301" i="1"/>
  <c r="U1301" i="1"/>
  <c r="V1301" i="1"/>
  <c r="AI1301" i="1"/>
  <c r="AJ1301" i="1"/>
  <c r="AK1301" i="1"/>
  <c r="AP1301" i="1"/>
  <c r="AR1301" i="1"/>
  <c r="AY1301" i="1"/>
  <c r="BE1301" i="1"/>
  <c r="BF1301" i="1"/>
  <c r="C1302" i="1"/>
  <c r="E1302" i="1"/>
  <c r="F1302" i="1"/>
  <c r="G1302" i="1"/>
  <c r="H1302" i="1"/>
  <c r="L1302" i="1"/>
  <c r="M1302" i="1"/>
  <c r="N1302" i="1"/>
  <c r="O1302" i="1"/>
  <c r="P1302" i="1"/>
  <c r="Q1302" i="1"/>
  <c r="R1302" i="1"/>
  <c r="S1302" i="1"/>
  <c r="T1302" i="1"/>
  <c r="U1302" i="1"/>
  <c r="V1302" i="1"/>
  <c r="AI1302" i="1"/>
  <c r="AJ1302" i="1"/>
  <c r="AK1302" i="1"/>
  <c r="AP1302" i="1"/>
  <c r="AR1302" i="1"/>
  <c r="AY1302" i="1"/>
  <c r="BE1302" i="1"/>
  <c r="BF1302" i="1"/>
  <c r="C1303" i="1"/>
  <c r="E1303" i="1"/>
  <c r="F1303" i="1"/>
  <c r="G1303" i="1"/>
  <c r="H1303" i="1"/>
  <c r="L1303" i="1"/>
  <c r="M1303" i="1"/>
  <c r="N1303" i="1"/>
  <c r="O1303" i="1"/>
  <c r="P1303" i="1"/>
  <c r="Q1303" i="1"/>
  <c r="R1303" i="1"/>
  <c r="S1303" i="1"/>
  <c r="T1303" i="1"/>
  <c r="U1303" i="1"/>
  <c r="V1303" i="1"/>
  <c r="AI1303" i="1"/>
  <c r="AJ1303" i="1"/>
  <c r="AK1303" i="1"/>
  <c r="AP1303" i="1"/>
  <c r="AR1303" i="1"/>
  <c r="AY1303" i="1"/>
  <c r="BE1303" i="1"/>
  <c r="BF1303" i="1"/>
  <c r="C1304" i="1"/>
  <c r="E1304" i="1"/>
  <c r="F1304" i="1"/>
  <c r="G1304" i="1"/>
  <c r="H1304" i="1"/>
  <c r="L1304" i="1"/>
  <c r="M1304" i="1"/>
  <c r="N1304" i="1"/>
  <c r="O1304" i="1"/>
  <c r="P1304" i="1"/>
  <c r="Q1304" i="1"/>
  <c r="R1304" i="1"/>
  <c r="S1304" i="1"/>
  <c r="T1304" i="1"/>
  <c r="U1304" i="1"/>
  <c r="V1304" i="1"/>
  <c r="AI1304" i="1"/>
  <c r="AJ1304" i="1"/>
  <c r="AK1304" i="1"/>
  <c r="AP1304" i="1"/>
  <c r="AR1304" i="1"/>
  <c r="AY1304" i="1"/>
  <c r="BE1304" i="1"/>
  <c r="BF1304" i="1"/>
  <c r="C1305" i="1"/>
  <c r="E1305" i="1"/>
  <c r="F1305" i="1"/>
  <c r="G1305" i="1"/>
  <c r="H1305" i="1"/>
  <c r="L1305" i="1"/>
  <c r="M1305" i="1"/>
  <c r="N1305" i="1"/>
  <c r="O1305" i="1"/>
  <c r="P1305" i="1"/>
  <c r="Q1305" i="1"/>
  <c r="R1305" i="1"/>
  <c r="S1305" i="1"/>
  <c r="T1305" i="1"/>
  <c r="U1305" i="1"/>
  <c r="V1305" i="1"/>
  <c r="AI1305" i="1"/>
  <c r="AJ1305" i="1"/>
  <c r="AK1305" i="1"/>
  <c r="AP1305" i="1"/>
  <c r="AR1305" i="1"/>
  <c r="AY1305" i="1"/>
  <c r="BE1305" i="1"/>
  <c r="BF1305" i="1"/>
  <c r="C1306" i="1"/>
  <c r="E1306" i="1"/>
  <c r="F1306" i="1"/>
  <c r="G1306" i="1"/>
  <c r="H1306" i="1"/>
  <c r="L1306" i="1"/>
  <c r="M1306" i="1"/>
  <c r="N1306" i="1"/>
  <c r="O1306" i="1"/>
  <c r="P1306" i="1"/>
  <c r="Q1306" i="1"/>
  <c r="R1306" i="1"/>
  <c r="S1306" i="1"/>
  <c r="T1306" i="1"/>
  <c r="U1306" i="1"/>
  <c r="V1306" i="1"/>
  <c r="AI1306" i="1"/>
  <c r="AJ1306" i="1"/>
  <c r="AK1306" i="1"/>
  <c r="AP1306" i="1"/>
  <c r="AR1306" i="1"/>
  <c r="AY1306" i="1"/>
  <c r="BE1306" i="1"/>
  <c r="BF1306" i="1"/>
  <c r="C1307" i="1"/>
  <c r="E1307" i="1"/>
  <c r="F1307" i="1"/>
  <c r="G1307" i="1"/>
  <c r="H1307" i="1"/>
  <c r="L1307" i="1"/>
  <c r="M1307" i="1"/>
  <c r="N1307" i="1"/>
  <c r="O1307" i="1"/>
  <c r="P1307" i="1"/>
  <c r="Q1307" i="1"/>
  <c r="R1307" i="1"/>
  <c r="S1307" i="1"/>
  <c r="T1307" i="1"/>
  <c r="U1307" i="1"/>
  <c r="V1307" i="1"/>
  <c r="AI1307" i="1"/>
  <c r="AJ1307" i="1"/>
  <c r="AK1307" i="1"/>
  <c r="AP1307" i="1"/>
  <c r="AR1307" i="1"/>
  <c r="AY1307" i="1"/>
  <c r="BE1307" i="1"/>
  <c r="BF1307" i="1"/>
  <c r="C1308" i="1"/>
  <c r="E1308" i="1"/>
  <c r="F1308" i="1"/>
  <c r="G1308" i="1"/>
  <c r="H1308" i="1"/>
  <c r="L1308" i="1"/>
  <c r="M1308" i="1"/>
  <c r="N1308" i="1"/>
  <c r="O1308" i="1"/>
  <c r="P1308" i="1"/>
  <c r="Q1308" i="1"/>
  <c r="R1308" i="1"/>
  <c r="S1308" i="1"/>
  <c r="T1308" i="1"/>
  <c r="U1308" i="1"/>
  <c r="V1308" i="1"/>
  <c r="AI1308" i="1"/>
  <c r="AJ1308" i="1"/>
  <c r="AK1308" i="1"/>
  <c r="AP1308" i="1"/>
  <c r="AR1308" i="1"/>
  <c r="AY1308" i="1"/>
  <c r="BE1308" i="1"/>
  <c r="BF1308" i="1"/>
  <c r="C1309" i="1"/>
  <c r="E1309" i="1"/>
  <c r="F1309" i="1"/>
  <c r="G1309" i="1"/>
  <c r="H1309" i="1"/>
  <c r="L1309" i="1"/>
  <c r="M1309" i="1"/>
  <c r="N1309" i="1"/>
  <c r="O1309" i="1"/>
  <c r="P1309" i="1"/>
  <c r="Q1309" i="1"/>
  <c r="R1309" i="1"/>
  <c r="S1309" i="1"/>
  <c r="T1309" i="1"/>
  <c r="U1309" i="1"/>
  <c r="V1309" i="1"/>
  <c r="AI1309" i="1"/>
  <c r="AJ1309" i="1"/>
  <c r="AK1309" i="1"/>
  <c r="AP1309" i="1"/>
  <c r="AR1309" i="1"/>
  <c r="AY1309" i="1"/>
  <c r="BE1309" i="1"/>
  <c r="BF1309" i="1"/>
  <c r="C1310" i="1"/>
  <c r="E1310" i="1"/>
  <c r="F1310" i="1"/>
  <c r="G1310" i="1"/>
  <c r="H1310" i="1"/>
  <c r="L1310" i="1"/>
  <c r="M1310" i="1"/>
  <c r="N1310" i="1"/>
  <c r="O1310" i="1"/>
  <c r="P1310" i="1"/>
  <c r="Q1310" i="1"/>
  <c r="R1310" i="1"/>
  <c r="S1310" i="1"/>
  <c r="T1310" i="1"/>
  <c r="U1310" i="1"/>
  <c r="V1310" i="1"/>
  <c r="AI1310" i="1"/>
  <c r="AJ1310" i="1"/>
  <c r="AK1310" i="1"/>
  <c r="AP1310" i="1"/>
  <c r="AR1310" i="1"/>
  <c r="AY1310" i="1"/>
  <c r="BE1310" i="1"/>
  <c r="BF1310" i="1"/>
  <c r="C1311" i="1"/>
  <c r="E1311" i="1"/>
  <c r="F1311" i="1"/>
  <c r="G1311" i="1"/>
  <c r="H1311" i="1"/>
  <c r="L1311" i="1"/>
  <c r="M1311" i="1"/>
  <c r="N1311" i="1"/>
  <c r="O1311" i="1"/>
  <c r="P1311" i="1"/>
  <c r="Q1311" i="1"/>
  <c r="R1311" i="1"/>
  <c r="S1311" i="1"/>
  <c r="T1311" i="1"/>
  <c r="U1311" i="1"/>
  <c r="V1311" i="1"/>
  <c r="AI1311" i="1"/>
  <c r="AJ1311" i="1"/>
  <c r="AK1311" i="1"/>
  <c r="AP1311" i="1"/>
  <c r="AR1311" i="1"/>
  <c r="AY1311" i="1"/>
  <c r="BE1311" i="1"/>
  <c r="BF1311" i="1"/>
  <c r="C1312" i="1"/>
  <c r="E1312" i="1"/>
  <c r="F1312" i="1"/>
  <c r="G1312" i="1"/>
  <c r="H1312" i="1"/>
  <c r="L1312" i="1"/>
  <c r="M1312" i="1"/>
  <c r="N1312" i="1"/>
  <c r="O1312" i="1"/>
  <c r="P1312" i="1"/>
  <c r="Q1312" i="1"/>
  <c r="R1312" i="1"/>
  <c r="S1312" i="1"/>
  <c r="T1312" i="1"/>
  <c r="U1312" i="1"/>
  <c r="V1312" i="1"/>
  <c r="AI1312" i="1"/>
  <c r="AJ1312" i="1"/>
  <c r="AK1312" i="1"/>
  <c r="AP1312" i="1"/>
  <c r="AR1312" i="1"/>
  <c r="AY1312" i="1"/>
  <c r="BE1312" i="1"/>
  <c r="BF1312" i="1"/>
  <c r="C1313" i="1"/>
  <c r="E1313" i="1"/>
  <c r="F1313" i="1"/>
  <c r="G1313" i="1"/>
  <c r="H1313" i="1"/>
  <c r="L1313" i="1"/>
  <c r="M1313" i="1"/>
  <c r="N1313" i="1"/>
  <c r="O1313" i="1"/>
  <c r="P1313" i="1"/>
  <c r="Q1313" i="1"/>
  <c r="R1313" i="1"/>
  <c r="S1313" i="1"/>
  <c r="T1313" i="1"/>
  <c r="U1313" i="1"/>
  <c r="V1313" i="1"/>
  <c r="AI1313" i="1"/>
  <c r="AJ1313" i="1"/>
  <c r="AK1313" i="1"/>
  <c r="AP1313" i="1"/>
  <c r="AR1313" i="1"/>
  <c r="AY1313" i="1"/>
  <c r="BE1313" i="1"/>
  <c r="BF1313" i="1"/>
  <c r="C1314" i="1"/>
  <c r="E1314" i="1"/>
  <c r="F1314" i="1"/>
  <c r="G1314" i="1"/>
  <c r="H1314" i="1"/>
  <c r="L1314" i="1"/>
  <c r="M1314" i="1"/>
  <c r="N1314" i="1"/>
  <c r="O1314" i="1"/>
  <c r="P1314" i="1"/>
  <c r="Q1314" i="1"/>
  <c r="R1314" i="1"/>
  <c r="S1314" i="1"/>
  <c r="T1314" i="1"/>
  <c r="U1314" i="1"/>
  <c r="V1314" i="1"/>
  <c r="AI1314" i="1"/>
  <c r="AJ1314" i="1"/>
  <c r="AK1314" i="1"/>
  <c r="AP1314" i="1"/>
  <c r="AR1314" i="1"/>
  <c r="AY1314" i="1"/>
  <c r="BE1314" i="1"/>
  <c r="BF1314" i="1"/>
  <c r="C1315" i="1"/>
  <c r="E1315" i="1"/>
  <c r="F1315" i="1"/>
  <c r="G1315" i="1"/>
  <c r="H1315" i="1"/>
  <c r="L1315" i="1"/>
  <c r="M1315" i="1"/>
  <c r="N1315" i="1"/>
  <c r="O1315" i="1"/>
  <c r="P1315" i="1"/>
  <c r="Q1315" i="1"/>
  <c r="R1315" i="1"/>
  <c r="S1315" i="1"/>
  <c r="T1315" i="1"/>
  <c r="U1315" i="1"/>
  <c r="V1315" i="1"/>
  <c r="AI1315" i="1"/>
  <c r="AJ1315" i="1"/>
  <c r="AK1315" i="1"/>
  <c r="AP1315" i="1"/>
  <c r="AR1315" i="1"/>
  <c r="AY1315" i="1"/>
  <c r="BE1315" i="1"/>
  <c r="BF1315" i="1"/>
  <c r="C1316" i="1"/>
  <c r="E1316" i="1"/>
  <c r="F1316" i="1"/>
  <c r="G1316" i="1"/>
  <c r="H1316" i="1"/>
  <c r="L1316" i="1"/>
  <c r="M1316" i="1"/>
  <c r="N1316" i="1"/>
  <c r="O1316" i="1"/>
  <c r="P1316" i="1"/>
  <c r="Q1316" i="1"/>
  <c r="R1316" i="1"/>
  <c r="S1316" i="1"/>
  <c r="T1316" i="1"/>
  <c r="U1316" i="1"/>
  <c r="V1316" i="1"/>
  <c r="AI1316" i="1"/>
  <c r="AJ1316" i="1"/>
  <c r="AK1316" i="1"/>
  <c r="AP1316" i="1"/>
  <c r="AR1316" i="1"/>
  <c r="AY1316" i="1"/>
  <c r="BE1316" i="1"/>
  <c r="BF1316" i="1"/>
  <c r="C1317" i="1"/>
  <c r="E1317" i="1"/>
  <c r="F1317" i="1"/>
  <c r="G1317" i="1"/>
  <c r="H1317" i="1"/>
  <c r="L1317" i="1"/>
  <c r="M1317" i="1"/>
  <c r="N1317" i="1"/>
  <c r="O1317" i="1"/>
  <c r="P1317" i="1"/>
  <c r="Q1317" i="1"/>
  <c r="R1317" i="1"/>
  <c r="S1317" i="1"/>
  <c r="T1317" i="1"/>
  <c r="U1317" i="1"/>
  <c r="V1317" i="1"/>
  <c r="AI1317" i="1"/>
  <c r="AJ1317" i="1"/>
  <c r="AK1317" i="1"/>
  <c r="AP1317" i="1"/>
  <c r="AR1317" i="1"/>
  <c r="AY1317" i="1"/>
  <c r="BE1317" i="1"/>
  <c r="BF1317" i="1"/>
  <c r="C1318" i="1"/>
  <c r="E1318" i="1"/>
  <c r="F1318" i="1"/>
  <c r="G1318" i="1"/>
  <c r="H1318" i="1"/>
  <c r="L1318" i="1"/>
  <c r="M1318" i="1"/>
  <c r="N1318" i="1"/>
  <c r="O1318" i="1"/>
  <c r="P1318" i="1"/>
  <c r="Q1318" i="1"/>
  <c r="R1318" i="1"/>
  <c r="S1318" i="1"/>
  <c r="T1318" i="1"/>
  <c r="U1318" i="1"/>
  <c r="V1318" i="1"/>
  <c r="AI1318" i="1"/>
  <c r="AJ1318" i="1"/>
  <c r="AK1318" i="1"/>
  <c r="AP1318" i="1"/>
  <c r="AR1318" i="1"/>
  <c r="AY1318" i="1"/>
  <c r="BE1318" i="1"/>
  <c r="BF1318" i="1"/>
  <c r="C1319" i="1"/>
  <c r="E1319" i="1"/>
  <c r="F1319" i="1"/>
  <c r="G1319" i="1"/>
  <c r="H1319" i="1"/>
  <c r="L1319" i="1"/>
  <c r="M1319" i="1"/>
  <c r="N1319" i="1"/>
  <c r="O1319" i="1"/>
  <c r="P1319" i="1"/>
  <c r="Q1319" i="1"/>
  <c r="R1319" i="1"/>
  <c r="S1319" i="1"/>
  <c r="T1319" i="1"/>
  <c r="U1319" i="1"/>
  <c r="V1319" i="1"/>
  <c r="AI1319" i="1"/>
  <c r="AJ1319" i="1"/>
  <c r="AK1319" i="1"/>
  <c r="AP1319" i="1"/>
  <c r="AR1319" i="1"/>
  <c r="AY1319" i="1"/>
  <c r="BE1319" i="1"/>
  <c r="BF1319" i="1"/>
  <c r="C1320" i="1"/>
  <c r="E1320" i="1"/>
  <c r="F1320" i="1"/>
  <c r="G1320" i="1"/>
  <c r="H1320" i="1"/>
  <c r="L1320" i="1"/>
  <c r="M1320" i="1"/>
  <c r="N1320" i="1"/>
  <c r="O1320" i="1"/>
  <c r="P1320" i="1"/>
  <c r="Q1320" i="1"/>
  <c r="R1320" i="1"/>
  <c r="S1320" i="1"/>
  <c r="T1320" i="1"/>
  <c r="U1320" i="1"/>
  <c r="V1320" i="1"/>
  <c r="AI1320" i="1"/>
  <c r="AJ1320" i="1"/>
  <c r="AK1320" i="1"/>
  <c r="AP1320" i="1"/>
  <c r="AR1320" i="1"/>
  <c r="AY1320" i="1"/>
  <c r="BE1320" i="1"/>
  <c r="BF1320" i="1"/>
  <c r="C1321" i="1"/>
  <c r="E1321" i="1"/>
  <c r="F1321" i="1"/>
  <c r="G1321" i="1"/>
  <c r="H1321" i="1"/>
  <c r="L1321" i="1"/>
  <c r="M1321" i="1"/>
  <c r="N1321" i="1"/>
  <c r="O1321" i="1"/>
  <c r="P1321" i="1"/>
  <c r="Q1321" i="1"/>
  <c r="R1321" i="1"/>
  <c r="S1321" i="1"/>
  <c r="T1321" i="1"/>
  <c r="U1321" i="1"/>
  <c r="V1321" i="1"/>
  <c r="AI1321" i="1"/>
  <c r="AJ1321" i="1"/>
  <c r="AK1321" i="1"/>
  <c r="AP1321" i="1"/>
  <c r="AR1321" i="1"/>
  <c r="AY1321" i="1"/>
  <c r="BE1321" i="1"/>
  <c r="BF1321" i="1"/>
  <c r="C1322" i="1"/>
  <c r="E1322" i="1"/>
  <c r="F1322" i="1"/>
  <c r="G1322" i="1"/>
  <c r="H1322" i="1"/>
  <c r="L1322" i="1"/>
  <c r="M1322" i="1"/>
  <c r="N1322" i="1"/>
  <c r="O1322" i="1"/>
  <c r="P1322" i="1"/>
  <c r="Q1322" i="1"/>
  <c r="R1322" i="1"/>
  <c r="S1322" i="1"/>
  <c r="T1322" i="1"/>
  <c r="U1322" i="1"/>
  <c r="V1322" i="1"/>
  <c r="AI1322" i="1"/>
  <c r="AJ1322" i="1"/>
  <c r="AK1322" i="1"/>
  <c r="AP1322" i="1"/>
  <c r="AR1322" i="1"/>
  <c r="AY1322" i="1"/>
  <c r="BE1322" i="1"/>
  <c r="BF1322" i="1"/>
  <c r="C1323" i="1"/>
  <c r="E1323" i="1"/>
  <c r="F1323" i="1"/>
  <c r="G1323" i="1"/>
  <c r="H1323" i="1"/>
  <c r="L1323" i="1"/>
  <c r="M1323" i="1"/>
  <c r="N1323" i="1"/>
  <c r="O1323" i="1"/>
  <c r="P1323" i="1"/>
  <c r="Q1323" i="1"/>
  <c r="R1323" i="1"/>
  <c r="S1323" i="1"/>
  <c r="T1323" i="1"/>
  <c r="U1323" i="1"/>
  <c r="V1323" i="1"/>
  <c r="AI1323" i="1"/>
  <c r="AJ1323" i="1"/>
  <c r="AK1323" i="1"/>
  <c r="AP1323" i="1"/>
  <c r="AR1323" i="1"/>
  <c r="AY1323" i="1"/>
  <c r="BE1323" i="1"/>
  <c r="BF1323" i="1"/>
  <c r="C1324" i="1"/>
  <c r="E1324" i="1"/>
  <c r="F1324" i="1"/>
  <c r="G1324" i="1"/>
  <c r="H1324" i="1"/>
  <c r="L1324" i="1"/>
  <c r="M1324" i="1"/>
  <c r="N1324" i="1"/>
  <c r="O1324" i="1"/>
  <c r="P1324" i="1"/>
  <c r="Q1324" i="1"/>
  <c r="R1324" i="1"/>
  <c r="S1324" i="1"/>
  <c r="T1324" i="1"/>
  <c r="U1324" i="1"/>
  <c r="V1324" i="1"/>
  <c r="AI1324" i="1"/>
  <c r="AJ1324" i="1"/>
  <c r="AK1324" i="1"/>
  <c r="AP1324" i="1"/>
  <c r="AR1324" i="1"/>
  <c r="AY1324" i="1"/>
  <c r="BE1324" i="1"/>
  <c r="BF1324" i="1"/>
  <c r="C1325" i="1"/>
  <c r="E1325" i="1"/>
  <c r="F1325" i="1"/>
  <c r="G1325" i="1"/>
  <c r="H1325" i="1"/>
  <c r="L1325" i="1"/>
  <c r="M1325" i="1"/>
  <c r="N1325" i="1"/>
  <c r="O1325" i="1"/>
  <c r="P1325" i="1"/>
  <c r="Q1325" i="1"/>
  <c r="R1325" i="1"/>
  <c r="S1325" i="1"/>
  <c r="T1325" i="1"/>
  <c r="U1325" i="1"/>
  <c r="V1325" i="1"/>
  <c r="AI1325" i="1"/>
  <c r="AJ1325" i="1"/>
  <c r="AK1325" i="1"/>
  <c r="AP1325" i="1"/>
  <c r="AR1325" i="1"/>
  <c r="AY1325" i="1"/>
  <c r="BE1325" i="1"/>
  <c r="BF1325" i="1"/>
  <c r="C1326" i="1"/>
  <c r="E1326" i="1"/>
  <c r="F1326" i="1"/>
  <c r="G1326" i="1"/>
  <c r="H1326" i="1"/>
  <c r="L1326" i="1"/>
  <c r="M1326" i="1"/>
  <c r="N1326" i="1"/>
  <c r="O1326" i="1"/>
  <c r="P1326" i="1"/>
  <c r="Q1326" i="1"/>
  <c r="R1326" i="1"/>
  <c r="S1326" i="1"/>
  <c r="T1326" i="1"/>
  <c r="U1326" i="1"/>
  <c r="V1326" i="1"/>
  <c r="AI1326" i="1"/>
  <c r="AJ1326" i="1"/>
  <c r="AK1326" i="1"/>
  <c r="AP1326" i="1"/>
  <c r="AR1326" i="1"/>
  <c r="AY1326" i="1"/>
  <c r="BE1326" i="1"/>
  <c r="BF1326" i="1"/>
  <c r="C1327" i="1"/>
  <c r="E1327" i="1"/>
  <c r="F1327" i="1"/>
  <c r="G1327" i="1"/>
  <c r="H1327" i="1"/>
  <c r="L1327" i="1"/>
  <c r="M1327" i="1"/>
  <c r="N1327" i="1"/>
  <c r="O1327" i="1"/>
  <c r="P1327" i="1"/>
  <c r="Q1327" i="1"/>
  <c r="R1327" i="1"/>
  <c r="S1327" i="1"/>
  <c r="T1327" i="1"/>
  <c r="U1327" i="1"/>
  <c r="V1327" i="1"/>
  <c r="AI1327" i="1"/>
  <c r="AJ1327" i="1"/>
  <c r="AK1327" i="1"/>
  <c r="AP1327" i="1"/>
  <c r="AR1327" i="1"/>
  <c r="AY1327" i="1"/>
  <c r="BE1327" i="1"/>
  <c r="BF1327" i="1"/>
  <c r="C1328" i="1"/>
  <c r="E1328" i="1"/>
  <c r="F1328" i="1"/>
  <c r="G1328" i="1"/>
  <c r="H1328" i="1"/>
  <c r="L1328" i="1"/>
  <c r="M1328" i="1"/>
  <c r="N1328" i="1"/>
  <c r="O1328" i="1"/>
  <c r="P1328" i="1"/>
  <c r="Q1328" i="1"/>
  <c r="R1328" i="1"/>
  <c r="S1328" i="1"/>
  <c r="T1328" i="1"/>
  <c r="U1328" i="1"/>
  <c r="V1328" i="1"/>
  <c r="AI1328" i="1"/>
  <c r="AJ1328" i="1"/>
  <c r="AK1328" i="1"/>
  <c r="AP1328" i="1"/>
  <c r="AR1328" i="1"/>
  <c r="AY1328" i="1"/>
  <c r="BE1328" i="1"/>
  <c r="BF1328" i="1"/>
  <c r="C1329" i="1"/>
  <c r="E1329" i="1"/>
  <c r="F1329" i="1"/>
  <c r="G1329" i="1"/>
  <c r="H1329" i="1"/>
  <c r="L1329" i="1"/>
  <c r="M1329" i="1"/>
  <c r="N1329" i="1"/>
  <c r="O1329" i="1"/>
  <c r="P1329" i="1"/>
  <c r="Q1329" i="1"/>
  <c r="R1329" i="1"/>
  <c r="S1329" i="1"/>
  <c r="T1329" i="1"/>
  <c r="U1329" i="1"/>
  <c r="V1329" i="1"/>
  <c r="AI1329" i="1"/>
  <c r="AJ1329" i="1"/>
  <c r="AK1329" i="1"/>
  <c r="AP1329" i="1"/>
  <c r="AR1329" i="1"/>
  <c r="AY1329" i="1"/>
  <c r="BE1329" i="1"/>
  <c r="BF1329" i="1"/>
  <c r="C1330" i="1"/>
  <c r="E1330" i="1"/>
  <c r="F1330" i="1"/>
  <c r="G1330" i="1"/>
  <c r="H1330" i="1"/>
  <c r="L1330" i="1"/>
  <c r="M1330" i="1"/>
  <c r="N1330" i="1"/>
  <c r="O1330" i="1"/>
  <c r="P1330" i="1"/>
  <c r="Q1330" i="1"/>
  <c r="R1330" i="1"/>
  <c r="S1330" i="1"/>
  <c r="T1330" i="1"/>
  <c r="U1330" i="1"/>
  <c r="V1330" i="1"/>
  <c r="AI1330" i="1"/>
  <c r="AJ1330" i="1"/>
  <c r="AK1330" i="1"/>
  <c r="AP1330" i="1"/>
  <c r="AR1330" i="1"/>
  <c r="AY1330" i="1"/>
  <c r="BE1330" i="1"/>
  <c r="BF1330" i="1"/>
  <c r="C1331" i="1"/>
  <c r="E1331" i="1"/>
  <c r="F1331" i="1"/>
  <c r="G1331" i="1"/>
  <c r="H1331" i="1"/>
  <c r="L1331" i="1"/>
  <c r="M1331" i="1"/>
  <c r="N1331" i="1"/>
  <c r="O1331" i="1"/>
  <c r="P1331" i="1"/>
  <c r="Q1331" i="1"/>
  <c r="R1331" i="1"/>
  <c r="S1331" i="1"/>
  <c r="T1331" i="1"/>
  <c r="U1331" i="1"/>
  <c r="V1331" i="1"/>
  <c r="AI1331" i="1"/>
  <c r="AJ1331" i="1"/>
  <c r="AK1331" i="1"/>
  <c r="AP1331" i="1"/>
  <c r="AR1331" i="1"/>
  <c r="AY1331" i="1"/>
  <c r="BE1331" i="1"/>
  <c r="BF1331" i="1"/>
  <c r="C1332" i="1"/>
  <c r="E1332" i="1"/>
  <c r="F1332" i="1"/>
  <c r="G1332" i="1"/>
  <c r="H1332" i="1"/>
  <c r="L1332" i="1"/>
  <c r="M1332" i="1"/>
  <c r="N1332" i="1"/>
  <c r="O1332" i="1"/>
  <c r="P1332" i="1"/>
  <c r="Q1332" i="1"/>
  <c r="R1332" i="1"/>
  <c r="S1332" i="1"/>
  <c r="T1332" i="1"/>
  <c r="U1332" i="1"/>
  <c r="V1332" i="1"/>
  <c r="AI1332" i="1"/>
  <c r="AJ1332" i="1"/>
  <c r="AK1332" i="1"/>
  <c r="AP1332" i="1"/>
  <c r="AR1332" i="1"/>
  <c r="AY1332" i="1"/>
  <c r="BE1332" i="1"/>
  <c r="BF1332" i="1"/>
  <c r="C1333" i="1"/>
  <c r="E1333" i="1"/>
  <c r="F1333" i="1"/>
  <c r="G1333" i="1"/>
  <c r="H1333" i="1"/>
  <c r="L1333" i="1"/>
  <c r="M1333" i="1"/>
  <c r="N1333" i="1"/>
  <c r="O1333" i="1"/>
  <c r="P1333" i="1"/>
  <c r="Q1333" i="1"/>
  <c r="R1333" i="1"/>
  <c r="S1333" i="1"/>
  <c r="T1333" i="1"/>
  <c r="U1333" i="1"/>
  <c r="V1333" i="1"/>
  <c r="AI1333" i="1"/>
  <c r="AJ1333" i="1"/>
  <c r="AK1333" i="1"/>
  <c r="AP1333" i="1"/>
  <c r="AR1333" i="1"/>
  <c r="AY1333" i="1"/>
  <c r="BE1333" i="1"/>
  <c r="BF1333" i="1"/>
  <c r="C1334" i="1"/>
  <c r="E1334" i="1"/>
  <c r="F1334" i="1"/>
  <c r="G1334" i="1"/>
  <c r="H1334" i="1"/>
  <c r="L1334" i="1"/>
  <c r="M1334" i="1"/>
  <c r="N1334" i="1"/>
  <c r="O1334" i="1"/>
  <c r="P1334" i="1"/>
  <c r="Q1334" i="1"/>
  <c r="R1334" i="1"/>
  <c r="S1334" i="1"/>
  <c r="T1334" i="1"/>
  <c r="U1334" i="1"/>
  <c r="V1334" i="1"/>
  <c r="AI1334" i="1"/>
  <c r="AJ1334" i="1"/>
  <c r="AK1334" i="1"/>
  <c r="AP1334" i="1"/>
  <c r="AR1334" i="1"/>
  <c r="AY1334" i="1"/>
  <c r="BE1334" i="1"/>
  <c r="BF1334" i="1"/>
  <c r="C1335" i="1"/>
  <c r="E1335" i="1"/>
  <c r="F1335" i="1"/>
  <c r="G1335" i="1"/>
  <c r="H1335" i="1"/>
  <c r="L1335" i="1"/>
  <c r="M1335" i="1"/>
  <c r="N1335" i="1"/>
  <c r="O1335" i="1"/>
  <c r="P1335" i="1"/>
  <c r="Q1335" i="1"/>
  <c r="R1335" i="1"/>
  <c r="S1335" i="1"/>
  <c r="T1335" i="1"/>
  <c r="U1335" i="1"/>
  <c r="V1335" i="1"/>
  <c r="AI1335" i="1"/>
  <c r="AJ1335" i="1"/>
  <c r="AK1335" i="1"/>
  <c r="AP1335" i="1"/>
  <c r="AR1335" i="1"/>
  <c r="AY1335" i="1"/>
  <c r="BE1335" i="1"/>
  <c r="BF1335" i="1"/>
  <c r="C1336" i="1"/>
  <c r="E1336" i="1"/>
  <c r="F1336" i="1"/>
  <c r="G1336" i="1"/>
  <c r="H1336" i="1"/>
  <c r="L1336" i="1"/>
  <c r="M1336" i="1"/>
  <c r="N1336" i="1"/>
  <c r="O1336" i="1"/>
  <c r="P1336" i="1"/>
  <c r="Q1336" i="1"/>
  <c r="R1336" i="1"/>
  <c r="S1336" i="1"/>
  <c r="T1336" i="1"/>
  <c r="U1336" i="1"/>
  <c r="V1336" i="1"/>
  <c r="AI1336" i="1"/>
  <c r="AJ1336" i="1"/>
  <c r="AK1336" i="1"/>
  <c r="AP1336" i="1"/>
  <c r="AR1336" i="1"/>
  <c r="AY1336" i="1"/>
  <c r="BE1336" i="1"/>
  <c r="BF1336" i="1"/>
  <c r="C1337" i="1"/>
  <c r="E1337" i="1"/>
  <c r="F1337" i="1"/>
  <c r="G1337" i="1"/>
  <c r="H1337" i="1"/>
  <c r="L1337" i="1"/>
  <c r="M1337" i="1"/>
  <c r="N1337" i="1"/>
  <c r="O1337" i="1"/>
  <c r="P1337" i="1"/>
  <c r="Q1337" i="1"/>
  <c r="R1337" i="1"/>
  <c r="S1337" i="1"/>
  <c r="T1337" i="1"/>
  <c r="U1337" i="1"/>
  <c r="V1337" i="1"/>
  <c r="AI1337" i="1"/>
  <c r="AJ1337" i="1"/>
  <c r="AK1337" i="1"/>
  <c r="AP1337" i="1"/>
  <c r="AR1337" i="1"/>
  <c r="AY1337" i="1"/>
  <c r="BE1337" i="1"/>
  <c r="BF1337" i="1"/>
  <c r="C1338" i="1"/>
  <c r="E1338" i="1"/>
  <c r="F1338" i="1"/>
  <c r="G1338" i="1"/>
  <c r="H1338" i="1"/>
  <c r="L1338" i="1"/>
  <c r="M1338" i="1"/>
  <c r="N1338" i="1"/>
  <c r="O1338" i="1"/>
  <c r="P1338" i="1"/>
  <c r="Q1338" i="1"/>
  <c r="R1338" i="1"/>
  <c r="S1338" i="1"/>
  <c r="T1338" i="1"/>
  <c r="U1338" i="1"/>
  <c r="V1338" i="1"/>
  <c r="AI1338" i="1"/>
  <c r="AJ1338" i="1"/>
  <c r="AK1338" i="1"/>
  <c r="AP1338" i="1"/>
  <c r="AR1338" i="1"/>
  <c r="AY1338" i="1"/>
  <c r="BE1338" i="1"/>
  <c r="BF1338" i="1"/>
  <c r="C1339" i="1"/>
  <c r="E1339" i="1"/>
  <c r="F1339" i="1"/>
  <c r="G1339" i="1"/>
  <c r="H1339" i="1"/>
  <c r="L1339" i="1"/>
  <c r="M1339" i="1"/>
  <c r="N1339" i="1"/>
  <c r="O1339" i="1"/>
  <c r="P1339" i="1"/>
  <c r="Q1339" i="1"/>
  <c r="R1339" i="1"/>
  <c r="S1339" i="1"/>
  <c r="T1339" i="1"/>
  <c r="U1339" i="1"/>
  <c r="V1339" i="1"/>
  <c r="AI1339" i="1"/>
  <c r="AJ1339" i="1"/>
  <c r="AK1339" i="1"/>
  <c r="AP1339" i="1"/>
  <c r="AR1339" i="1"/>
  <c r="AY1339" i="1"/>
  <c r="BE1339" i="1"/>
  <c r="BF1339" i="1"/>
  <c r="C1340" i="1"/>
  <c r="E1340" i="1"/>
  <c r="F1340" i="1"/>
  <c r="G1340" i="1"/>
  <c r="H1340" i="1"/>
  <c r="L1340" i="1"/>
  <c r="M1340" i="1"/>
  <c r="N1340" i="1"/>
  <c r="O1340" i="1"/>
  <c r="P1340" i="1"/>
  <c r="Q1340" i="1"/>
  <c r="R1340" i="1"/>
  <c r="S1340" i="1"/>
  <c r="T1340" i="1"/>
  <c r="U1340" i="1"/>
  <c r="V1340" i="1"/>
  <c r="AI1340" i="1"/>
  <c r="AJ1340" i="1"/>
  <c r="AK1340" i="1"/>
  <c r="AP1340" i="1"/>
  <c r="AR1340" i="1"/>
  <c r="AY1340" i="1"/>
  <c r="BE1340" i="1"/>
  <c r="BF1340" i="1"/>
  <c r="C1341" i="1"/>
  <c r="E1341" i="1"/>
  <c r="F1341" i="1"/>
  <c r="G1341" i="1"/>
  <c r="H1341" i="1"/>
  <c r="L1341" i="1"/>
  <c r="M1341" i="1"/>
  <c r="N1341" i="1"/>
  <c r="O1341" i="1"/>
  <c r="P1341" i="1"/>
  <c r="Q1341" i="1"/>
  <c r="R1341" i="1"/>
  <c r="S1341" i="1"/>
  <c r="T1341" i="1"/>
  <c r="U1341" i="1"/>
  <c r="V1341" i="1"/>
  <c r="AI1341" i="1"/>
  <c r="AJ1341" i="1"/>
  <c r="AK1341" i="1"/>
  <c r="AP1341" i="1"/>
  <c r="AR1341" i="1"/>
  <c r="AY1341" i="1"/>
  <c r="BE1341" i="1"/>
  <c r="BF1341" i="1"/>
  <c r="C1342" i="1"/>
  <c r="E1342" i="1"/>
  <c r="F1342" i="1"/>
  <c r="G1342" i="1"/>
  <c r="H1342" i="1"/>
  <c r="L1342" i="1"/>
  <c r="M1342" i="1"/>
  <c r="N1342" i="1"/>
  <c r="O1342" i="1"/>
  <c r="P1342" i="1"/>
  <c r="Q1342" i="1"/>
  <c r="R1342" i="1"/>
  <c r="S1342" i="1"/>
  <c r="T1342" i="1"/>
  <c r="U1342" i="1"/>
  <c r="V1342" i="1"/>
  <c r="AI1342" i="1"/>
  <c r="AJ1342" i="1"/>
  <c r="AK1342" i="1"/>
  <c r="AP1342" i="1"/>
  <c r="AR1342" i="1"/>
  <c r="AY1342" i="1"/>
  <c r="BE1342" i="1"/>
  <c r="BF1342" i="1"/>
  <c r="C1343" i="1"/>
  <c r="E1343" i="1"/>
  <c r="F1343" i="1"/>
  <c r="G1343" i="1"/>
  <c r="H1343" i="1"/>
  <c r="L1343" i="1"/>
  <c r="M1343" i="1"/>
  <c r="N1343" i="1"/>
  <c r="O1343" i="1"/>
  <c r="P1343" i="1"/>
  <c r="Q1343" i="1"/>
  <c r="R1343" i="1"/>
  <c r="S1343" i="1"/>
  <c r="T1343" i="1"/>
  <c r="U1343" i="1"/>
  <c r="V1343" i="1"/>
  <c r="AI1343" i="1"/>
  <c r="AJ1343" i="1"/>
  <c r="AK1343" i="1"/>
  <c r="AP1343" i="1"/>
  <c r="AR1343" i="1"/>
  <c r="AY1343" i="1"/>
  <c r="BE1343" i="1"/>
  <c r="BF1343" i="1"/>
  <c r="C1344" i="1"/>
  <c r="E1344" i="1"/>
  <c r="F1344" i="1"/>
  <c r="G1344" i="1"/>
  <c r="H1344" i="1"/>
  <c r="L1344" i="1"/>
  <c r="M1344" i="1"/>
  <c r="N1344" i="1"/>
  <c r="O1344" i="1"/>
  <c r="P1344" i="1"/>
  <c r="Q1344" i="1"/>
  <c r="R1344" i="1"/>
  <c r="S1344" i="1"/>
  <c r="T1344" i="1"/>
  <c r="U1344" i="1"/>
  <c r="V1344" i="1"/>
  <c r="AI1344" i="1"/>
  <c r="AJ1344" i="1"/>
  <c r="AK1344" i="1"/>
  <c r="AP1344" i="1"/>
  <c r="AR1344" i="1"/>
  <c r="AY1344" i="1"/>
  <c r="BE1344" i="1"/>
  <c r="BF1344" i="1"/>
  <c r="C1345" i="1"/>
  <c r="E1345" i="1"/>
  <c r="F1345" i="1"/>
  <c r="G1345" i="1"/>
  <c r="H1345" i="1"/>
  <c r="L1345" i="1"/>
  <c r="M1345" i="1"/>
  <c r="N1345" i="1"/>
  <c r="O1345" i="1"/>
  <c r="P1345" i="1"/>
  <c r="Q1345" i="1"/>
  <c r="R1345" i="1"/>
  <c r="S1345" i="1"/>
  <c r="T1345" i="1"/>
  <c r="U1345" i="1"/>
  <c r="V1345" i="1"/>
  <c r="AI1345" i="1"/>
  <c r="AJ1345" i="1"/>
  <c r="AK1345" i="1"/>
  <c r="AP1345" i="1"/>
  <c r="AR1345" i="1"/>
  <c r="AY1345" i="1"/>
  <c r="BE1345" i="1"/>
  <c r="BF1345" i="1"/>
  <c r="C1346" i="1"/>
  <c r="E1346" i="1"/>
  <c r="F1346" i="1"/>
  <c r="G1346" i="1"/>
  <c r="H1346" i="1"/>
  <c r="L1346" i="1"/>
  <c r="M1346" i="1"/>
  <c r="N1346" i="1"/>
  <c r="O1346" i="1"/>
  <c r="P1346" i="1"/>
  <c r="Q1346" i="1"/>
  <c r="R1346" i="1"/>
  <c r="S1346" i="1"/>
  <c r="T1346" i="1"/>
  <c r="U1346" i="1"/>
  <c r="V1346" i="1"/>
  <c r="AI1346" i="1"/>
  <c r="AJ1346" i="1"/>
  <c r="AK1346" i="1"/>
  <c r="AP1346" i="1"/>
  <c r="AR1346" i="1"/>
  <c r="AY1346" i="1"/>
  <c r="BE1346" i="1"/>
  <c r="BF1346" i="1"/>
  <c r="C1347" i="1"/>
  <c r="E1347" i="1"/>
  <c r="F1347" i="1"/>
  <c r="G1347" i="1"/>
  <c r="H1347" i="1"/>
  <c r="L1347" i="1"/>
  <c r="M1347" i="1"/>
  <c r="N1347" i="1"/>
  <c r="O1347" i="1"/>
  <c r="P1347" i="1"/>
  <c r="Q1347" i="1"/>
  <c r="R1347" i="1"/>
  <c r="S1347" i="1"/>
  <c r="T1347" i="1"/>
  <c r="U1347" i="1"/>
  <c r="V1347" i="1"/>
  <c r="AI1347" i="1"/>
  <c r="AJ1347" i="1"/>
  <c r="AK1347" i="1"/>
  <c r="AP1347" i="1"/>
  <c r="AR1347" i="1"/>
  <c r="AY1347" i="1"/>
  <c r="BE1347" i="1"/>
  <c r="BF1347" i="1"/>
  <c r="C1348" i="1"/>
  <c r="E1348" i="1"/>
  <c r="F1348" i="1"/>
  <c r="G1348" i="1"/>
  <c r="H1348" i="1"/>
  <c r="L1348" i="1"/>
  <c r="M1348" i="1"/>
  <c r="N1348" i="1"/>
  <c r="O1348" i="1"/>
  <c r="P1348" i="1"/>
  <c r="Q1348" i="1"/>
  <c r="R1348" i="1"/>
  <c r="S1348" i="1"/>
  <c r="T1348" i="1"/>
  <c r="U1348" i="1"/>
  <c r="V1348" i="1"/>
  <c r="AI1348" i="1"/>
  <c r="AJ1348" i="1"/>
  <c r="AK1348" i="1"/>
  <c r="AP1348" i="1"/>
  <c r="AR1348" i="1"/>
  <c r="AY1348" i="1"/>
  <c r="BE1348" i="1"/>
  <c r="BF1348" i="1"/>
  <c r="C1349" i="1"/>
  <c r="E1349" i="1"/>
  <c r="F1349" i="1"/>
  <c r="G1349" i="1"/>
  <c r="H1349" i="1"/>
  <c r="L1349" i="1"/>
  <c r="M1349" i="1"/>
  <c r="N1349" i="1"/>
  <c r="O1349" i="1"/>
  <c r="P1349" i="1"/>
  <c r="Q1349" i="1"/>
  <c r="R1349" i="1"/>
  <c r="S1349" i="1"/>
  <c r="T1349" i="1"/>
  <c r="U1349" i="1"/>
  <c r="V1349" i="1"/>
  <c r="AI1349" i="1"/>
  <c r="AJ1349" i="1"/>
  <c r="AK1349" i="1"/>
  <c r="AP1349" i="1"/>
  <c r="AR1349" i="1"/>
  <c r="AY1349" i="1"/>
  <c r="BE1349" i="1"/>
  <c r="BF1349" i="1"/>
  <c r="C1350" i="1"/>
  <c r="E1350" i="1"/>
  <c r="F1350" i="1"/>
  <c r="G1350" i="1"/>
  <c r="H1350" i="1"/>
  <c r="L1350" i="1"/>
  <c r="M1350" i="1"/>
  <c r="N1350" i="1"/>
  <c r="O1350" i="1"/>
  <c r="P1350" i="1"/>
  <c r="Q1350" i="1"/>
  <c r="R1350" i="1"/>
  <c r="S1350" i="1"/>
  <c r="T1350" i="1"/>
  <c r="U1350" i="1"/>
  <c r="V1350" i="1"/>
  <c r="AI1350" i="1"/>
  <c r="AJ1350" i="1"/>
  <c r="AK1350" i="1"/>
  <c r="AP1350" i="1"/>
  <c r="AR1350" i="1"/>
  <c r="AY1350" i="1"/>
  <c r="BE1350" i="1"/>
  <c r="BF1350" i="1"/>
  <c r="C1351" i="1"/>
  <c r="E1351" i="1"/>
  <c r="F1351" i="1"/>
  <c r="G1351" i="1"/>
  <c r="H1351" i="1"/>
  <c r="L1351" i="1"/>
  <c r="M1351" i="1"/>
  <c r="N1351" i="1"/>
  <c r="O1351" i="1"/>
  <c r="P1351" i="1"/>
  <c r="Q1351" i="1"/>
  <c r="R1351" i="1"/>
  <c r="S1351" i="1"/>
  <c r="T1351" i="1"/>
  <c r="U1351" i="1"/>
  <c r="V1351" i="1"/>
  <c r="AI1351" i="1"/>
  <c r="AJ1351" i="1"/>
  <c r="AK1351" i="1"/>
  <c r="AP1351" i="1"/>
  <c r="AR1351" i="1"/>
  <c r="AY1351" i="1"/>
  <c r="BE1351" i="1"/>
  <c r="BF1351" i="1"/>
  <c r="C1352" i="1"/>
  <c r="E1352" i="1"/>
  <c r="F1352" i="1"/>
  <c r="G1352" i="1"/>
  <c r="H1352" i="1"/>
  <c r="L1352" i="1"/>
  <c r="M1352" i="1"/>
  <c r="N1352" i="1"/>
  <c r="O1352" i="1"/>
  <c r="P1352" i="1"/>
  <c r="Q1352" i="1"/>
  <c r="R1352" i="1"/>
  <c r="S1352" i="1"/>
  <c r="T1352" i="1"/>
  <c r="U1352" i="1"/>
  <c r="V1352" i="1"/>
  <c r="AI1352" i="1"/>
  <c r="AJ1352" i="1"/>
  <c r="AK1352" i="1"/>
  <c r="AP1352" i="1"/>
  <c r="AR1352" i="1"/>
  <c r="AY1352" i="1"/>
  <c r="BE1352" i="1"/>
  <c r="BF1352" i="1"/>
  <c r="C1353" i="1"/>
  <c r="E1353" i="1"/>
  <c r="F1353" i="1"/>
  <c r="G1353" i="1"/>
  <c r="H1353" i="1"/>
  <c r="L1353" i="1"/>
  <c r="M1353" i="1"/>
  <c r="N1353" i="1"/>
  <c r="O1353" i="1"/>
  <c r="P1353" i="1"/>
  <c r="Q1353" i="1"/>
  <c r="R1353" i="1"/>
  <c r="S1353" i="1"/>
  <c r="T1353" i="1"/>
  <c r="U1353" i="1"/>
  <c r="V1353" i="1"/>
  <c r="AI1353" i="1"/>
  <c r="AJ1353" i="1"/>
  <c r="AK1353" i="1"/>
  <c r="AP1353" i="1"/>
  <c r="AR1353" i="1"/>
  <c r="AY1353" i="1"/>
  <c r="BE1353" i="1"/>
  <c r="BF1353" i="1"/>
  <c r="C1354" i="1"/>
  <c r="E1354" i="1"/>
  <c r="F1354" i="1"/>
  <c r="G1354" i="1"/>
  <c r="H1354" i="1"/>
  <c r="L1354" i="1"/>
  <c r="M1354" i="1"/>
  <c r="N1354" i="1"/>
  <c r="O1354" i="1"/>
  <c r="P1354" i="1"/>
  <c r="Q1354" i="1"/>
  <c r="R1354" i="1"/>
  <c r="S1354" i="1"/>
  <c r="T1354" i="1"/>
  <c r="U1354" i="1"/>
  <c r="V1354" i="1"/>
  <c r="AI1354" i="1"/>
  <c r="AJ1354" i="1"/>
  <c r="AK1354" i="1"/>
  <c r="AP1354" i="1"/>
  <c r="AR1354" i="1"/>
  <c r="AY1354" i="1"/>
  <c r="BE1354" i="1"/>
  <c r="BF1354" i="1"/>
  <c r="C1355" i="1"/>
  <c r="E1355" i="1"/>
  <c r="F1355" i="1"/>
  <c r="G1355" i="1"/>
  <c r="H1355" i="1"/>
  <c r="L1355" i="1"/>
  <c r="M1355" i="1"/>
  <c r="N1355" i="1"/>
  <c r="O1355" i="1"/>
  <c r="P1355" i="1"/>
  <c r="Q1355" i="1"/>
  <c r="R1355" i="1"/>
  <c r="S1355" i="1"/>
  <c r="T1355" i="1"/>
  <c r="U1355" i="1"/>
  <c r="V1355" i="1"/>
  <c r="AI1355" i="1"/>
  <c r="AJ1355" i="1"/>
  <c r="AK1355" i="1"/>
  <c r="AP1355" i="1"/>
  <c r="AR1355" i="1"/>
  <c r="AY1355" i="1"/>
  <c r="BE1355" i="1"/>
  <c r="BF1355" i="1"/>
  <c r="C1356" i="1"/>
  <c r="E1356" i="1"/>
  <c r="F1356" i="1"/>
  <c r="G1356" i="1"/>
  <c r="H1356" i="1"/>
  <c r="L1356" i="1"/>
  <c r="M1356" i="1"/>
  <c r="N1356" i="1"/>
  <c r="O1356" i="1"/>
  <c r="P1356" i="1"/>
  <c r="Q1356" i="1"/>
  <c r="R1356" i="1"/>
  <c r="S1356" i="1"/>
  <c r="T1356" i="1"/>
  <c r="U1356" i="1"/>
  <c r="V1356" i="1"/>
  <c r="AI1356" i="1"/>
  <c r="AJ1356" i="1"/>
  <c r="AK1356" i="1"/>
  <c r="AP1356" i="1"/>
  <c r="AR1356" i="1"/>
  <c r="AY1356" i="1"/>
  <c r="BE1356" i="1"/>
  <c r="BF1356" i="1"/>
  <c r="C1357" i="1"/>
  <c r="E1357" i="1"/>
  <c r="F1357" i="1"/>
  <c r="G1357" i="1"/>
  <c r="H1357" i="1"/>
  <c r="L1357" i="1"/>
  <c r="M1357" i="1"/>
  <c r="N1357" i="1"/>
  <c r="O1357" i="1"/>
  <c r="P1357" i="1"/>
  <c r="Q1357" i="1"/>
  <c r="R1357" i="1"/>
  <c r="S1357" i="1"/>
  <c r="T1357" i="1"/>
  <c r="U1357" i="1"/>
  <c r="V1357" i="1"/>
  <c r="AI1357" i="1"/>
  <c r="AJ1357" i="1"/>
  <c r="AK1357" i="1"/>
  <c r="AP1357" i="1"/>
  <c r="AR1357" i="1"/>
  <c r="AY1357" i="1"/>
  <c r="BE1357" i="1"/>
  <c r="BF1357" i="1"/>
  <c r="C1358" i="1"/>
  <c r="E1358" i="1"/>
  <c r="F1358" i="1"/>
  <c r="G1358" i="1"/>
  <c r="H1358" i="1"/>
  <c r="L1358" i="1"/>
  <c r="M1358" i="1"/>
  <c r="N1358" i="1"/>
  <c r="O1358" i="1"/>
  <c r="P1358" i="1"/>
  <c r="Q1358" i="1"/>
  <c r="R1358" i="1"/>
  <c r="S1358" i="1"/>
  <c r="T1358" i="1"/>
  <c r="U1358" i="1"/>
  <c r="V1358" i="1"/>
  <c r="AI1358" i="1"/>
  <c r="AJ1358" i="1"/>
  <c r="AK1358" i="1"/>
  <c r="AP1358" i="1"/>
  <c r="AR1358" i="1"/>
  <c r="AY1358" i="1"/>
  <c r="BE1358" i="1"/>
  <c r="BF1358" i="1"/>
  <c r="C1359" i="1"/>
  <c r="E1359" i="1"/>
  <c r="F1359" i="1"/>
  <c r="G1359" i="1"/>
  <c r="H1359" i="1"/>
  <c r="L1359" i="1"/>
  <c r="M1359" i="1"/>
  <c r="N1359" i="1"/>
  <c r="O1359" i="1"/>
  <c r="P1359" i="1"/>
  <c r="Q1359" i="1"/>
  <c r="R1359" i="1"/>
  <c r="S1359" i="1"/>
  <c r="T1359" i="1"/>
  <c r="U1359" i="1"/>
  <c r="V1359" i="1"/>
  <c r="AI1359" i="1"/>
  <c r="AJ1359" i="1"/>
  <c r="AK1359" i="1"/>
  <c r="AP1359" i="1"/>
  <c r="AR1359" i="1"/>
  <c r="AY1359" i="1"/>
  <c r="BE1359" i="1"/>
  <c r="BF1359" i="1"/>
  <c r="C1360" i="1"/>
  <c r="E1360" i="1"/>
  <c r="F1360" i="1"/>
  <c r="G1360" i="1"/>
  <c r="H1360" i="1"/>
  <c r="L1360" i="1"/>
  <c r="M1360" i="1"/>
  <c r="N1360" i="1"/>
  <c r="O1360" i="1"/>
  <c r="P1360" i="1"/>
  <c r="Q1360" i="1"/>
  <c r="R1360" i="1"/>
  <c r="S1360" i="1"/>
  <c r="T1360" i="1"/>
  <c r="U1360" i="1"/>
  <c r="V1360" i="1"/>
  <c r="AI1360" i="1"/>
  <c r="AJ1360" i="1"/>
  <c r="AK1360" i="1"/>
  <c r="AP1360" i="1"/>
  <c r="AR1360" i="1"/>
  <c r="AY1360" i="1"/>
  <c r="BE1360" i="1"/>
  <c r="BF1360" i="1"/>
  <c r="C1361" i="1"/>
  <c r="E1361" i="1"/>
  <c r="F1361" i="1"/>
  <c r="G1361" i="1"/>
  <c r="H1361" i="1"/>
  <c r="L1361" i="1"/>
  <c r="M1361" i="1"/>
  <c r="N1361" i="1"/>
  <c r="O1361" i="1"/>
  <c r="P1361" i="1"/>
  <c r="Q1361" i="1"/>
  <c r="R1361" i="1"/>
  <c r="S1361" i="1"/>
  <c r="T1361" i="1"/>
  <c r="U1361" i="1"/>
  <c r="V1361" i="1"/>
  <c r="AI1361" i="1"/>
  <c r="AJ1361" i="1"/>
  <c r="AK1361" i="1"/>
  <c r="AP1361" i="1"/>
  <c r="AR1361" i="1"/>
  <c r="AY1361" i="1"/>
  <c r="BE1361" i="1"/>
  <c r="BF1361" i="1"/>
  <c r="C1362" i="1"/>
  <c r="E1362" i="1"/>
  <c r="F1362" i="1"/>
  <c r="G1362" i="1"/>
  <c r="H1362" i="1"/>
  <c r="L1362" i="1"/>
  <c r="M1362" i="1"/>
  <c r="N1362" i="1"/>
  <c r="O1362" i="1"/>
  <c r="P1362" i="1"/>
  <c r="Q1362" i="1"/>
  <c r="R1362" i="1"/>
  <c r="S1362" i="1"/>
  <c r="T1362" i="1"/>
  <c r="U1362" i="1"/>
  <c r="V1362" i="1"/>
  <c r="AI1362" i="1"/>
  <c r="AJ1362" i="1"/>
  <c r="AK1362" i="1"/>
  <c r="AP1362" i="1"/>
  <c r="AR1362" i="1"/>
  <c r="AY1362" i="1"/>
  <c r="BE1362" i="1"/>
  <c r="BF1362" i="1"/>
  <c r="C1363" i="1"/>
  <c r="E1363" i="1"/>
  <c r="F1363" i="1"/>
  <c r="G1363" i="1"/>
  <c r="H1363" i="1"/>
  <c r="L1363" i="1"/>
  <c r="M1363" i="1"/>
  <c r="N1363" i="1"/>
  <c r="O1363" i="1"/>
  <c r="P1363" i="1"/>
  <c r="Q1363" i="1"/>
  <c r="R1363" i="1"/>
  <c r="S1363" i="1"/>
  <c r="T1363" i="1"/>
  <c r="U1363" i="1"/>
  <c r="V1363" i="1"/>
  <c r="AI1363" i="1"/>
  <c r="AJ1363" i="1"/>
  <c r="AK1363" i="1"/>
  <c r="AP1363" i="1"/>
  <c r="AR1363" i="1"/>
  <c r="AY1363" i="1"/>
  <c r="BE1363" i="1"/>
  <c r="BF1363" i="1"/>
  <c r="C1364" i="1"/>
  <c r="E1364" i="1"/>
  <c r="F1364" i="1"/>
  <c r="G1364" i="1"/>
  <c r="H1364" i="1"/>
  <c r="L1364" i="1"/>
  <c r="M1364" i="1"/>
  <c r="N1364" i="1"/>
  <c r="O1364" i="1"/>
  <c r="P1364" i="1"/>
  <c r="Q1364" i="1"/>
  <c r="R1364" i="1"/>
  <c r="S1364" i="1"/>
  <c r="T1364" i="1"/>
  <c r="U1364" i="1"/>
  <c r="V1364" i="1"/>
  <c r="AI1364" i="1"/>
  <c r="AJ1364" i="1"/>
  <c r="AK1364" i="1"/>
  <c r="AP1364" i="1"/>
  <c r="AR1364" i="1"/>
  <c r="AY1364" i="1"/>
  <c r="BE1364" i="1"/>
  <c r="BF1364" i="1"/>
  <c r="C1365" i="1"/>
  <c r="E1365" i="1"/>
  <c r="F1365" i="1"/>
  <c r="G1365" i="1"/>
  <c r="H1365" i="1"/>
  <c r="L1365" i="1"/>
  <c r="M1365" i="1"/>
  <c r="N1365" i="1"/>
  <c r="O1365" i="1"/>
  <c r="P1365" i="1"/>
  <c r="Q1365" i="1"/>
  <c r="R1365" i="1"/>
  <c r="S1365" i="1"/>
  <c r="T1365" i="1"/>
  <c r="U1365" i="1"/>
  <c r="V1365" i="1"/>
  <c r="AI1365" i="1"/>
  <c r="AJ1365" i="1"/>
  <c r="AK1365" i="1"/>
  <c r="AP1365" i="1"/>
  <c r="AR1365" i="1"/>
  <c r="AY1365" i="1"/>
  <c r="BE1365" i="1"/>
  <c r="BF1365" i="1"/>
  <c r="C1366" i="1"/>
  <c r="E1366" i="1"/>
  <c r="F1366" i="1"/>
  <c r="G1366" i="1"/>
  <c r="H1366" i="1"/>
  <c r="L1366" i="1"/>
  <c r="M1366" i="1"/>
  <c r="N1366" i="1"/>
  <c r="O1366" i="1"/>
  <c r="P1366" i="1"/>
  <c r="Q1366" i="1"/>
  <c r="R1366" i="1"/>
  <c r="S1366" i="1"/>
  <c r="T1366" i="1"/>
  <c r="U1366" i="1"/>
  <c r="V1366" i="1"/>
  <c r="AI1366" i="1"/>
  <c r="AJ1366" i="1"/>
  <c r="AK1366" i="1"/>
  <c r="AP1366" i="1"/>
  <c r="AR1366" i="1"/>
  <c r="AY1366" i="1"/>
  <c r="BE1366" i="1"/>
  <c r="BF1366" i="1"/>
  <c r="C1367" i="1"/>
  <c r="E1367" i="1"/>
  <c r="F1367" i="1"/>
  <c r="G1367" i="1"/>
  <c r="H1367" i="1"/>
  <c r="L1367" i="1"/>
  <c r="M1367" i="1"/>
  <c r="N1367" i="1"/>
  <c r="O1367" i="1"/>
  <c r="P1367" i="1"/>
  <c r="Q1367" i="1"/>
  <c r="R1367" i="1"/>
  <c r="S1367" i="1"/>
  <c r="T1367" i="1"/>
  <c r="U1367" i="1"/>
  <c r="V1367" i="1"/>
  <c r="AI1367" i="1"/>
  <c r="AJ1367" i="1"/>
  <c r="AK1367" i="1"/>
  <c r="AP1367" i="1"/>
  <c r="AR1367" i="1"/>
  <c r="AY1367" i="1"/>
  <c r="BE1367" i="1"/>
  <c r="BF1367" i="1"/>
  <c r="C1368" i="1"/>
  <c r="E1368" i="1"/>
  <c r="F1368" i="1"/>
  <c r="G1368" i="1"/>
  <c r="H1368" i="1"/>
  <c r="L1368" i="1"/>
  <c r="M1368" i="1"/>
  <c r="N1368" i="1"/>
  <c r="O1368" i="1"/>
  <c r="P1368" i="1"/>
  <c r="Q1368" i="1"/>
  <c r="R1368" i="1"/>
  <c r="S1368" i="1"/>
  <c r="T1368" i="1"/>
  <c r="U1368" i="1"/>
  <c r="V1368" i="1"/>
  <c r="AI1368" i="1"/>
  <c r="AJ1368" i="1"/>
  <c r="AK1368" i="1"/>
  <c r="AP1368" i="1"/>
  <c r="AR1368" i="1"/>
  <c r="AY1368" i="1"/>
  <c r="BE1368" i="1"/>
  <c r="BF1368" i="1"/>
  <c r="C1369" i="1"/>
  <c r="E1369" i="1"/>
  <c r="F1369" i="1"/>
  <c r="G1369" i="1"/>
  <c r="H1369" i="1"/>
  <c r="L1369" i="1"/>
  <c r="M1369" i="1"/>
  <c r="N1369" i="1"/>
  <c r="O1369" i="1"/>
  <c r="P1369" i="1"/>
  <c r="Q1369" i="1"/>
  <c r="R1369" i="1"/>
  <c r="S1369" i="1"/>
  <c r="T1369" i="1"/>
  <c r="U1369" i="1"/>
  <c r="V1369" i="1"/>
  <c r="AI1369" i="1"/>
  <c r="AJ1369" i="1"/>
  <c r="AK1369" i="1"/>
  <c r="AP1369" i="1"/>
  <c r="AR1369" i="1"/>
  <c r="AY1369" i="1"/>
  <c r="BE1369" i="1"/>
  <c r="BF1369" i="1"/>
  <c r="C1370" i="1"/>
  <c r="E1370" i="1"/>
  <c r="F1370" i="1"/>
  <c r="G1370" i="1"/>
  <c r="H1370" i="1"/>
  <c r="L1370" i="1"/>
  <c r="M1370" i="1"/>
  <c r="N1370" i="1"/>
  <c r="O1370" i="1"/>
  <c r="P1370" i="1"/>
  <c r="Q1370" i="1"/>
  <c r="R1370" i="1"/>
  <c r="S1370" i="1"/>
  <c r="T1370" i="1"/>
  <c r="U1370" i="1"/>
  <c r="V1370" i="1"/>
  <c r="AI1370" i="1"/>
  <c r="AJ1370" i="1"/>
  <c r="AK1370" i="1"/>
  <c r="AP1370" i="1"/>
  <c r="AR1370" i="1"/>
  <c r="AY1370" i="1"/>
  <c r="BE1370" i="1"/>
  <c r="BF1370" i="1"/>
  <c r="C1371" i="1"/>
  <c r="E1371" i="1"/>
  <c r="F1371" i="1"/>
  <c r="G1371" i="1"/>
  <c r="H1371" i="1"/>
  <c r="L1371" i="1"/>
  <c r="M1371" i="1"/>
  <c r="N1371" i="1"/>
  <c r="O1371" i="1"/>
  <c r="P1371" i="1"/>
  <c r="Q1371" i="1"/>
  <c r="R1371" i="1"/>
  <c r="S1371" i="1"/>
  <c r="T1371" i="1"/>
  <c r="U1371" i="1"/>
  <c r="V1371" i="1"/>
  <c r="AI1371" i="1"/>
  <c r="AJ1371" i="1"/>
  <c r="AK1371" i="1"/>
  <c r="AP1371" i="1"/>
  <c r="AR1371" i="1"/>
  <c r="AY1371" i="1"/>
  <c r="BE1371" i="1"/>
  <c r="BF1371" i="1"/>
  <c r="C1372" i="1"/>
  <c r="E1372" i="1"/>
  <c r="F1372" i="1"/>
  <c r="G1372" i="1"/>
  <c r="H1372" i="1"/>
  <c r="L1372" i="1"/>
  <c r="M1372" i="1"/>
  <c r="N1372" i="1"/>
  <c r="O1372" i="1"/>
  <c r="P1372" i="1"/>
  <c r="Q1372" i="1"/>
  <c r="R1372" i="1"/>
  <c r="S1372" i="1"/>
  <c r="T1372" i="1"/>
  <c r="U1372" i="1"/>
  <c r="V1372" i="1"/>
  <c r="AI1372" i="1"/>
  <c r="AJ1372" i="1"/>
  <c r="AK1372" i="1"/>
  <c r="AP1372" i="1"/>
  <c r="AR1372" i="1"/>
  <c r="AY1372" i="1"/>
  <c r="BE1372" i="1"/>
  <c r="BF1372" i="1"/>
  <c r="C1373" i="1"/>
  <c r="E1373" i="1"/>
  <c r="F1373" i="1"/>
  <c r="G1373" i="1"/>
  <c r="H1373" i="1"/>
  <c r="L1373" i="1"/>
  <c r="M1373" i="1"/>
  <c r="N1373" i="1"/>
  <c r="O1373" i="1"/>
  <c r="P1373" i="1"/>
  <c r="Q1373" i="1"/>
  <c r="R1373" i="1"/>
  <c r="S1373" i="1"/>
  <c r="T1373" i="1"/>
  <c r="U1373" i="1"/>
  <c r="V1373" i="1"/>
  <c r="AI1373" i="1"/>
  <c r="AJ1373" i="1"/>
  <c r="AK1373" i="1"/>
  <c r="AP1373" i="1"/>
  <c r="AR1373" i="1"/>
  <c r="AY1373" i="1"/>
  <c r="BE1373" i="1"/>
  <c r="BF1373" i="1"/>
  <c r="C1374" i="1"/>
  <c r="E1374" i="1"/>
  <c r="F1374" i="1"/>
  <c r="G1374" i="1"/>
  <c r="H1374" i="1"/>
  <c r="L1374" i="1"/>
  <c r="M1374" i="1"/>
  <c r="N1374" i="1"/>
  <c r="O1374" i="1"/>
  <c r="P1374" i="1"/>
  <c r="Q1374" i="1"/>
  <c r="R1374" i="1"/>
  <c r="S1374" i="1"/>
  <c r="T1374" i="1"/>
  <c r="U1374" i="1"/>
  <c r="V1374" i="1"/>
  <c r="AI1374" i="1"/>
  <c r="AJ1374" i="1"/>
  <c r="AK1374" i="1"/>
  <c r="AP1374" i="1"/>
  <c r="AR1374" i="1"/>
  <c r="AY1374" i="1"/>
  <c r="BE1374" i="1"/>
  <c r="BF1374" i="1"/>
  <c r="C1375" i="1"/>
  <c r="E1375" i="1"/>
  <c r="F1375" i="1"/>
  <c r="G1375" i="1"/>
  <c r="H1375" i="1"/>
  <c r="L1375" i="1"/>
  <c r="M1375" i="1"/>
  <c r="N1375" i="1"/>
  <c r="O1375" i="1"/>
  <c r="P1375" i="1"/>
  <c r="Q1375" i="1"/>
  <c r="R1375" i="1"/>
  <c r="S1375" i="1"/>
  <c r="T1375" i="1"/>
  <c r="U1375" i="1"/>
  <c r="V1375" i="1"/>
  <c r="AI1375" i="1"/>
  <c r="AJ1375" i="1"/>
  <c r="AK1375" i="1"/>
  <c r="AP1375" i="1"/>
  <c r="AR1375" i="1"/>
  <c r="AY1375" i="1"/>
  <c r="BE1375" i="1"/>
  <c r="BF1375" i="1"/>
  <c r="C1376" i="1"/>
  <c r="E1376" i="1"/>
  <c r="F1376" i="1"/>
  <c r="G1376" i="1"/>
  <c r="H1376" i="1"/>
  <c r="L1376" i="1"/>
  <c r="M1376" i="1"/>
  <c r="N1376" i="1"/>
  <c r="O1376" i="1"/>
  <c r="P1376" i="1"/>
  <c r="Q1376" i="1"/>
  <c r="R1376" i="1"/>
  <c r="S1376" i="1"/>
  <c r="T1376" i="1"/>
  <c r="U1376" i="1"/>
  <c r="V1376" i="1"/>
  <c r="AI1376" i="1"/>
  <c r="AJ1376" i="1"/>
  <c r="AK1376" i="1"/>
  <c r="AP1376" i="1"/>
  <c r="AR1376" i="1"/>
  <c r="AY1376" i="1"/>
  <c r="BE1376" i="1"/>
  <c r="BF1376" i="1"/>
  <c r="C1377" i="1"/>
  <c r="E1377" i="1"/>
  <c r="F1377" i="1"/>
  <c r="G1377" i="1"/>
  <c r="H1377" i="1"/>
  <c r="L1377" i="1"/>
  <c r="M1377" i="1"/>
  <c r="N1377" i="1"/>
  <c r="O1377" i="1"/>
  <c r="P1377" i="1"/>
  <c r="Q1377" i="1"/>
  <c r="R1377" i="1"/>
  <c r="S1377" i="1"/>
  <c r="T1377" i="1"/>
  <c r="U1377" i="1"/>
  <c r="V1377" i="1"/>
  <c r="AI1377" i="1"/>
  <c r="AJ1377" i="1"/>
  <c r="AK1377" i="1"/>
  <c r="AP1377" i="1"/>
  <c r="AR1377" i="1"/>
  <c r="AY1377" i="1"/>
  <c r="BE1377" i="1"/>
  <c r="BF1377" i="1"/>
  <c r="C1378" i="1"/>
  <c r="E1378" i="1"/>
  <c r="F1378" i="1"/>
  <c r="G1378" i="1"/>
  <c r="H1378" i="1"/>
  <c r="L1378" i="1"/>
  <c r="M1378" i="1"/>
  <c r="N1378" i="1"/>
  <c r="O1378" i="1"/>
  <c r="P1378" i="1"/>
  <c r="Q1378" i="1"/>
  <c r="R1378" i="1"/>
  <c r="S1378" i="1"/>
  <c r="T1378" i="1"/>
  <c r="U1378" i="1"/>
  <c r="V1378" i="1"/>
  <c r="AI1378" i="1"/>
  <c r="AJ1378" i="1"/>
  <c r="AK1378" i="1"/>
  <c r="AP1378" i="1"/>
  <c r="AR1378" i="1"/>
  <c r="AY1378" i="1"/>
  <c r="BE1378" i="1"/>
  <c r="BF1378" i="1"/>
  <c r="C1379" i="1"/>
  <c r="E1379" i="1"/>
  <c r="F1379" i="1"/>
  <c r="G1379" i="1"/>
  <c r="H1379" i="1"/>
  <c r="L1379" i="1"/>
  <c r="M1379" i="1"/>
  <c r="N1379" i="1"/>
  <c r="O1379" i="1"/>
  <c r="P1379" i="1"/>
  <c r="Q1379" i="1"/>
  <c r="R1379" i="1"/>
  <c r="S1379" i="1"/>
  <c r="T1379" i="1"/>
  <c r="U1379" i="1"/>
  <c r="V1379" i="1"/>
  <c r="AI1379" i="1"/>
  <c r="AJ1379" i="1"/>
  <c r="AK1379" i="1"/>
  <c r="AP1379" i="1"/>
  <c r="AR1379" i="1"/>
  <c r="AY1379" i="1"/>
  <c r="BE1379" i="1"/>
  <c r="BF1379" i="1"/>
  <c r="C1380" i="1"/>
  <c r="E1380" i="1"/>
  <c r="F1380" i="1"/>
  <c r="G1380" i="1"/>
  <c r="H1380" i="1"/>
  <c r="L1380" i="1"/>
  <c r="M1380" i="1"/>
  <c r="N1380" i="1"/>
  <c r="O1380" i="1"/>
  <c r="P1380" i="1"/>
  <c r="Q1380" i="1"/>
  <c r="R1380" i="1"/>
  <c r="S1380" i="1"/>
  <c r="T1380" i="1"/>
  <c r="U1380" i="1"/>
  <c r="V1380" i="1"/>
  <c r="AI1380" i="1"/>
  <c r="AJ1380" i="1"/>
  <c r="AK1380" i="1"/>
  <c r="AP1380" i="1"/>
  <c r="AR1380" i="1"/>
  <c r="AY1380" i="1"/>
  <c r="BE1380" i="1"/>
  <c r="BF1380" i="1"/>
  <c r="C1381" i="1"/>
  <c r="E1381" i="1"/>
  <c r="F1381" i="1"/>
  <c r="G1381" i="1"/>
  <c r="H1381" i="1"/>
  <c r="L1381" i="1"/>
  <c r="M1381" i="1"/>
  <c r="N1381" i="1"/>
  <c r="O1381" i="1"/>
  <c r="P1381" i="1"/>
  <c r="Q1381" i="1"/>
  <c r="R1381" i="1"/>
  <c r="S1381" i="1"/>
  <c r="T1381" i="1"/>
  <c r="U1381" i="1"/>
  <c r="V1381" i="1"/>
  <c r="AI1381" i="1"/>
  <c r="AJ1381" i="1"/>
  <c r="AK1381" i="1"/>
  <c r="AP1381" i="1"/>
  <c r="AR1381" i="1"/>
  <c r="AY1381" i="1"/>
  <c r="BE1381" i="1"/>
  <c r="BF1381" i="1"/>
  <c r="C1382" i="1"/>
  <c r="E1382" i="1"/>
  <c r="F1382" i="1"/>
  <c r="G1382" i="1"/>
  <c r="H1382" i="1"/>
  <c r="L1382" i="1"/>
  <c r="M1382" i="1"/>
  <c r="N1382" i="1"/>
  <c r="O1382" i="1"/>
  <c r="P1382" i="1"/>
  <c r="Q1382" i="1"/>
  <c r="R1382" i="1"/>
  <c r="S1382" i="1"/>
  <c r="T1382" i="1"/>
  <c r="U1382" i="1"/>
  <c r="V1382" i="1"/>
  <c r="AI1382" i="1"/>
  <c r="AJ1382" i="1"/>
  <c r="AK1382" i="1"/>
  <c r="AP1382" i="1"/>
  <c r="AR1382" i="1"/>
  <c r="AY1382" i="1"/>
  <c r="BE1382" i="1"/>
  <c r="BF1382" i="1"/>
  <c r="C1383" i="1"/>
  <c r="E1383" i="1"/>
  <c r="F1383" i="1"/>
  <c r="G1383" i="1"/>
  <c r="H1383" i="1"/>
  <c r="L1383" i="1"/>
  <c r="M1383" i="1"/>
  <c r="N1383" i="1"/>
  <c r="O1383" i="1"/>
  <c r="P1383" i="1"/>
  <c r="Q1383" i="1"/>
  <c r="R1383" i="1"/>
  <c r="S1383" i="1"/>
  <c r="T1383" i="1"/>
  <c r="U1383" i="1"/>
  <c r="V1383" i="1"/>
  <c r="AI1383" i="1"/>
  <c r="AJ1383" i="1"/>
  <c r="AK1383" i="1"/>
  <c r="AP1383" i="1"/>
  <c r="AR1383" i="1"/>
  <c r="AY1383" i="1"/>
  <c r="BE1383" i="1"/>
  <c r="BF1383" i="1"/>
  <c r="C1384" i="1"/>
  <c r="E1384" i="1"/>
  <c r="F1384" i="1"/>
  <c r="G1384" i="1"/>
  <c r="H1384" i="1"/>
  <c r="L1384" i="1"/>
  <c r="M1384" i="1"/>
  <c r="N1384" i="1"/>
  <c r="O1384" i="1"/>
  <c r="P1384" i="1"/>
  <c r="Q1384" i="1"/>
  <c r="R1384" i="1"/>
  <c r="S1384" i="1"/>
  <c r="T1384" i="1"/>
  <c r="U1384" i="1"/>
  <c r="V1384" i="1"/>
  <c r="AI1384" i="1"/>
  <c r="AJ1384" i="1"/>
  <c r="AK1384" i="1"/>
  <c r="AP1384" i="1"/>
  <c r="AR1384" i="1"/>
  <c r="AY1384" i="1"/>
  <c r="BE1384" i="1"/>
  <c r="BF1384" i="1"/>
  <c r="C1385" i="1"/>
  <c r="E1385" i="1"/>
  <c r="F1385" i="1"/>
  <c r="G1385" i="1"/>
  <c r="H1385" i="1"/>
  <c r="L1385" i="1"/>
  <c r="M1385" i="1"/>
  <c r="N1385" i="1"/>
  <c r="O1385" i="1"/>
  <c r="P1385" i="1"/>
  <c r="Q1385" i="1"/>
  <c r="R1385" i="1"/>
  <c r="S1385" i="1"/>
  <c r="T1385" i="1"/>
  <c r="U1385" i="1"/>
  <c r="V1385" i="1"/>
  <c r="AB1385" i="1"/>
  <c r="AI1385" i="1"/>
  <c r="AJ1385" i="1"/>
  <c r="AK1385" i="1"/>
  <c r="AP1385" i="1"/>
  <c r="AR1385" i="1"/>
  <c r="AY1385" i="1"/>
  <c r="BE1385" i="1"/>
  <c r="BF1385" i="1"/>
  <c r="C1386" i="1"/>
  <c r="E1386" i="1"/>
  <c r="F1386" i="1"/>
  <c r="G1386" i="1"/>
  <c r="H1386" i="1"/>
  <c r="L1386" i="1"/>
  <c r="M1386" i="1"/>
  <c r="N1386" i="1"/>
  <c r="O1386" i="1"/>
  <c r="P1386" i="1"/>
  <c r="Q1386" i="1"/>
  <c r="R1386" i="1"/>
  <c r="S1386" i="1"/>
  <c r="T1386" i="1"/>
  <c r="U1386" i="1"/>
  <c r="V1386" i="1"/>
  <c r="AB1386" i="1"/>
  <c r="AI1386" i="1"/>
  <c r="AJ1386" i="1"/>
  <c r="AK1386" i="1"/>
  <c r="AP1386" i="1"/>
  <c r="AR1386" i="1"/>
  <c r="AY1386" i="1"/>
  <c r="BE1386" i="1"/>
  <c r="BF1386" i="1"/>
  <c r="C1387" i="1"/>
  <c r="E1387" i="1"/>
  <c r="F1387" i="1"/>
  <c r="G1387" i="1"/>
  <c r="H1387" i="1"/>
  <c r="L1387" i="1"/>
  <c r="M1387" i="1"/>
  <c r="N1387" i="1"/>
  <c r="O1387" i="1"/>
  <c r="P1387" i="1"/>
  <c r="Q1387" i="1"/>
  <c r="R1387" i="1"/>
  <c r="S1387" i="1"/>
  <c r="T1387" i="1"/>
  <c r="U1387" i="1"/>
  <c r="V1387" i="1"/>
  <c r="AB1387" i="1"/>
  <c r="AI1387" i="1"/>
  <c r="AJ1387" i="1"/>
  <c r="AK1387" i="1"/>
  <c r="AP1387" i="1"/>
  <c r="AR1387" i="1"/>
  <c r="AY1387" i="1"/>
  <c r="BE1387" i="1"/>
  <c r="BF1387" i="1"/>
  <c r="C1388" i="1"/>
  <c r="E1388" i="1"/>
  <c r="F1388" i="1"/>
  <c r="G1388" i="1"/>
  <c r="H1388" i="1"/>
  <c r="L1388" i="1"/>
  <c r="M1388" i="1"/>
  <c r="N1388" i="1"/>
  <c r="O1388" i="1"/>
  <c r="P1388" i="1"/>
  <c r="Q1388" i="1"/>
  <c r="R1388" i="1"/>
  <c r="S1388" i="1"/>
  <c r="T1388" i="1"/>
  <c r="U1388" i="1"/>
  <c r="V1388" i="1"/>
  <c r="AB1388" i="1"/>
  <c r="AI1388" i="1"/>
  <c r="AJ1388" i="1"/>
  <c r="AK1388" i="1"/>
  <c r="AP1388" i="1"/>
  <c r="AR1388" i="1"/>
  <c r="AY1388" i="1"/>
  <c r="BE1388" i="1"/>
  <c r="BF1388" i="1"/>
  <c r="C1389" i="1"/>
  <c r="E1389" i="1"/>
  <c r="F1389" i="1"/>
  <c r="G1389" i="1"/>
  <c r="H1389" i="1"/>
  <c r="L1389" i="1"/>
  <c r="M1389" i="1"/>
  <c r="N1389" i="1"/>
  <c r="O1389" i="1"/>
  <c r="P1389" i="1"/>
  <c r="Q1389" i="1"/>
  <c r="R1389" i="1"/>
  <c r="S1389" i="1"/>
  <c r="T1389" i="1"/>
  <c r="U1389" i="1"/>
  <c r="V1389" i="1"/>
  <c r="AB1389" i="1"/>
  <c r="AI1389" i="1"/>
  <c r="AJ1389" i="1"/>
  <c r="AK1389" i="1"/>
  <c r="AP1389" i="1"/>
  <c r="AR1389" i="1"/>
  <c r="AY1389" i="1"/>
  <c r="BE1389" i="1"/>
  <c r="BF1389" i="1"/>
  <c r="C1390" i="1"/>
  <c r="E1390" i="1"/>
  <c r="F1390" i="1"/>
  <c r="G1390" i="1"/>
  <c r="H1390" i="1"/>
  <c r="L1390" i="1"/>
  <c r="M1390" i="1"/>
  <c r="N1390" i="1"/>
  <c r="O1390" i="1"/>
  <c r="P1390" i="1"/>
  <c r="Q1390" i="1"/>
  <c r="R1390" i="1"/>
  <c r="S1390" i="1"/>
  <c r="T1390" i="1"/>
  <c r="U1390" i="1"/>
  <c r="V1390" i="1"/>
  <c r="AB1390" i="1"/>
  <c r="AI1390" i="1"/>
  <c r="AJ1390" i="1"/>
  <c r="AK1390" i="1"/>
  <c r="AP1390" i="1"/>
  <c r="AR1390" i="1"/>
  <c r="AY1390" i="1"/>
  <c r="BE1390" i="1"/>
  <c r="BF1390" i="1"/>
  <c r="C1391" i="1"/>
  <c r="E1391" i="1"/>
  <c r="F1391" i="1"/>
  <c r="G1391" i="1"/>
  <c r="H1391" i="1"/>
  <c r="L1391" i="1"/>
  <c r="M1391" i="1"/>
  <c r="N1391" i="1"/>
  <c r="O1391" i="1"/>
  <c r="P1391" i="1"/>
  <c r="Q1391" i="1"/>
  <c r="R1391" i="1"/>
  <c r="S1391" i="1"/>
  <c r="T1391" i="1"/>
  <c r="U1391" i="1"/>
  <c r="V1391" i="1"/>
  <c r="AI1391" i="1"/>
  <c r="AJ1391" i="1"/>
  <c r="AK1391" i="1"/>
  <c r="AP1391" i="1"/>
  <c r="AR1391" i="1"/>
  <c r="AY1391" i="1"/>
  <c r="BE1391" i="1"/>
  <c r="BF1391" i="1"/>
  <c r="C1392" i="1"/>
  <c r="E1392" i="1"/>
  <c r="F1392" i="1"/>
  <c r="G1392" i="1"/>
  <c r="H1392" i="1"/>
  <c r="L1392" i="1"/>
  <c r="M1392" i="1"/>
  <c r="N1392" i="1"/>
  <c r="O1392" i="1"/>
  <c r="P1392" i="1"/>
  <c r="Q1392" i="1"/>
  <c r="R1392" i="1"/>
  <c r="S1392" i="1"/>
  <c r="T1392" i="1"/>
  <c r="U1392" i="1"/>
  <c r="V1392" i="1"/>
  <c r="AI1392" i="1"/>
  <c r="AJ1392" i="1"/>
  <c r="AK1392" i="1"/>
  <c r="AP1392" i="1"/>
  <c r="AR1392" i="1"/>
  <c r="AY1392" i="1"/>
  <c r="BE1392" i="1"/>
  <c r="BF1392" i="1"/>
  <c r="C1393" i="1"/>
  <c r="E1393" i="1"/>
  <c r="F1393" i="1"/>
  <c r="G1393" i="1"/>
  <c r="H1393" i="1"/>
  <c r="L1393" i="1"/>
  <c r="M1393" i="1"/>
  <c r="N1393" i="1"/>
  <c r="O1393" i="1"/>
  <c r="P1393" i="1"/>
  <c r="Q1393" i="1"/>
  <c r="R1393" i="1"/>
  <c r="S1393" i="1"/>
  <c r="T1393" i="1"/>
  <c r="U1393" i="1"/>
  <c r="V1393" i="1"/>
  <c r="AI1393" i="1"/>
  <c r="AJ1393" i="1"/>
  <c r="AK1393" i="1"/>
  <c r="AP1393" i="1"/>
  <c r="AR1393" i="1"/>
  <c r="AY1393" i="1"/>
  <c r="BE1393" i="1"/>
  <c r="BF1393" i="1"/>
  <c r="C1394" i="1"/>
  <c r="E1394" i="1"/>
  <c r="F1394" i="1"/>
  <c r="G1394" i="1"/>
  <c r="H1394" i="1"/>
  <c r="L1394" i="1"/>
  <c r="M1394" i="1"/>
  <c r="N1394" i="1"/>
  <c r="O1394" i="1"/>
  <c r="P1394" i="1"/>
  <c r="Q1394" i="1"/>
  <c r="R1394" i="1"/>
  <c r="S1394" i="1"/>
  <c r="T1394" i="1"/>
  <c r="U1394" i="1"/>
  <c r="V1394" i="1"/>
  <c r="AI1394" i="1"/>
  <c r="AJ1394" i="1"/>
  <c r="AK1394" i="1"/>
  <c r="AP1394" i="1"/>
  <c r="AR1394" i="1"/>
  <c r="AY1394" i="1"/>
  <c r="BE1394" i="1"/>
  <c r="BF1394" i="1"/>
  <c r="C1395" i="1"/>
  <c r="E1395" i="1"/>
  <c r="F1395" i="1"/>
  <c r="G1395" i="1"/>
  <c r="H1395" i="1"/>
  <c r="L1395" i="1"/>
  <c r="M1395" i="1"/>
  <c r="N1395" i="1"/>
  <c r="O1395" i="1"/>
  <c r="P1395" i="1"/>
  <c r="Q1395" i="1"/>
  <c r="R1395" i="1"/>
  <c r="S1395" i="1"/>
  <c r="T1395" i="1"/>
  <c r="U1395" i="1"/>
  <c r="V1395" i="1"/>
  <c r="AI1395" i="1"/>
  <c r="AJ1395" i="1"/>
  <c r="AK1395" i="1"/>
  <c r="AP1395" i="1"/>
  <c r="AR1395" i="1"/>
  <c r="AY1395" i="1"/>
  <c r="BE1395" i="1"/>
  <c r="BF1395" i="1"/>
  <c r="C1396" i="1"/>
  <c r="E1396" i="1"/>
  <c r="F1396" i="1"/>
  <c r="G1396" i="1"/>
  <c r="H1396" i="1"/>
  <c r="L1396" i="1"/>
  <c r="M1396" i="1"/>
  <c r="N1396" i="1"/>
  <c r="O1396" i="1"/>
  <c r="P1396" i="1"/>
  <c r="Q1396" i="1"/>
  <c r="R1396" i="1"/>
  <c r="S1396" i="1"/>
  <c r="T1396" i="1"/>
  <c r="U1396" i="1"/>
  <c r="V1396" i="1"/>
  <c r="AI1396" i="1"/>
  <c r="AJ1396" i="1"/>
  <c r="AK1396" i="1"/>
  <c r="AP1396" i="1"/>
  <c r="AR1396" i="1"/>
  <c r="AY1396" i="1"/>
  <c r="BE1396" i="1"/>
  <c r="BF1396" i="1"/>
  <c r="C1397" i="1"/>
  <c r="E1397" i="1"/>
  <c r="F1397" i="1"/>
  <c r="G1397" i="1"/>
  <c r="H1397" i="1"/>
  <c r="L1397" i="1"/>
  <c r="M1397" i="1"/>
  <c r="N1397" i="1"/>
  <c r="O1397" i="1"/>
  <c r="P1397" i="1"/>
  <c r="Q1397" i="1"/>
  <c r="R1397" i="1"/>
  <c r="S1397" i="1"/>
  <c r="T1397" i="1"/>
  <c r="U1397" i="1"/>
  <c r="V1397" i="1"/>
  <c r="AI1397" i="1"/>
  <c r="AJ1397" i="1"/>
  <c r="AK1397" i="1"/>
  <c r="AP1397" i="1"/>
  <c r="AR1397" i="1"/>
  <c r="AY1397" i="1"/>
  <c r="BE1397" i="1"/>
  <c r="BF1397" i="1"/>
  <c r="C2156" i="1"/>
  <c r="E2156" i="1"/>
  <c r="F2156" i="1"/>
  <c r="G2156" i="1"/>
  <c r="H2156" i="1"/>
  <c r="L2156" i="1"/>
  <c r="M2156" i="1"/>
  <c r="N2156" i="1"/>
  <c r="O2156" i="1"/>
  <c r="P2156" i="1"/>
  <c r="Q2156" i="1"/>
  <c r="R2156" i="1"/>
  <c r="S2156" i="1"/>
  <c r="T2156" i="1"/>
  <c r="U2156" i="1"/>
  <c r="V2156" i="1"/>
  <c r="AB2156" i="1"/>
  <c r="AI2156" i="1"/>
  <c r="AJ2156" i="1"/>
  <c r="AK2156" i="1"/>
  <c r="AP2156" i="1"/>
  <c r="AR2156" i="1"/>
  <c r="AY2156" i="1"/>
  <c r="BE2156" i="1"/>
  <c r="BF2156" i="1"/>
  <c r="C2157" i="1"/>
  <c r="E2157" i="1"/>
  <c r="F2157" i="1"/>
  <c r="G2157" i="1"/>
  <c r="H2157" i="1"/>
  <c r="L2157" i="1"/>
  <c r="M2157" i="1"/>
  <c r="N2157" i="1"/>
  <c r="O2157" i="1"/>
  <c r="P2157" i="1"/>
  <c r="Q2157" i="1"/>
  <c r="R2157" i="1"/>
  <c r="S2157" i="1"/>
  <c r="T2157" i="1"/>
  <c r="U2157" i="1"/>
  <c r="V2157" i="1"/>
  <c r="AB2157" i="1"/>
  <c r="AI2157" i="1"/>
  <c r="AJ2157" i="1"/>
  <c r="AK2157" i="1"/>
  <c r="AP2157" i="1"/>
  <c r="AR2157" i="1"/>
  <c r="AY2157" i="1"/>
  <c r="BE2157" i="1"/>
  <c r="BF2157" i="1"/>
  <c r="C2158" i="1"/>
  <c r="E2158" i="1"/>
  <c r="F2158" i="1"/>
  <c r="G2158" i="1"/>
  <c r="H2158" i="1"/>
  <c r="L2158" i="1"/>
  <c r="M2158" i="1"/>
  <c r="N2158" i="1"/>
  <c r="O2158" i="1"/>
  <c r="P2158" i="1"/>
  <c r="Q2158" i="1"/>
  <c r="R2158" i="1"/>
  <c r="S2158" i="1"/>
  <c r="T2158" i="1"/>
  <c r="U2158" i="1"/>
  <c r="V2158" i="1"/>
  <c r="AB2158" i="1"/>
  <c r="AI2158" i="1"/>
  <c r="AJ2158" i="1"/>
  <c r="AK2158" i="1"/>
  <c r="AP2158" i="1"/>
  <c r="AR2158" i="1"/>
  <c r="AY2158" i="1"/>
  <c r="BE2158" i="1"/>
  <c r="BF2158" i="1"/>
  <c r="C2159" i="1"/>
  <c r="E2159" i="1"/>
  <c r="F2159" i="1"/>
  <c r="G2159" i="1"/>
  <c r="H2159" i="1"/>
  <c r="L2159" i="1"/>
  <c r="M2159" i="1"/>
  <c r="N2159" i="1"/>
  <c r="O2159" i="1"/>
  <c r="P2159" i="1"/>
  <c r="Q2159" i="1"/>
  <c r="R2159" i="1"/>
  <c r="S2159" i="1"/>
  <c r="T2159" i="1"/>
  <c r="U2159" i="1"/>
  <c r="V2159" i="1"/>
  <c r="AB2159" i="1"/>
  <c r="AI2159" i="1"/>
  <c r="AJ2159" i="1"/>
  <c r="AK2159" i="1"/>
  <c r="AP2159" i="1"/>
  <c r="AR2159" i="1"/>
  <c r="AY2159" i="1"/>
  <c r="BE2159" i="1"/>
  <c r="BF2159" i="1"/>
  <c r="C374" i="1"/>
  <c r="E374" i="1"/>
  <c r="F374" i="1"/>
  <c r="G374" i="1"/>
  <c r="H374" i="1"/>
  <c r="L374" i="1"/>
  <c r="M374" i="1"/>
  <c r="N374" i="1"/>
  <c r="O374" i="1"/>
  <c r="P374" i="1"/>
  <c r="Q374" i="1"/>
  <c r="R374" i="1"/>
  <c r="S374" i="1"/>
  <c r="T374" i="1"/>
  <c r="U374" i="1"/>
  <c r="V374" i="1"/>
  <c r="AI374" i="1"/>
  <c r="AJ374" i="1"/>
  <c r="AK374" i="1"/>
  <c r="AP374" i="1"/>
  <c r="AR374" i="1"/>
  <c r="AY374" i="1"/>
  <c r="BE374" i="1"/>
  <c r="BF374" i="1"/>
  <c r="C375" i="1"/>
  <c r="D375" i="1"/>
  <c r="E375" i="1"/>
  <c r="F375" i="1"/>
  <c r="G375" i="1"/>
  <c r="H375" i="1"/>
  <c r="L375" i="1"/>
  <c r="M375" i="1"/>
  <c r="N375" i="1"/>
  <c r="O375" i="1"/>
  <c r="P375" i="1"/>
  <c r="Q375" i="1"/>
  <c r="R375" i="1"/>
  <c r="S375" i="1"/>
  <c r="T375" i="1"/>
  <c r="U375" i="1"/>
  <c r="V375" i="1"/>
  <c r="AD375" i="1"/>
  <c r="AE375" i="1"/>
  <c r="AI375" i="1"/>
  <c r="AJ375" i="1"/>
  <c r="AK375" i="1"/>
  <c r="AP375" i="1"/>
  <c r="AR375" i="1"/>
  <c r="AY375" i="1"/>
  <c r="BE375" i="1"/>
  <c r="BF375" i="1"/>
  <c r="C376" i="1"/>
  <c r="D376" i="1"/>
  <c r="E376" i="1"/>
  <c r="F376" i="1"/>
  <c r="G376" i="1"/>
  <c r="H376" i="1"/>
  <c r="L376" i="1"/>
  <c r="M376" i="1"/>
  <c r="N376" i="1"/>
  <c r="O376" i="1"/>
  <c r="P376" i="1"/>
  <c r="Q376" i="1"/>
  <c r="R376" i="1"/>
  <c r="S376" i="1"/>
  <c r="T376" i="1"/>
  <c r="U376" i="1"/>
  <c r="V376" i="1"/>
  <c r="AD376" i="1"/>
  <c r="AE376" i="1"/>
  <c r="AI376" i="1"/>
  <c r="AJ376" i="1"/>
  <c r="AK376" i="1"/>
  <c r="AP376" i="1"/>
  <c r="AR376" i="1"/>
  <c r="AY376" i="1"/>
  <c r="BE376" i="1"/>
  <c r="BF376" i="1"/>
  <c r="C377" i="1"/>
  <c r="D377" i="1"/>
  <c r="E377" i="1"/>
  <c r="F377" i="1"/>
  <c r="G377" i="1"/>
  <c r="H377" i="1"/>
  <c r="L377" i="1"/>
  <c r="M377" i="1"/>
  <c r="N377" i="1"/>
  <c r="O377" i="1"/>
  <c r="P377" i="1"/>
  <c r="Q377" i="1"/>
  <c r="R377" i="1"/>
  <c r="S377" i="1"/>
  <c r="T377" i="1"/>
  <c r="U377" i="1"/>
  <c r="V377" i="1"/>
  <c r="AD377" i="1"/>
  <c r="AE377" i="1"/>
  <c r="AI377" i="1"/>
  <c r="AJ377" i="1"/>
  <c r="AK377" i="1"/>
  <c r="AP377" i="1"/>
  <c r="AR377" i="1"/>
  <c r="AY377" i="1"/>
  <c r="BE377" i="1"/>
  <c r="BF377" i="1"/>
  <c r="C378" i="1"/>
  <c r="D378" i="1"/>
  <c r="E378" i="1"/>
  <c r="F378" i="1"/>
  <c r="G378" i="1"/>
  <c r="H378" i="1"/>
  <c r="L378" i="1"/>
  <c r="M378" i="1"/>
  <c r="N378" i="1"/>
  <c r="O378" i="1"/>
  <c r="P378" i="1"/>
  <c r="Q378" i="1"/>
  <c r="R378" i="1"/>
  <c r="S378" i="1"/>
  <c r="T378" i="1"/>
  <c r="U378" i="1"/>
  <c r="V378" i="1"/>
  <c r="AD378" i="1"/>
  <c r="AE378" i="1"/>
  <c r="AI378" i="1"/>
  <c r="AJ378" i="1"/>
  <c r="AK378" i="1"/>
  <c r="AP378" i="1"/>
  <c r="AR378" i="1"/>
  <c r="AY378" i="1"/>
  <c r="BE378" i="1"/>
  <c r="BF378" i="1"/>
  <c r="C379" i="1"/>
  <c r="D379" i="1"/>
  <c r="E379" i="1"/>
  <c r="F379" i="1"/>
  <c r="G379" i="1"/>
  <c r="H379" i="1"/>
  <c r="L379" i="1"/>
  <c r="M379" i="1"/>
  <c r="N379" i="1"/>
  <c r="O379" i="1"/>
  <c r="P379" i="1"/>
  <c r="Q379" i="1"/>
  <c r="R379" i="1"/>
  <c r="S379" i="1"/>
  <c r="T379" i="1"/>
  <c r="U379" i="1"/>
  <c r="V379" i="1"/>
  <c r="AD379" i="1"/>
  <c r="AE379" i="1"/>
  <c r="AI379" i="1"/>
  <c r="AJ379" i="1"/>
  <c r="AK379" i="1"/>
  <c r="AP379" i="1"/>
  <c r="AR379" i="1"/>
  <c r="AY379" i="1"/>
  <c r="BE379" i="1"/>
  <c r="BF379" i="1"/>
  <c r="C380" i="1"/>
  <c r="D380" i="1"/>
  <c r="E380" i="1"/>
  <c r="F380" i="1"/>
  <c r="G380" i="1"/>
  <c r="H380" i="1"/>
  <c r="L380" i="1"/>
  <c r="M380" i="1"/>
  <c r="N380" i="1"/>
  <c r="O380" i="1"/>
  <c r="P380" i="1"/>
  <c r="Q380" i="1"/>
  <c r="R380" i="1"/>
  <c r="S380" i="1"/>
  <c r="T380" i="1"/>
  <c r="U380" i="1"/>
  <c r="V380" i="1"/>
  <c r="AD380" i="1"/>
  <c r="AE380" i="1"/>
  <c r="AI380" i="1"/>
  <c r="AJ380" i="1"/>
  <c r="AK380" i="1"/>
  <c r="AP380" i="1"/>
  <c r="AR380" i="1"/>
  <c r="AY380" i="1"/>
  <c r="BE380" i="1"/>
  <c r="BF380" i="1"/>
  <c r="C2" i="1"/>
  <c r="D2" i="1"/>
  <c r="E2" i="1"/>
  <c r="F2" i="1"/>
  <c r="G2" i="1"/>
  <c r="H2" i="1"/>
  <c r="L2" i="1"/>
  <c r="M2" i="1"/>
  <c r="N2" i="1"/>
  <c r="O2" i="1"/>
  <c r="P2" i="1"/>
  <c r="Q2" i="1"/>
  <c r="R2" i="1"/>
  <c r="S2" i="1"/>
  <c r="T2" i="1"/>
  <c r="U2" i="1"/>
  <c r="V2" i="1"/>
  <c r="AB2" i="1"/>
  <c r="AD2" i="1"/>
  <c r="AE2" i="1"/>
  <c r="AI2" i="1"/>
  <c r="AJ2" i="1"/>
  <c r="AK2" i="1"/>
  <c r="AP2" i="1"/>
  <c r="AR2" i="1"/>
  <c r="AY2" i="1"/>
  <c r="BE2" i="1"/>
  <c r="BF2" i="1"/>
  <c r="C3" i="1"/>
  <c r="D3" i="1"/>
  <c r="E3" i="1"/>
  <c r="F3" i="1"/>
  <c r="G3" i="1"/>
  <c r="H3" i="1"/>
  <c r="L3" i="1"/>
  <c r="M3" i="1"/>
  <c r="N3" i="1"/>
  <c r="O3" i="1"/>
  <c r="P3" i="1"/>
  <c r="Q3" i="1"/>
  <c r="R3" i="1"/>
  <c r="S3" i="1"/>
  <c r="T3" i="1"/>
  <c r="U3" i="1"/>
  <c r="V3" i="1"/>
  <c r="AB3" i="1"/>
  <c r="AD3" i="1"/>
  <c r="AE3" i="1"/>
  <c r="AI3" i="1"/>
  <c r="AJ3" i="1"/>
  <c r="AK3" i="1"/>
  <c r="AP3" i="1"/>
  <c r="AR3" i="1"/>
  <c r="AY3" i="1"/>
  <c r="BE3" i="1"/>
  <c r="BF3" i="1"/>
  <c r="C381" i="1"/>
  <c r="D381" i="1"/>
  <c r="E381" i="1"/>
  <c r="F381" i="1"/>
  <c r="G381" i="1"/>
  <c r="H381" i="1"/>
  <c r="L381" i="1"/>
  <c r="M381" i="1"/>
  <c r="N381" i="1"/>
  <c r="O381" i="1"/>
  <c r="P381" i="1"/>
  <c r="Q381" i="1"/>
  <c r="R381" i="1"/>
  <c r="S381" i="1"/>
  <c r="T381" i="1"/>
  <c r="U381" i="1"/>
  <c r="V381" i="1"/>
  <c r="AD381" i="1"/>
  <c r="AE381" i="1"/>
  <c r="AI381" i="1"/>
  <c r="AJ381" i="1"/>
  <c r="AK381" i="1"/>
  <c r="AP381" i="1"/>
  <c r="AR381" i="1"/>
  <c r="AY381" i="1"/>
  <c r="BE381" i="1"/>
  <c r="BF381" i="1"/>
  <c r="C382" i="1"/>
  <c r="D382" i="1"/>
  <c r="E382" i="1"/>
  <c r="F382" i="1"/>
  <c r="G382" i="1"/>
  <c r="H382" i="1"/>
  <c r="L382" i="1"/>
  <c r="M382" i="1"/>
  <c r="N382" i="1"/>
  <c r="O382" i="1"/>
  <c r="P382" i="1"/>
  <c r="Q382" i="1"/>
  <c r="R382" i="1"/>
  <c r="S382" i="1"/>
  <c r="T382" i="1"/>
  <c r="U382" i="1"/>
  <c r="V382" i="1"/>
  <c r="AD382" i="1"/>
  <c r="AE382" i="1"/>
  <c r="AI382" i="1"/>
  <c r="AJ382" i="1"/>
  <c r="AK382" i="1"/>
  <c r="AP382" i="1"/>
  <c r="AR382" i="1"/>
  <c r="AY382" i="1"/>
  <c r="BE382" i="1"/>
  <c r="BF382" i="1"/>
  <c r="C383" i="1"/>
  <c r="D383" i="1"/>
  <c r="E383" i="1"/>
  <c r="F383" i="1"/>
  <c r="G383" i="1"/>
  <c r="H383" i="1"/>
  <c r="L383" i="1"/>
  <c r="M383" i="1"/>
  <c r="N383" i="1"/>
  <c r="O383" i="1"/>
  <c r="P383" i="1"/>
  <c r="Q383" i="1"/>
  <c r="R383" i="1"/>
  <c r="S383" i="1"/>
  <c r="T383" i="1"/>
  <c r="U383" i="1"/>
  <c r="V383" i="1"/>
  <c r="AD383" i="1"/>
  <c r="AE383" i="1"/>
  <c r="AI383" i="1"/>
  <c r="AJ383" i="1"/>
  <c r="AK383" i="1"/>
  <c r="AP383" i="1"/>
  <c r="AR383" i="1"/>
  <c r="AY383" i="1"/>
  <c r="BE383" i="1"/>
  <c r="BF383" i="1"/>
  <c r="C384" i="1"/>
  <c r="D384" i="1"/>
  <c r="E384" i="1"/>
  <c r="F384" i="1"/>
  <c r="G384" i="1"/>
  <c r="H384" i="1"/>
  <c r="L384" i="1"/>
  <c r="M384" i="1"/>
  <c r="N384" i="1"/>
  <c r="O384" i="1"/>
  <c r="P384" i="1"/>
  <c r="Q384" i="1"/>
  <c r="R384" i="1"/>
  <c r="S384" i="1"/>
  <c r="T384" i="1"/>
  <c r="U384" i="1"/>
  <c r="V384" i="1"/>
  <c r="AD384" i="1"/>
  <c r="AE384" i="1"/>
  <c r="AI384" i="1"/>
  <c r="AJ384" i="1"/>
  <c r="AK384" i="1"/>
  <c r="AP384" i="1"/>
  <c r="AR384" i="1"/>
  <c r="AY384" i="1"/>
  <c r="BE384" i="1"/>
  <c r="BF384" i="1"/>
  <c r="C385" i="1"/>
  <c r="D385" i="1"/>
  <c r="E385" i="1"/>
  <c r="F385" i="1"/>
  <c r="G385" i="1"/>
  <c r="H385" i="1"/>
  <c r="L385" i="1"/>
  <c r="M385" i="1"/>
  <c r="N385" i="1"/>
  <c r="O385" i="1"/>
  <c r="P385" i="1"/>
  <c r="Q385" i="1"/>
  <c r="R385" i="1"/>
  <c r="S385" i="1"/>
  <c r="T385" i="1"/>
  <c r="U385" i="1"/>
  <c r="V385" i="1"/>
  <c r="AD385" i="1"/>
  <c r="AE385" i="1"/>
  <c r="AI385" i="1"/>
  <c r="AJ385" i="1"/>
  <c r="AK385" i="1"/>
  <c r="AP385" i="1"/>
  <c r="AR385" i="1"/>
  <c r="AY385" i="1"/>
  <c r="BE385" i="1"/>
  <c r="BF385" i="1"/>
  <c r="C386" i="1"/>
  <c r="D386" i="1"/>
  <c r="E386" i="1"/>
  <c r="F386" i="1"/>
  <c r="G386" i="1"/>
  <c r="H386" i="1"/>
  <c r="L386" i="1"/>
  <c r="M386" i="1"/>
  <c r="N386" i="1"/>
  <c r="O386" i="1"/>
  <c r="P386" i="1"/>
  <c r="Q386" i="1"/>
  <c r="R386" i="1"/>
  <c r="S386" i="1"/>
  <c r="T386" i="1"/>
  <c r="U386" i="1"/>
  <c r="V386" i="1"/>
  <c r="AD386" i="1"/>
  <c r="AE386" i="1"/>
  <c r="AI386" i="1"/>
  <c r="AJ386" i="1"/>
  <c r="AK386" i="1"/>
  <c r="AP386" i="1"/>
  <c r="AR386" i="1"/>
  <c r="AY386" i="1"/>
  <c r="BE386" i="1"/>
  <c r="BF386" i="1"/>
  <c r="C387" i="1"/>
  <c r="D387" i="1"/>
  <c r="E387" i="1"/>
  <c r="F387" i="1"/>
  <c r="G387" i="1"/>
  <c r="H387" i="1"/>
  <c r="L387" i="1"/>
  <c r="M387" i="1"/>
  <c r="N387" i="1"/>
  <c r="O387" i="1"/>
  <c r="P387" i="1"/>
  <c r="Q387" i="1"/>
  <c r="R387" i="1"/>
  <c r="S387" i="1"/>
  <c r="T387" i="1"/>
  <c r="U387" i="1"/>
  <c r="V387" i="1"/>
  <c r="AD387" i="1"/>
  <c r="AE387" i="1"/>
  <c r="AI387" i="1"/>
  <c r="AJ387" i="1"/>
  <c r="AK387" i="1"/>
  <c r="AP387" i="1"/>
  <c r="AR387" i="1"/>
  <c r="AY387" i="1"/>
  <c r="BE387" i="1"/>
  <c r="BF387" i="1"/>
  <c r="C388" i="1"/>
  <c r="D388" i="1"/>
  <c r="E388" i="1"/>
  <c r="F388" i="1"/>
  <c r="G388" i="1"/>
  <c r="H388" i="1"/>
  <c r="L388" i="1"/>
  <c r="M388" i="1"/>
  <c r="N388" i="1"/>
  <c r="O388" i="1"/>
  <c r="P388" i="1"/>
  <c r="Q388" i="1"/>
  <c r="R388" i="1"/>
  <c r="S388" i="1"/>
  <c r="T388" i="1"/>
  <c r="U388" i="1"/>
  <c r="V388" i="1"/>
  <c r="AD388" i="1"/>
  <c r="AE388" i="1"/>
  <c r="AI388" i="1"/>
  <c r="AJ388" i="1"/>
  <c r="AK388" i="1"/>
  <c r="AP388" i="1"/>
  <c r="AR388" i="1"/>
  <c r="AY388" i="1"/>
  <c r="BE388" i="1"/>
  <c r="BF388" i="1"/>
  <c r="C389" i="1"/>
  <c r="D389" i="1"/>
  <c r="E389" i="1"/>
  <c r="F389" i="1"/>
  <c r="G389" i="1"/>
  <c r="H389" i="1"/>
  <c r="L389" i="1"/>
  <c r="M389" i="1"/>
  <c r="N389" i="1"/>
  <c r="O389" i="1"/>
  <c r="P389" i="1"/>
  <c r="Q389" i="1"/>
  <c r="R389" i="1"/>
  <c r="S389" i="1"/>
  <c r="T389" i="1"/>
  <c r="U389" i="1"/>
  <c r="V389" i="1"/>
  <c r="AD389" i="1"/>
  <c r="AE389" i="1"/>
  <c r="AI389" i="1"/>
  <c r="AJ389" i="1"/>
  <c r="AK389" i="1"/>
  <c r="AP389" i="1"/>
  <c r="AR389" i="1"/>
  <c r="AY389" i="1"/>
  <c r="BE389" i="1"/>
  <c r="BF389" i="1"/>
  <c r="C390" i="1"/>
  <c r="D390" i="1"/>
  <c r="E390" i="1"/>
  <c r="F390" i="1"/>
  <c r="G390" i="1"/>
  <c r="H390" i="1"/>
  <c r="L390" i="1"/>
  <c r="M390" i="1"/>
  <c r="N390" i="1"/>
  <c r="O390" i="1"/>
  <c r="P390" i="1"/>
  <c r="Q390" i="1"/>
  <c r="R390" i="1"/>
  <c r="S390" i="1"/>
  <c r="T390" i="1"/>
  <c r="U390" i="1"/>
  <c r="V390" i="1"/>
  <c r="AD390" i="1"/>
  <c r="AE390" i="1"/>
  <c r="AI390" i="1"/>
  <c r="AJ390" i="1"/>
  <c r="AK390" i="1"/>
  <c r="AP390" i="1"/>
  <c r="AR390" i="1"/>
  <c r="AY390" i="1"/>
  <c r="BE390" i="1"/>
  <c r="BF390" i="1"/>
  <c r="C391" i="1"/>
  <c r="D391" i="1"/>
  <c r="E391" i="1"/>
  <c r="F391" i="1"/>
  <c r="G391" i="1"/>
  <c r="H391" i="1"/>
  <c r="L391" i="1"/>
  <c r="M391" i="1"/>
  <c r="N391" i="1"/>
  <c r="O391" i="1"/>
  <c r="P391" i="1"/>
  <c r="Q391" i="1"/>
  <c r="R391" i="1"/>
  <c r="S391" i="1"/>
  <c r="T391" i="1"/>
  <c r="U391" i="1"/>
  <c r="V391" i="1"/>
  <c r="AD391" i="1"/>
  <c r="AE391" i="1"/>
  <c r="AI391" i="1"/>
  <c r="AJ391" i="1"/>
  <c r="AK391" i="1"/>
  <c r="AP391" i="1"/>
  <c r="AR391" i="1"/>
  <c r="AY391" i="1"/>
  <c r="BE391" i="1"/>
  <c r="BF391" i="1"/>
  <c r="C4" i="1"/>
  <c r="D4" i="1"/>
  <c r="E4" i="1"/>
  <c r="F4" i="1"/>
  <c r="G4" i="1"/>
  <c r="H4" i="1"/>
  <c r="L4" i="1"/>
  <c r="M4" i="1"/>
  <c r="N4" i="1"/>
  <c r="O4" i="1"/>
  <c r="P4" i="1"/>
  <c r="Q4" i="1"/>
  <c r="R4" i="1"/>
  <c r="S4" i="1"/>
  <c r="T4" i="1"/>
  <c r="U4" i="1"/>
  <c r="V4" i="1"/>
  <c r="AD4" i="1"/>
  <c r="AE4" i="1"/>
  <c r="AI4" i="1"/>
  <c r="AJ4" i="1"/>
  <c r="AK4" i="1"/>
  <c r="AP4" i="1"/>
  <c r="AR4" i="1"/>
  <c r="AY4" i="1"/>
  <c r="BE4" i="1"/>
  <c r="BF4" i="1"/>
  <c r="C5" i="1"/>
  <c r="D5" i="1"/>
  <c r="E5" i="1"/>
  <c r="F5" i="1"/>
  <c r="G5" i="1"/>
  <c r="H5" i="1"/>
  <c r="L5" i="1"/>
  <c r="M5" i="1"/>
  <c r="N5" i="1"/>
  <c r="O5" i="1"/>
  <c r="P5" i="1"/>
  <c r="Q5" i="1"/>
  <c r="R5" i="1"/>
  <c r="S5" i="1"/>
  <c r="T5" i="1"/>
  <c r="U5" i="1"/>
  <c r="V5" i="1"/>
  <c r="AD5" i="1"/>
  <c r="AE5" i="1"/>
  <c r="AI5" i="1"/>
  <c r="AJ5" i="1"/>
  <c r="AK5" i="1"/>
  <c r="AP5" i="1"/>
  <c r="AR5" i="1"/>
  <c r="AY5" i="1"/>
  <c r="BE5" i="1"/>
  <c r="BF5" i="1"/>
  <c r="C6" i="1"/>
  <c r="D6" i="1"/>
  <c r="E6" i="1"/>
  <c r="F6" i="1"/>
  <c r="G6" i="1"/>
  <c r="H6" i="1"/>
  <c r="L6" i="1"/>
  <c r="M6" i="1"/>
  <c r="N6" i="1"/>
  <c r="O6" i="1"/>
  <c r="P6" i="1"/>
  <c r="Q6" i="1"/>
  <c r="R6" i="1"/>
  <c r="S6" i="1"/>
  <c r="T6" i="1"/>
  <c r="U6" i="1"/>
  <c r="V6" i="1"/>
  <c r="AD6" i="1"/>
  <c r="AE6" i="1"/>
  <c r="AI6" i="1"/>
  <c r="AJ6" i="1"/>
  <c r="AK6" i="1"/>
  <c r="AP6" i="1"/>
  <c r="AR6" i="1"/>
  <c r="AY6" i="1"/>
  <c r="BE6" i="1"/>
  <c r="BF6" i="1"/>
  <c r="C392" i="1"/>
  <c r="D392" i="1"/>
  <c r="E392" i="1"/>
  <c r="F392" i="1"/>
  <c r="G392" i="1"/>
  <c r="H392" i="1"/>
  <c r="L392" i="1"/>
  <c r="M392" i="1"/>
  <c r="N392" i="1"/>
  <c r="O392" i="1"/>
  <c r="P392" i="1"/>
  <c r="Q392" i="1"/>
  <c r="R392" i="1"/>
  <c r="S392" i="1"/>
  <c r="T392" i="1"/>
  <c r="U392" i="1"/>
  <c r="V392" i="1"/>
  <c r="AD392" i="1"/>
  <c r="AE392" i="1"/>
  <c r="AI392" i="1"/>
  <c r="AJ392" i="1"/>
  <c r="AK392" i="1"/>
  <c r="AP392" i="1"/>
  <c r="AR392" i="1"/>
  <c r="AY392" i="1"/>
  <c r="BE392" i="1"/>
  <c r="BF392" i="1"/>
  <c r="C393" i="1"/>
  <c r="D393" i="1"/>
  <c r="E393" i="1"/>
  <c r="F393" i="1"/>
  <c r="G393" i="1"/>
  <c r="H393" i="1"/>
  <c r="L393" i="1"/>
  <c r="M393" i="1"/>
  <c r="N393" i="1"/>
  <c r="O393" i="1"/>
  <c r="P393" i="1"/>
  <c r="Q393" i="1"/>
  <c r="R393" i="1"/>
  <c r="S393" i="1"/>
  <c r="T393" i="1"/>
  <c r="U393" i="1"/>
  <c r="V393" i="1"/>
  <c r="AD393" i="1"/>
  <c r="AE393" i="1"/>
  <c r="AI393" i="1"/>
  <c r="AJ393" i="1"/>
  <c r="AK393" i="1"/>
  <c r="AP393" i="1"/>
  <c r="AR393" i="1"/>
  <c r="AY393" i="1"/>
  <c r="BE393" i="1"/>
  <c r="BF393" i="1"/>
  <c r="C7" i="1"/>
  <c r="D7" i="1"/>
  <c r="E7" i="1"/>
  <c r="F7" i="1"/>
  <c r="G7" i="1"/>
  <c r="H7" i="1"/>
  <c r="L7" i="1"/>
  <c r="M7" i="1"/>
  <c r="N7" i="1"/>
  <c r="O7" i="1"/>
  <c r="P7" i="1"/>
  <c r="Q7" i="1"/>
  <c r="R7" i="1"/>
  <c r="S7" i="1"/>
  <c r="T7" i="1"/>
  <c r="U7" i="1"/>
  <c r="V7" i="1"/>
  <c r="AD7" i="1"/>
  <c r="AE7" i="1"/>
  <c r="AI7" i="1"/>
  <c r="AJ7" i="1"/>
  <c r="AK7" i="1"/>
  <c r="AP7" i="1"/>
  <c r="AR7" i="1"/>
  <c r="AY7" i="1"/>
  <c r="BE7" i="1"/>
  <c r="BF7" i="1"/>
  <c r="C394" i="1"/>
  <c r="D394" i="1"/>
  <c r="E394" i="1"/>
  <c r="F394" i="1"/>
  <c r="G394" i="1"/>
  <c r="H394" i="1"/>
  <c r="L394" i="1"/>
  <c r="M394" i="1"/>
  <c r="N394" i="1"/>
  <c r="O394" i="1"/>
  <c r="P394" i="1"/>
  <c r="Q394" i="1"/>
  <c r="R394" i="1"/>
  <c r="S394" i="1"/>
  <c r="T394" i="1"/>
  <c r="U394" i="1"/>
  <c r="V394" i="1"/>
  <c r="AD394" i="1"/>
  <c r="AE394" i="1"/>
  <c r="AI394" i="1"/>
  <c r="AJ394" i="1"/>
  <c r="AK394" i="1"/>
  <c r="AP394" i="1"/>
  <c r="AR394" i="1"/>
  <c r="AY394" i="1"/>
  <c r="BE394" i="1"/>
  <c r="BF394" i="1"/>
  <c r="C395" i="1"/>
  <c r="D395" i="1"/>
  <c r="E395" i="1"/>
  <c r="F395" i="1"/>
  <c r="G395" i="1"/>
  <c r="H395" i="1"/>
  <c r="L395" i="1"/>
  <c r="M395" i="1"/>
  <c r="N395" i="1"/>
  <c r="O395" i="1"/>
  <c r="P395" i="1"/>
  <c r="Q395" i="1"/>
  <c r="R395" i="1"/>
  <c r="S395" i="1"/>
  <c r="T395" i="1"/>
  <c r="U395" i="1"/>
  <c r="V395" i="1"/>
  <c r="AD395" i="1"/>
  <c r="AE395" i="1"/>
  <c r="AI395" i="1"/>
  <c r="AJ395" i="1"/>
  <c r="AK395" i="1"/>
  <c r="AP395" i="1"/>
  <c r="AR395" i="1"/>
  <c r="AY395" i="1"/>
  <c r="BE395" i="1"/>
  <c r="BF395" i="1"/>
  <c r="C396" i="1"/>
  <c r="D396" i="1"/>
  <c r="E396" i="1"/>
  <c r="F396" i="1"/>
  <c r="G396" i="1"/>
  <c r="H396" i="1"/>
  <c r="L396" i="1"/>
  <c r="M396" i="1"/>
  <c r="N396" i="1"/>
  <c r="O396" i="1"/>
  <c r="P396" i="1"/>
  <c r="Q396" i="1"/>
  <c r="R396" i="1"/>
  <c r="S396" i="1"/>
  <c r="T396" i="1"/>
  <c r="U396" i="1"/>
  <c r="V396" i="1"/>
  <c r="AD396" i="1"/>
  <c r="AE396" i="1"/>
  <c r="AI396" i="1"/>
  <c r="AJ396" i="1"/>
  <c r="AK396" i="1"/>
  <c r="AP396" i="1"/>
  <c r="AR396" i="1"/>
  <c r="AY396" i="1"/>
  <c r="BE396" i="1"/>
  <c r="BF396" i="1"/>
  <c r="C8" i="1"/>
  <c r="D8" i="1"/>
  <c r="E8" i="1"/>
  <c r="F8" i="1"/>
  <c r="G8" i="1"/>
  <c r="H8" i="1"/>
  <c r="L8" i="1"/>
  <c r="M8" i="1"/>
  <c r="N8" i="1"/>
  <c r="O8" i="1"/>
  <c r="P8" i="1"/>
  <c r="Q8" i="1"/>
  <c r="R8" i="1"/>
  <c r="S8" i="1"/>
  <c r="T8" i="1"/>
  <c r="U8" i="1"/>
  <c r="V8" i="1"/>
  <c r="AD8" i="1"/>
  <c r="AE8" i="1"/>
  <c r="AI8" i="1"/>
  <c r="AJ8" i="1"/>
  <c r="AK8" i="1"/>
  <c r="AP8" i="1"/>
  <c r="AR8" i="1"/>
  <c r="AY8" i="1"/>
  <c r="BE8" i="1"/>
  <c r="BF8" i="1"/>
  <c r="C397" i="1"/>
  <c r="D397" i="1"/>
  <c r="E397" i="1"/>
  <c r="F397" i="1"/>
  <c r="G397" i="1"/>
  <c r="H397" i="1"/>
  <c r="L397" i="1"/>
  <c r="M397" i="1"/>
  <c r="N397" i="1"/>
  <c r="O397" i="1"/>
  <c r="P397" i="1"/>
  <c r="Q397" i="1"/>
  <c r="R397" i="1"/>
  <c r="S397" i="1"/>
  <c r="T397" i="1"/>
  <c r="U397" i="1"/>
  <c r="V397" i="1"/>
  <c r="AD397" i="1"/>
  <c r="AE397" i="1"/>
  <c r="AI397" i="1"/>
  <c r="AJ397" i="1"/>
  <c r="AK397" i="1"/>
  <c r="AP397" i="1"/>
  <c r="AR397" i="1"/>
  <c r="AY397" i="1"/>
  <c r="BE397" i="1"/>
  <c r="BF397" i="1"/>
  <c r="C9" i="1"/>
  <c r="D9" i="1"/>
  <c r="E9" i="1"/>
  <c r="F9" i="1"/>
  <c r="G9" i="1"/>
  <c r="H9" i="1"/>
  <c r="L9" i="1"/>
  <c r="M9" i="1"/>
  <c r="N9" i="1"/>
  <c r="O9" i="1"/>
  <c r="P9" i="1"/>
  <c r="Q9" i="1"/>
  <c r="R9" i="1"/>
  <c r="S9" i="1"/>
  <c r="T9" i="1"/>
  <c r="U9" i="1"/>
  <c r="V9" i="1"/>
  <c r="AD9" i="1"/>
  <c r="AE9" i="1"/>
  <c r="AI9" i="1"/>
  <c r="AJ9" i="1"/>
  <c r="AK9" i="1"/>
  <c r="AP9" i="1"/>
  <c r="AR9" i="1"/>
  <c r="AY9" i="1"/>
  <c r="BE9" i="1"/>
  <c r="BF9" i="1"/>
  <c r="C10" i="1"/>
  <c r="D10" i="1"/>
  <c r="E10" i="1"/>
  <c r="F10" i="1"/>
  <c r="G10" i="1"/>
  <c r="H10" i="1"/>
  <c r="L10" i="1"/>
  <c r="M10" i="1"/>
  <c r="N10" i="1"/>
  <c r="O10" i="1"/>
  <c r="P10" i="1"/>
  <c r="Q10" i="1"/>
  <c r="R10" i="1"/>
  <c r="S10" i="1"/>
  <c r="T10" i="1"/>
  <c r="U10" i="1"/>
  <c r="V10" i="1"/>
  <c r="AD10" i="1"/>
  <c r="AE10" i="1"/>
  <c r="AI10" i="1"/>
  <c r="AJ10" i="1"/>
  <c r="AK10" i="1"/>
  <c r="AP10" i="1"/>
  <c r="AR10" i="1"/>
  <c r="AY10" i="1"/>
  <c r="BE10" i="1"/>
  <c r="BF10" i="1"/>
  <c r="C398" i="1"/>
  <c r="D398" i="1"/>
  <c r="E398" i="1"/>
  <c r="F398" i="1"/>
  <c r="G398" i="1"/>
  <c r="H398" i="1"/>
  <c r="L398" i="1"/>
  <c r="M398" i="1"/>
  <c r="N398" i="1"/>
  <c r="O398" i="1"/>
  <c r="P398" i="1"/>
  <c r="Q398" i="1"/>
  <c r="R398" i="1"/>
  <c r="S398" i="1"/>
  <c r="T398" i="1"/>
  <c r="U398" i="1"/>
  <c r="V398" i="1"/>
  <c r="AD398" i="1"/>
  <c r="AE398" i="1"/>
  <c r="AI398" i="1"/>
  <c r="AJ398" i="1"/>
  <c r="AK398" i="1"/>
  <c r="AP398" i="1"/>
  <c r="AR398" i="1"/>
  <c r="AY398" i="1"/>
  <c r="BE398" i="1"/>
  <c r="BF398" i="1"/>
  <c r="C11" i="1"/>
  <c r="D11" i="1"/>
  <c r="E11" i="1"/>
  <c r="F11" i="1"/>
  <c r="G11" i="1"/>
  <c r="H11" i="1"/>
  <c r="L11" i="1"/>
  <c r="M11" i="1"/>
  <c r="N11" i="1"/>
  <c r="O11" i="1"/>
  <c r="P11" i="1"/>
  <c r="Q11" i="1"/>
  <c r="R11" i="1"/>
  <c r="S11" i="1"/>
  <c r="T11" i="1"/>
  <c r="U11" i="1"/>
  <c r="V11" i="1"/>
  <c r="AD11" i="1"/>
  <c r="AE11" i="1"/>
  <c r="AI11" i="1"/>
  <c r="AJ11" i="1"/>
  <c r="AK11" i="1"/>
  <c r="AP11" i="1"/>
  <c r="AR11" i="1"/>
  <c r="AY11" i="1"/>
  <c r="BE11" i="1"/>
  <c r="BF11" i="1"/>
  <c r="C12" i="1"/>
  <c r="D12" i="1"/>
  <c r="E12" i="1"/>
  <c r="F12" i="1"/>
  <c r="G12" i="1"/>
  <c r="H12" i="1"/>
  <c r="L12" i="1"/>
  <c r="M12" i="1"/>
  <c r="N12" i="1"/>
  <c r="O12" i="1"/>
  <c r="P12" i="1"/>
  <c r="Q12" i="1"/>
  <c r="R12" i="1"/>
  <c r="S12" i="1"/>
  <c r="T12" i="1"/>
  <c r="U12" i="1"/>
  <c r="V12" i="1"/>
  <c r="AD12" i="1"/>
  <c r="AE12" i="1"/>
  <c r="AI12" i="1"/>
  <c r="AJ12" i="1"/>
  <c r="AK12" i="1"/>
  <c r="AP12" i="1"/>
  <c r="AR12" i="1"/>
  <c r="AY12" i="1"/>
  <c r="BE12" i="1"/>
  <c r="BF12" i="1"/>
  <c r="C13" i="1"/>
  <c r="D13" i="1"/>
  <c r="E13" i="1"/>
  <c r="F13" i="1"/>
  <c r="G13" i="1"/>
  <c r="H13" i="1"/>
  <c r="L13" i="1"/>
  <c r="M13" i="1"/>
  <c r="N13" i="1"/>
  <c r="O13" i="1"/>
  <c r="P13" i="1"/>
  <c r="Q13" i="1"/>
  <c r="R13" i="1"/>
  <c r="S13" i="1"/>
  <c r="T13" i="1"/>
  <c r="U13" i="1"/>
  <c r="V13" i="1"/>
  <c r="AD13" i="1"/>
  <c r="AE13" i="1"/>
  <c r="AI13" i="1"/>
  <c r="AJ13" i="1"/>
  <c r="AK13" i="1"/>
  <c r="AP13" i="1"/>
  <c r="AR13" i="1"/>
  <c r="AY13" i="1"/>
  <c r="BE13" i="1"/>
  <c r="BF13" i="1"/>
  <c r="C14" i="1"/>
  <c r="D14" i="1"/>
  <c r="E14" i="1"/>
  <c r="F14" i="1"/>
  <c r="G14" i="1"/>
  <c r="H14" i="1"/>
  <c r="L14" i="1"/>
  <c r="M14" i="1"/>
  <c r="N14" i="1"/>
  <c r="O14" i="1"/>
  <c r="P14" i="1"/>
  <c r="Q14" i="1"/>
  <c r="R14" i="1"/>
  <c r="S14" i="1"/>
  <c r="T14" i="1"/>
  <c r="U14" i="1"/>
  <c r="V14" i="1"/>
  <c r="AD14" i="1"/>
  <c r="AE14" i="1"/>
  <c r="AI14" i="1"/>
  <c r="AJ14" i="1"/>
  <c r="AK14" i="1"/>
  <c r="AP14" i="1"/>
  <c r="AR14" i="1"/>
  <c r="AY14" i="1"/>
  <c r="BE14" i="1"/>
  <c r="BF14" i="1"/>
  <c r="C15" i="1"/>
  <c r="D15" i="1"/>
  <c r="E15" i="1"/>
  <c r="F15" i="1"/>
  <c r="G15" i="1"/>
  <c r="H15" i="1"/>
  <c r="L15" i="1"/>
  <c r="M15" i="1"/>
  <c r="N15" i="1"/>
  <c r="O15" i="1"/>
  <c r="P15" i="1"/>
  <c r="Q15" i="1"/>
  <c r="R15" i="1"/>
  <c r="S15" i="1"/>
  <c r="T15" i="1"/>
  <c r="U15" i="1"/>
  <c r="V15" i="1"/>
  <c r="AD15" i="1"/>
  <c r="AE15" i="1"/>
  <c r="AI15" i="1"/>
  <c r="AJ15" i="1"/>
  <c r="AK15" i="1"/>
  <c r="AP15" i="1"/>
  <c r="AR15" i="1"/>
  <c r="AY15" i="1"/>
  <c r="BE15" i="1"/>
  <c r="BF15" i="1"/>
  <c r="C16" i="1"/>
  <c r="D16" i="1"/>
  <c r="E16" i="1"/>
  <c r="F16" i="1"/>
  <c r="G16" i="1"/>
  <c r="H16" i="1"/>
  <c r="L16" i="1"/>
  <c r="M16" i="1"/>
  <c r="N16" i="1"/>
  <c r="O16" i="1"/>
  <c r="P16" i="1"/>
  <c r="Q16" i="1"/>
  <c r="R16" i="1"/>
  <c r="S16" i="1"/>
  <c r="T16" i="1"/>
  <c r="U16" i="1"/>
  <c r="V16" i="1"/>
  <c r="AD16" i="1"/>
  <c r="AE16" i="1"/>
  <c r="AI16" i="1"/>
  <c r="AJ16" i="1"/>
  <c r="AK16" i="1"/>
  <c r="AP16" i="1"/>
  <c r="AR16" i="1"/>
  <c r="AY16" i="1"/>
  <c r="BE16" i="1"/>
  <c r="BF16" i="1"/>
  <c r="C17" i="1"/>
  <c r="D17" i="1"/>
  <c r="E17" i="1"/>
  <c r="F17" i="1"/>
  <c r="G17" i="1"/>
  <c r="H17" i="1"/>
  <c r="L17" i="1"/>
  <c r="M17" i="1"/>
  <c r="N17" i="1"/>
  <c r="O17" i="1"/>
  <c r="P17" i="1"/>
  <c r="Q17" i="1"/>
  <c r="R17" i="1"/>
  <c r="S17" i="1"/>
  <c r="T17" i="1"/>
  <c r="U17" i="1"/>
  <c r="V17" i="1"/>
  <c r="AD17" i="1"/>
  <c r="AE17" i="1"/>
  <c r="AI17" i="1"/>
  <c r="AJ17" i="1"/>
  <c r="AK17" i="1"/>
  <c r="AP17" i="1"/>
  <c r="AR17" i="1"/>
  <c r="AY17" i="1"/>
  <c r="BE17" i="1"/>
  <c r="BF17" i="1"/>
  <c r="C18" i="1"/>
  <c r="D18" i="1"/>
  <c r="E18" i="1"/>
  <c r="F18" i="1"/>
  <c r="G18" i="1"/>
  <c r="H18" i="1"/>
  <c r="L18" i="1"/>
  <c r="M18" i="1"/>
  <c r="N18" i="1"/>
  <c r="O18" i="1"/>
  <c r="P18" i="1"/>
  <c r="Q18" i="1"/>
  <c r="R18" i="1"/>
  <c r="S18" i="1"/>
  <c r="T18" i="1"/>
  <c r="U18" i="1"/>
  <c r="V18" i="1"/>
  <c r="AD18" i="1"/>
  <c r="AE18" i="1"/>
  <c r="AI18" i="1"/>
  <c r="AJ18" i="1"/>
  <c r="AK18" i="1"/>
  <c r="AP18" i="1"/>
  <c r="AR18" i="1"/>
  <c r="AY18" i="1"/>
  <c r="BE18" i="1"/>
  <c r="BF18" i="1"/>
  <c r="C399" i="1"/>
  <c r="D399" i="1"/>
  <c r="E399" i="1"/>
  <c r="F399" i="1"/>
  <c r="G399" i="1"/>
  <c r="H399" i="1"/>
  <c r="L399" i="1"/>
  <c r="M399" i="1"/>
  <c r="N399" i="1"/>
  <c r="O399" i="1"/>
  <c r="P399" i="1"/>
  <c r="Q399" i="1"/>
  <c r="R399" i="1"/>
  <c r="S399" i="1"/>
  <c r="T399" i="1"/>
  <c r="U399" i="1"/>
  <c r="V399" i="1"/>
  <c r="AD399" i="1"/>
  <c r="AE399" i="1"/>
  <c r="AI399" i="1"/>
  <c r="AJ399" i="1"/>
  <c r="AK399" i="1"/>
  <c r="AP399" i="1"/>
  <c r="AR399" i="1"/>
  <c r="AY399" i="1"/>
  <c r="BE399" i="1"/>
  <c r="BF399" i="1"/>
  <c r="C400" i="1"/>
  <c r="D400" i="1"/>
  <c r="E400" i="1"/>
  <c r="F400" i="1"/>
  <c r="G400" i="1"/>
  <c r="H400" i="1"/>
  <c r="L400" i="1"/>
  <c r="M400" i="1"/>
  <c r="N400" i="1"/>
  <c r="O400" i="1"/>
  <c r="P400" i="1"/>
  <c r="Q400" i="1"/>
  <c r="R400" i="1"/>
  <c r="S400" i="1"/>
  <c r="T400" i="1"/>
  <c r="U400" i="1"/>
  <c r="V400" i="1"/>
  <c r="AD400" i="1"/>
  <c r="AE400" i="1"/>
  <c r="AI400" i="1"/>
  <c r="AJ400" i="1"/>
  <c r="AK400" i="1"/>
  <c r="AP400" i="1"/>
  <c r="AR400" i="1"/>
  <c r="AY400" i="1"/>
  <c r="BE400" i="1"/>
  <c r="BF400" i="1"/>
  <c r="C401" i="1"/>
  <c r="D401" i="1"/>
  <c r="E401" i="1"/>
  <c r="F401" i="1"/>
  <c r="G401" i="1"/>
  <c r="H401" i="1"/>
  <c r="L401" i="1"/>
  <c r="M401" i="1"/>
  <c r="N401" i="1"/>
  <c r="O401" i="1"/>
  <c r="P401" i="1"/>
  <c r="Q401" i="1"/>
  <c r="R401" i="1"/>
  <c r="S401" i="1"/>
  <c r="T401" i="1"/>
  <c r="U401" i="1"/>
  <c r="V401" i="1"/>
  <c r="AD401" i="1"/>
  <c r="AE401" i="1"/>
  <c r="AI401" i="1"/>
  <c r="AJ401" i="1"/>
  <c r="AK401" i="1"/>
  <c r="AP401" i="1"/>
  <c r="AR401" i="1"/>
  <c r="AY401" i="1"/>
  <c r="BE401" i="1"/>
  <c r="BF401" i="1"/>
  <c r="C402" i="1"/>
  <c r="D402" i="1"/>
  <c r="E402" i="1"/>
  <c r="F402" i="1"/>
  <c r="G402" i="1"/>
  <c r="H402" i="1"/>
  <c r="L402" i="1"/>
  <c r="M402" i="1"/>
  <c r="N402" i="1"/>
  <c r="O402" i="1"/>
  <c r="P402" i="1"/>
  <c r="Q402" i="1"/>
  <c r="R402" i="1"/>
  <c r="S402" i="1"/>
  <c r="T402" i="1"/>
  <c r="U402" i="1"/>
  <c r="V402" i="1"/>
  <c r="AD402" i="1"/>
  <c r="AE402" i="1"/>
  <c r="AI402" i="1"/>
  <c r="AJ402" i="1"/>
  <c r="AK402" i="1"/>
  <c r="AP402" i="1"/>
  <c r="AR402" i="1"/>
  <c r="AY402" i="1"/>
  <c r="BE402" i="1"/>
  <c r="BF402" i="1"/>
  <c r="C403" i="1"/>
  <c r="D403" i="1"/>
  <c r="E403" i="1"/>
  <c r="F403" i="1"/>
  <c r="G403" i="1"/>
  <c r="H403" i="1"/>
  <c r="L403" i="1"/>
  <c r="M403" i="1"/>
  <c r="N403" i="1"/>
  <c r="O403" i="1"/>
  <c r="P403" i="1"/>
  <c r="Q403" i="1"/>
  <c r="R403" i="1"/>
  <c r="S403" i="1"/>
  <c r="T403" i="1"/>
  <c r="U403" i="1"/>
  <c r="V403" i="1"/>
  <c r="AD403" i="1"/>
  <c r="AE403" i="1"/>
  <c r="AI403" i="1"/>
  <c r="AJ403" i="1"/>
  <c r="AK403" i="1"/>
  <c r="AP403" i="1"/>
  <c r="AR403" i="1"/>
  <c r="AY403" i="1"/>
  <c r="BE403" i="1"/>
  <c r="BF403" i="1"/>
  <c r="C404" i="1"/>
  <c r="D404" i="1"/>
  <c r="E404" i="1"/>
  <c r="F404" i="1"/>
  <c r="G404" i="1"/>
  <c r="H404" i="1"/>
  <c r="L404" i="1"/>
  <c r="M404" i="1"/>
  <c r="N404" i="1"/>
  <c r="O404" i="1"/>
  <c r="P404" i="1"/>
  <c r="Q404" i="1"/>
  <c r="R404" i="1"/>
  <c r="S404" i="1"/>
  <c r="T404" i="1"/>
  <c r="U404" i="1"/>
  <c r="V404" i="1"/>
  <c r="AD404" i="1"/>
  <c r="AE404" i="1"/>
  <c r="AI404" i="1"/>
  <c r="AJ404" i="1"/>
  <c r="AK404" i="1"/>
  <c r="AP404" i="1"/>
  <c r="AR404" i="1"/>
  <c r="AY404" i="1"/>
  <c r="BE404" i="1"/>
  <c r="BF404" i="1"/>
  <c r="C19" i="1"/>
  <c r="D19" i="1"/>
  <c r="E19" i="1"/>
  <c r="F19" i="1"/>
  <c r="G19" i="1"/>
  <c r="H19" i="1"/>
  <c r="L19" i="1"/>
  <c r="M19" i="1"/>
  <c r="N19" i="1"/>
  <c r="O19" i="1"/>
  <c r="P19" i="1"/>
  <c r="Q19" i="1"/>
  <c r="R19" i="1"/>
  <c r="S19" i="1"/>
  <c r="T19" i="1"/>
  <c r="U19" i="1"/>
  <c r="V19" i="1"/>
  <c r="AD19" i="1"/>
  <c r="AE19" i="1"/>
  <c r="AI19" i="1"/>
  <c r="AJ19" i="1"/>
  <c r="AK19" i="1"/>
  <c r="AP19" i="1"/>
  <c r="AR19" i="1"/>
  <c r="AY19" i="1"/>
  <c r="BE19" i="1"/>
  <c r="BF19" i="1"/>
  <c r="C20" i="1"/>
  <c r="D20" i="1"/>
  <c r="E20" i="1"/>
  <c r="F20" i="1"/>
  <c r="G20" i="1"/>
  <c r="H20" i="1"/>
  <c r="L20" i="1"/>
  <c r="M20" i="1"/>
  <c r="N20" i="1"/>
  <c r="O20" i="1"/>
  <c r="P20" i="1"/>
  <c r="Q20" i="1"/>
  <c r="R20" i="1"/>
  <c r="S20" i="1"/>
  <c r="T20" i="1"/>
  <c r="U20" i="1"/>
  <c r="V20" i="1"/>
  <c r="AD20" i="1"/>
  <c r="AE20" i="1"/>
  <c r="AI20" i="1"/>
  <c r="AJ20" i="1"/>
  <c r="AK20" i="1"/>
  <c r="AP20" i="1"/>
  <c r="AR20" i="1"/>
  <c r="AY20" i="1"/>
  <c r="BE20" i="1"/>
  <c r="BF20" i="1"/>
  <c r="C21" i="1"/>
  <c r="D21" i="1"/>
  <c r="E21" i="1"/>
  <c r="F21" i="1"/>
  <c r="G21" i="1"/>
  <c r="H21" i="1"/>
  <c r="L21" i="1"/>
  <c r="M21" i="1"/>
  <c r="N21" i="1"/>
  <c r="O21" i="1"/>
  <c r="P21" i="1"/>
  <c r="Q21" i="1"/>
  <c r="R21" i="1"/>
  <c r="S21" i="1"/>
  <c r="T21" i="1"/>
  <c r="U21" i="1"/>
  <c r="V21" i="1"/>
  <c r="AD21" i="1"/>
  <c r="AE21" i="1"/>
  <c r="AI21" i="1"/>
  <c r="AJ21" i="1"/>
  <c r="AK21" i="1"/>
  <c r="AP21" i="1"/>
  <c r="AR21" i="1"/>
  <c r="AY21" i="1"/>
  <c r="BE21" i="1"/>
  <c r="BF21" i="1"/>
  <c r="C22" i="1"/>
  <c r="D22" i="1"/>
  <c r="E22" i="1"/>
  <c r="F22" i="1"/>
  <c r="G22" i="1"/>
  <c r="H22" i="1"/>
  <c r="L22" i="1"/>
  <c r="M22" i="1"/>
  <c r="N22" i="1"/>
  <c r="O22" i="1"/>
  <c r="P22" i="1"/>
  <c r="Q22" i="1"/>
  <c r="R22" i="1"/>
  <c r="S22" i="1"/>
  <c r="T22" i="1"/>
  <c r="U22" i="1"/>
  <c r="V22" i="1"/>
  <c r="AD22" i="1"/>
  <c r="AE22" i="1"/>
  <c r="AI22" i="1"/>
  <c r="AJ22" i="1"/>
  <c r="AK22" i="1"/>
  <c r="AP22" i="1"/>
  <c r="AR22" i="1"/>
  <c r="AY22" i="1"/>
  <c r="BE22" i="1"/>
  <c r="BF22" i="1"/>
  <c r="C23" i="1"/>
  <c r="D23" i="1"/>
  <c r="E23" i="1"/>
  <c r="F23" i="1"/>
  <c r="G23" i="1"/>
  <c r="H23" i="1"/>
  <c r="L23" i="1"/>
  <c r="M23" i="1"/>
  <c r="N23" i="1"/>
  <c r="O23" i="1"/>
  <c r="P23" i="1"/>
  <c r="Q23" i="1"/>
  <c r="R23" i="1"/>
  <c r="S23" i="1"/>
  <c r="T23" i="1"/>
  <c r="U23" i="1"/>
  <c r="V23" i="1"/>
  <c r="AD23" i="1"/>
  <c r="AE23" i="1"/>
  <c r="AI23" i="1"/>
  <c r="AJ23" i="1"/>
  <c r="AK23" i="1"/>
  <c r="AP23" i="1"/>
  <c r="AR23" i="1"/>
  <c r="AY23" i="1"/>
  <c r="BE23" i="1"/>
  <c r="BF23" i="1"/>
  <c r="C24" i="1"/>
  <c r="D24" i="1"/>
  <c r="E24" i="1"/>
  <c r="F24" i="1"/>
  <c r="G24" i="1"/>
  <c r="H24" i="1"/>
  <c r="L24" i="1"/>
  <c r="M24" i="1"/>
  <c r="N24" i="1"/>
  <c r="O24" i="1"/>
  <c r="P24" i="1"/>
  <c r="Q24" i="1"/>
  <c r="R24" i="1"/>
  <c r="S24" i="1"/>
  <c r="T24" i="1"/>
  <c r="U24" i="1"/>
  <c r="V24" i="1"/>
  <c r="AD24" i="1"/>
  <c r="AE24" i="1"/>
  <c r="AI24" i="1"/>
  <c r="AJ24" i="1"/>
  <c r="AK24" i="1"/>
  <c r="AP24" i="1"/>
  <c r="AR24" i="1"/>
  <c r="AY24" i="1"/>
  <c r="BE24" i="1"/>
  <c r="BF24" i="1"/>
  <c r="C25" i="1"/>
  <c r="D25" i="1"/>
  <c r="E25" i="1"/>
  <c r="F25" i="1"/>
  <c r="G25" i="1"/>
  <c r="H25" i="1"/>
  <c r="L25" i="1"/>
  <c r="M25" i="1"/>
  <c r="N25" i="1"/>
  <c r="O25" i="1"/>
  <c r="P25" i="1"/>
  <c r="Q25" i="1"/>
  <c r="R25" i="1"/>
  <c r="S25" i="1"/>
  <c r="T25" i="1"/>
  <c r="U25" i="1"/>
  <c r="V25" i="1"/>
  <c r="AD25" i="1"/>
  <c r="AE25" i="1"/>
  <c r="AI25" i="1"/>
  <c r="AJ25" i="1"/>
  <c r="AK25" i="1"/>
  <c r="AP25" i="1"/>
  <c r="AR25" i="1"/>
  <c r="AY25" i="1"/>
  <c r="BE25" i="1"/>
  <c r="BF25" i="1"/>
  <c r="C26" i="1"/>
  <c r="D26" i="1"/>
  <c r="E26" i="1"/>
  <c r="F26" i="1"/>
  <c r="G26" i="1"/>
  <c r="H26" i="1"/>
  <c r="L26" i="1"/>
  <c r="M26" i="1"/>
  <c r="N26" i="1"/>
  <c r="O26" i="1"/>
  <c r="P26" i="1"/>
  <c r="Q26" i="1"/>
  <c r="R26" i="1"/>
  <c r="S26" i="1"/>
  <c r="T26" i="1"/>
  <c r="U26" i="1"/>
  <c r="V26" i="1"/>
  <c r="AD26" i="1"/>
  <c r="AE26" i="1"/>
  <c r="AI26" i="1"/>
  <c r="AJ26" i="1"/>
  <c r="AK26" i="1"/>
  <c r="AP26" i="1"/>
  <c r="AR26" i="1"/>
  <c r="AY26" i="1"/>
  <c r="BE26" i="1"/>
  <c r="BF26" i="1"/>
  <c r="C405" i="1"/>
  <c r="D405" i="1"/>
  <c r="E405" i="1"/>
  <c r="F405" i="1"/>
  <c r="G405" i="1"/>
  <c r="H405" i="1"/>
  <c r="L405" i="1"/>
  <c r="M405" i="1"/>
  <c r="N405" i="1"/>
  <c r="O405" i="1"/>
  <c r="P405" i="1"/>
  <c r="Q405" i="1"/>
  <c r="R405" i="1"/>
  <c r="S405" i="1"/>
  <c r="T405" i="1"/>
  <c r="U405" i="1"/>
  <c r="V405" i="1"/>
  <c r="AD405" i="1"/>
  <c r="AE405" i="1"/>
  <c r="AI405" i="1"/>
  <c r="AJ405" i="1"/>
  <c r="AK405" i="1"/>
  <c r="AP405" i="1"/>
  <c r="AR405" i="1"/>
  <c r="AY405" i="1"/>
  <c r="BE405" i="1"/>
  <c r="BF405" i="1"/>
  <c r="C27" i="1"/>
  <c r="D27" i="1"/>
  <c r="E27" i="1"/>
  <c r="F27" i="1"/>
  <c r="G27" i="1"/>
  <c r="H27" i="1"/>
  <c r="L27" i="1"/>
  <c r="M27" i="1"/>
  <c r="N27" i="1"/>
  <c r="O27" i="1"/>
  <c r="P27" i="1"/>
  <c r="Q27" i="1"/>
  <c r="R27" i="1"/>
  <c r="S27" i="1"/>
  <c r="T27" i="1"/>
  <c r="U27" i="1"/>
  <c r="V27" i="1"/>
  <c r="AI27" i="1"/>
  <c r="AJ27" i="1"/>
  <c r="AK27" i="1"/>
  <c r="AP27" i="1"/>
  <c r="AR27" i="1"/>
  <c r="AY27" i="1"/>
  <c r="BE27" i="1"/>
  <c r="BF27" i="1"/>
  <c r="C28" i="1"/>
  <c r="D28" i="1"/>
  <c r="E28" i="1"/>
  <c r="F28" i="1"/>
  <c r="G28" i="1"/>
  <c r="H28" i="1"/>
  <c r="L28" i="1"/>
  <c r="M28" i="1"/>
  <c r="N28" i="1"/>
  <c r="O28" i="1"/>
  <c r="P28" i="1"/>
  <c r="Q28" i="1"/>
  <c r="R28" i="1"/>
  <c r="S28" i="1"/>
  <c r="T28" i="1"/>
  <c r="U28" i="1"/>
  <c r="V28" i="1"/>
  <c r="AD28" i="1"/>
  <c r="AE28" i="1"/>
  <c r="AI28" i="1"/>
  <c r="AJ28" i="1"/>
  <c r="AK28" i="1"/>
  <c r="AP28" i="1"/>
  <c r="AR28" i="1"/>
  <c r="AY28" i="1"/>
  <c r="BE28" i="1"/>
  <c r="BF28" i="1"/>
  <c r="C29" i="1"/>
  <c r="D29" i="1"/>
  <c r="E29" i="1"/>
  <c r="F29" i="1"/>
  <c r="G29" i="1"/>
  <c r="H29" i="1"/>
  <c r="L29" i="1"/>
  <c r="M29" i="1"/>
  <c r="N29" i="1"/>
  <c r="O29" i="1"/>
  <c r="P29" i="1"/>
  <c r="Q29" i="1"/>
  <c r="R29" i="1"/>
  <c r="S29" i="1"/>
  <c r="T29" i="1"/>
  <c r="U29" i="1"/>
  <c r="V29" i="1"/>
  <c r="AD29" i="1"/>
  <c r="AE29" i="1"/>
  <c r="AI29" i="1"/>
  <c r="AJ29" i="1"/>
  <c r="AK29" i="1"/>
  <c r="AP29" i="1"/>
  <c r="AR29" i="1"/>
  <c r="AY29" i="1"/>
  <c r="BE29" i="1"/>
  <c r="BF29" i="1"/>
  <c r="C406" i="1"/>
  <c r="D406" i="1"/>
  <c r="E406" i="1"/>
  <c r="F406" i="1"/>
  <c r="G406" i="1"/>
  <c r="H406" i="1"/>
  <c r="L406" i="1"/>
  <c r="M406" i="1"/>
  <c r="N406" i="1"/>
  <c r="O406" i="1"/>
  <c r="P406" i="1"/>
  <c r="Q406" i="1"/>
  <c r="R406" i="1"/>
  <c r="S406" i="1"/>
  <c r="T406" i="1"/>
  <c r="U406" i="1"/>
  <c r="V406" i="1"/>
  <c r="AD406" i="1"/>
  <c r="AE406" i="1"/>
  <c r="AI406" i="1"/>
  <c r="AJ406" i="1"/>
  <c r="AK406" i="1"/>
  <c r="AP406" i="1"/>
  <c r="AR406" i="1"/>
  <c r="AY406" i="1"/>
  <c r="BE406" i="1"/>
  <c r="BF406" i="1"/>
  <c r="C407" i="1"/>
  <c r="D407" i="1"/>
  <c r="E407" i="1"/>
  <c r="F407" i="1"/>
  <c r="G407" i="1"/>
  <c r="H407" i="1"/>
  <c r="L407" i="1"/>
  <c r="M407" i="1"/>
  <c r="N407" i="1"/>
  <c r="O407" i="1"/>
  <c r="P407" i="1"/>
  <c r="Q407" i="1"/>
  <c r="R407" i="1"/>
  <c r="S407" i="1"/>
  <c r="T407" i="1"/>
  <c r="U407" i="1"/>
  <c r="V407" i="1"/>
  <c r="AD407" i="1"/>
  <c r="AE407" i="1"/>
  <c r="AI407" i="1"/>
  <c r="AJ407" i="1"/>
  <c r="AK407" i="1"/>
  <c r="AP407" i="1"/>
  <c r="AR407" i="1"/>
  <c r="AY407" i="1"/>
  <c r="BE407" i="1"/>
  <c r="BF407" i="1"/>
  <c r="C408" i="1"/>
  <c r="D408" i="1"/>
  <c r="E408" i="1"/>
  <c r="F408" i="1"/>
  <c r="G408" i="1"/>
  <c r="H408" i="1"/>
  <c r="L408" i="1"/>
  <c r="M408" i="1"/>
  <c r="N408" i="1"/>
  <c r="O408" i="1"/>
  <c r="P408" i="1"/>
  <c r="Q408" i="1"/>
  <c r="R408" i="1"/>
  <c r="S408" i="1"/>
  <c r="T408" i="1"/>
  <c r="U408" i="1"/>
  <c r="V408" i="1"/>
  <c r="AD408" i="1"/>
  <c r="AE408" i="1"/>
  <c r="AI408" i="1"/>
  <c r="AJ408" i="1"/>
  <c r="AK408" i="1"/>
  <c r="AP408" i="1"/>
  <c r="AR408" i="1"/>
  <c r="AY408" i="1"/>
  <c r="BE408" i="1"/>
  <c r="BF408" i="1"/>
  <c r="C30" i="1"/>
  <c r="D30" i="1"/>
  <c r="E30" i="1"/>
  <c r="F30" i="1"/>
  <c r="G30" i="1"/>
  <c r="H30" i="1"/>
  <c r="L30" i="1"/>
  <c r="M30" i="1"/>
  <c r="N30" i="1"/>
  <c r="O30" i="1"/>
  <c r="P30" i="1"/>
  <c r="Q30" i="1"/>
  <c r="R30" i="1"/>
  <c r="S30" i="1"/>
  <c r="T30" i="1"/>
  <c r="U30" i="1"/>
  <c r="V30" i="1"/>
  <c r="AD30" i="1"/>
  <c r="AE30" i="1"/>
  <c r="AI30" i="1"/>
  <c r="AJ30" i="1"/>
  <c r="AK30" i="1"/>
  <c r="AP30" i="1"/>
  <c r="AR30" i="1"/>
  <c r="AY30" i="1"/>
  <c r="BE30" i="1"/>
  <c r="BF30" i="1"/>
  <c r="C31" i="1"/>
  <c r="D31" i="1"/>
  <c r="E31" i="1"/>
  <c r="F31" i="1"/>
  <c r="G31" i="1"/>
  <c r="H31" i="1"/>
  <c r="L31" i="1"/>
  <c r="M31" i="1"/>
  <c r="N31" i="1"/>
  <c r="O31" i="1"/>
  <c r="P31" i="1"/>
  <c r="Q31" i="1"/>
  <c r="R31" i="1"/>
  <c r="S31" i="1"/>
  <c r="T31" i="1"/>
  <c r="U31" i="1"/>
  <c r="V31" i="1"/>
  <c r="AD31" i="1"/>
  <c r="AE31" i="1"/>
  <c r="AI31" i="1"/>
  <c r="AJ31" i="1"/>
  <c r="AK31" i="1"/>
  <c r="AP31" i="1"/>
  <c r="AR31" i="1"/>
  <c r="AY31" i="1"/>
  <c r="BE31" i="1"/>
  <c r="BF31" i="1"/>
  <c r="C32" i="1"/>
  <c r="D32" i="1"/>
  <c r="E32" i="1"/>
  <c r="F32" i="1"/>
  <c r="G32" i="1"/>
  <c r="H32" i="1"/>
  <c r="L32" i="1"/>
  <c r="M32" i="1"/>
  <c r="N32" i="1"/>
  <c r="O32" i="1"/>
  <c r="P32" i="1"/>
  <c r="Q32" i="1"/>
  <c r="R32" i="1"/>
  <c r="S32" i="1"/>
  <c r="T32" i="1"/>
  <c r="U32" i="1"/>
  <c r="V32" i="1"/>
  <c r="AD32" i="1"/>
  <c r="AE32" i="1"/>
  <c r="AI32" i="1"/>
  <c r="AJ32" i="1"/>
  <c r="AK32" i="1"/>
  <c r="AP32" i="1"/>
  <c r="AR32" i="1"/>
  <c r="AY32" i="1"/>
  <c r="BE32" i="1"/>
  <c r="BF32" i="1"/>
  <c r="C33" i="1"/>
  <c r="D33" i="1"/>
  <c r="E33" i="1"/>
  <c r="F33" i="1"/>
  <c r="G33" i="1"/>
  <c r="H33" i="1"/>
  <c r="L33" i="1"/>
  <c r="M33" i="1"/>
  <c r="N33" i="1"/>
  <c r="O33" i="1"/>
  <c r="P33" i="1"/>
  <c r="Q33" i="1"/>
  <c r="R33" i="1"/>
  <c r="S33" i="1"/>
  <c r="T33" i="1"/>
  <c r="U33" i="1"/>
  <c r="V33" i="1"/>
  <c r="AD33" i="1"/>
  <c r="AE33" i="1"/>
  <c r="AI33" i="1"/>
  <c r="AJ33" i="1"/>
  <c r="AK33" i="1"/>
  <c r="AP33" i="1"/>
  <c r="AR33" i="1"/>
  <c r="AY33" i="1"/>
  <c r="BE33" i="1"/>
  <c r="BF33" i="1"/>
  <c r="C34" i="1"/>
  <c r="D34" i="1"/>
  <c r="E34" i="1"/>
  <c r="F34" i="1"/>
  <c r="G34" i="1"/>
  <c r="H34" i="1"/>
  <c r="L34" i="1"/>
  <c r="M34" i="1"/>
  <c r="N34" i="1"/>
  <c r="O34" i="1"/>
  <c r="P34" i="1"/>
  <c r="Q34" i="1"/>
  <c r="R34" i="1"/>
  <c r="S34" i="1"/>
  <c r="T34" i="1"/>
  <c r="U34" i="1"/>
  <c r="V34" i="1"/>
  <c r="AD34" i="1"/>
  <c r="AE34" i="1"/>
  <c r="AI34" i="1"/>
  <c r="AJ34" i="1"/>
  <c r="AK34" i="1"/>
  <c r="AP34" i="1"/>
  <c r="AR34" i="1"/>
  <c r="AY34" i="1"/>
  <c r="BE34" i="1"/>
  <c r="BF34" i="1"/>
  <c r="C409" i="1"/>
  <c r="D409" i="1"/>
  <c r="E409" i="1"/>
  <c r="F409" i="1"/>
  <c r="G409" i="1"/>
  <c r="H409" i="1"/>
  <c r="L409" i="1"/>
  <c r="M409" i="1"/>
  <c r="N409" i="1"/>
  <c r="O409" i="1"/>
  <c r="P409" i="1"/>
  <c r="Q409" i="1"/>
  <c r="R409" i="1"/>
  <c r="S409" i="1"/>
  <c r="T409" i="1"/>
  <c r="U409" i="1"/>
  <c r="V409" i="1"/>
  <c r="AB409" i="1"/>
  <c r="AD409" i="1"/>
  <c r="AE409" i="1"/>
  <c r="AI409" i="1"/>
  <c r="AJ409" i="1"/>
  <c r="AK409" i="1"/>
  <c r="AP409" i="1"/>
  <c r="AR409" i="1"/>
  <c r="AY409" i="1"/>
  <c r="BE409" i="1"/>
  <c r="BF409" i="1"/>
  <c r="C410" i="1"/>
  <c r="D410" i="1"/>
  <c r="E410" i="1"/>
  <c r="F410" i="1"/>
  <c r="G410" i="1"/>
  <c r="H410" i="1"/>
  <c r="L410" i="1"/>
  <c r="M410" i="1"/>
  <c r="N410" i="1"/>
  <c r="O410" i="1"/>
  <c r="P410" i="1"/>
  <c r="Q410" i="1"/>
  <c r="R410" i="1"/>
  <c r="S410" i="1"/>
  <c r="T410" i="1"/>
  <c r="U410" i="1"/>
  <c r="V410" i="1"/>
  <c r="AB410" i="1"/>
  <c r="AD410" i="1"/>
  <c r="AE410" i="1"/>
  <c r="AI410" i="1"/>
  <c r="AJ410" i="1"/>
  <c r="AK410" i="1"/>
  <c r="AP410" i="1"/>
  <c r="AR410" i="1"/>
  <c r="AY410" i="1"/>
  <c r="BE410" i="1"/>
  <c r="BF410" i="1"/>
  <c r="C35" i="1"/>
  <c r="D35" i="1"/>
  <c r="E35" i="1"/>
  <c r="F35" i="1"/>
  <c r="G35" i="1"/>
  <c r="H35" i="1"/>
  <c r="L35" i="1"/>
  <c r="M35" i="1"/>
  <c r="N35" i="1"/>
  <c r="O35" i="1"/>
  <c r="P35" i="1"/>
  <c r="Q35" i="1"/>
  <c r="R35" i="1"/>
  <c r="S35" i="1"/>
  <c r="T35" i="1"/>
  <c r="U35" i="1"/>
  <c r="V35" i="1"/>
  <c r="AD35" i="1"/>
  <c r="AE35" i="1"/>
  <c r="AI35" i="1"/>
  <c r="AJ35" i="1"/>
  <c r="AK35" i="1"/>
  <c r="AP35" i="1"/>
  <c r="AR35" i="1"/>
  <c r="AY35" i="1"/>
  <c r="BE35" i="1"/>
  <c r="BF35" i="1"/>
  <c r="C36" i="1"/>
  <c r="D36" i="1"/>
  <c r="E36" i="1"/>
  <c r="F36" i="1"/>
  <c r="G36" i="1"/>
  <c r="H36" i="1"/>
  <c r="L36" i="1"/>
  <c r="M36" i="1"/>
  <c r="N36" i="1"/>
  <c r="O36" i="1"/>
  <c r="P36" i="1"/>
  <c r="Q36" i="1"/>
  <c r="R36" i="1"/>
  <c r="S36" i="1"/>
  <c r="T36" i="1"/>
  <c r="U36" i="1"/>
  <c r="V36" i="1"/>
  <c r="AD36" i="1"/>
  <c r="AE36" i="1"/>
  <c r="AI36" i="1"/>
  <c r="AJ36" i="1"/>
  <c r="AK36" i="1"/>
  <c r="AP36" i="1"/>
  <c r="AR36" i="1"/>
  <c r="AY36" i="1"/>
  <c r="BE36" i="1"/>
  <c r="BF36" i="1"/>
  <c r="C411" i="1"/>
  <c r="D411" i="1"/>
  <c r="E411" i="1"/>
  <c r="F411" i="1"/>
  <c r="G411" i="1"/>
  <c r="H411" i="1"/>
  <c r="L411" i="1"/>
  <c r="M411" i="1"/>
  <c r="N411" i="1"/>
  <c r="O411" i="1"/>
  <c r="P411" i="1"/>
  <c r="Q411" i="1"/>
  <c r="R411" i="1"/>
  <c r="S411" i="1"/>
  <c r="T411" i="1"/>
  <c r="U411" i="1"/>
  <c r="V411" i="1"/>
  <c r="AD411" i="1"/>
  <c r="AE411" i="1"/>
  <c r="AI411" i="1"/>
  <c r="AJ411" i="1"/>
  <c r="AK411" i="1"/>
  <c r="AP411" i="1"/>
  <c r="AR411" i="1"/>
  <c r="AY411" i="1"/>
  <c r="BE411" i="1"/>
  <c r="BF411" i="1"/>
  <c r="C412" i="1"/>
  <c r="D412" i="1"/>
  <c r="E412" i="1"/>
  <c r="F412" i="1"/>
  <c r="G412" i="1"/>
  <c r="H412" i="1"/>
  <c r="L412" i="1"/>
  <c r="M412" i="1"/>
  <c r="N412" i="1"/>
  <c r="O412" i="1"/>
  <c r="P412" i="1"/>
  <c r="Q412" i="1"/>
  <c r="R412" i="1"/>
  <c r="S412" i="1"/>
  <c r="T412" i="1"/>
  <c r="U412" i="1"/>
  <c r="V412" i="1"/>
  <c r="AD412" i="1"/>
  <c r="AE412" i="1"/>
  <c r="AI412" i="1"/>
  <c r="AJ412" i="1"/>
  <c r="AK412" i="1"/>
  <c r="AP412" i="1"/>
  <c r="AR412" i="1"/>
  <c r="AY412" i="1"/>
  <c r="BE412" i="1"/>
  <c r="BF412" i="1"/>
  <c r="C413" i="1"/>
  <c r="D413" i="1"/>
  <c r="E413" i="1"/>
  <c r="F413" i="1"/>
  <c r="G413" i="1"/>
  <c r="H413" i="1"/>
  <c r="L413" i="1"/>
  <c r="M413" i="1"/>
  <c r="N413" i="1"/>
  <c r="O413" i="1"/>
  <c r="P413" i="1"/>
  <c r="Q413" i="1"/>
  <c r="R413" i="1"/>
  <c r="S413" i="1"/>
  <c r="T413" i="1"/>
  <c r="U413" i="1"/>
  <c r="V413" i="1"/>
  <c r="AD413" i="1"/>
  <c r="AE413" i="1"/>
  <c r="AI413" i="1"/>
  <c r="AJ413" i="1"/>
  <c r="AK413" i="1"/>
  <c r="AP413" i="1"/>
  <c r="AR413" i="1"/>
  <c r="AY413" i="1"/>
  <c r="BE413" i="1"/>
  <c r="BF413" i="1"/>
  <c r="C414" i="1"/>
  <c r="D414" i="1"/>
  <c r="E414" i="1"/>
  <c r="F414" i="1"/>
  <c r="G414" i="1"/>
  <c r="H414" i="1"/>
  <c r="L414" i="1"/>
  <c r="M414" i="1"/>
  <c r="N414" i="1"/>
  <c r="O414" i="1"/>
  <c r="P414" i="1"/>
  <c r="Q414" i="1"/>
  <c r="R414" i="1"/>
  <c r="S414" i="1"/>
  <c r="T414" i="1"/>
  <c r="U414" i="1"/>
  <c r="V414" i="1"/>
  <c r="AD414" i="1"/>
  <c r="AE414" i="1"/>
  <c r="AI414" i="1"/>
  <c r="AJ414" i="1"/>
  <c r="AK414" i="1"/>
  <c r="AP414" i="1"/>
  <c r="AR414" i="1"/>
  <c r="AY414" i="1"/>
  <c r="BE414" i="1"/>
  <c r="BF414" i="1"/>
  <c r="C37" i="1"/>
  <c r="D37" i="1"/>
  <c r="E37" i="1"/>
  <c r="F37" i="1"/>
  <c r="G37" i="1"/>
  <c r="H37" i="1"/>
  <c r="L37" i="1"/>
  <c r="M37" i="1"/>
  <c r="N37" i="1"/>
  <c r="O37" i="1"/>
  <c r="P37" i="1"/>
  <c r="Q37" i="1"/>
  <c r="R37" i="1"/>
  <c r="S37" i="1"/>
  <c r="T37" i="1"/>
  <c r="U37" i="1"/>
  <c r="V37" i="1"/>
  <c r="AB37" i="1"/>
  <c r="AD37" i="1"/>
  <c r="AE37" i="1"/>
  <c r="AI37" i="1"/>
  <c r="AJ37" i="1"/>
  <c r="AK37" i="1"/>
  <c r="AP37" i="1"/>
  <c r="AR37" i="1"/>
  <c r="AY37" i="1"/>
  <c r="BE37" i="1"/>
  <c r="BF37" i="1"/>
  <c r="C38" i="1"/>
  <c r="D38" i="1"/>
  <c r="E38" i="1"/>
  <c r="F38" i="1"/>
  <c r="G38" i="1"/>
  <c r="H38" i="1"/>
  <c r="L38" i="1"/>
  <c r="M38" i="1"/>
  <c r="N38" i="1"/>
  <c r="O38" i="1"/>
  <c r="P38" i="1"/>
  <c r="Q38" i="1"/>
  <c r="R38" i="1"/>
  <c r="S38" i="1"/>
  <c r="T38" i="1"/>
  <c r="U38" i="1"/>
  <c r="V38" i="1"/>
  <c r="AB38" i="1"/>
  <c r="AD38" i="1"/>
  <c r="AE38" i="1"/>
  <c r="AI38" i="1"/>
  <c r="AJ38" i="1"/>
  <c r="AK38" i="1"/>
  <c r="AP38" i="1"/>
  <c r="AR38" i="1"/>
  <c r="AY38" i="1"/>
  <c r="BE38" i="1"/>
  <c r="BF38" i="1"/>
  <c r="C39" i="1"/>
  <c r="D39" i="1"/>
  <c r="E39" i="1"/>
  <c r="F39" i="1"/>
  <c r="G39" i="1"/>
  <c r="H39" i="1"/>
  <c r="L39" i="1"/>
  <c r="M39" i="1"/>
  <c r="N39" i="1"/>
  <c r="O39" i="1"/>
  <c r="P39" i="1"/>
  <c r="Q39" i="1"/>
  <c r="R39" i="1"/>
  <c r="S39" i="1"/>
  <c r="T39" i="1"/>
  <c r="U39" i="1"/>
  <c r="V39" i="1"/>
  <c r="AB39" i="1"/>
  <c r="AD39" i="1"/>
  <c r="AE39" i="1"/>
  <c r="AI39" i="1"/>
  <c r="AJ39" i="1"/>
  <c r="AK39" i="1"/>
  <c r="AP39" i="1"/>
  <c r="AR39" i="1"/>
  <c r="AY39" i="1"/>
  <c r="BE39" i="1"/>
  <c r="BF39" i="1"/>
  <c r="C40" i="1"/>
  <c r="D40" i="1"/>
  <c r="E40" i="1"/>
  <c r="F40" i="1"/>
  <c r="G40" i="1"/>
  <c r="H40" i="1"/>
  <c r="L40" i="1"/>
  <c r="M40" i="1"/>
  <c r="N40" i="1"/>
  <c r="O40" i="1"/>
  <c r="P40" i="1"/>
  <c r="Q40" i="1"/>
  <c r="R40" i="1"/>
  <c r="S40" i="1"/>
  <c r="T40" i="1"/>
  <c r="U40" i="1"/>
  <c r="V40" i="1"/>
  <c r="AB40" i="1"/>
  <c r="AD40" i="1"/>
  <c r="AE40" i="1"/>
  <c r="AI40" i="1"/>
  <c r="AJ40" i="1"/>
  <c r="AK40" i="1"/>
  <c r="AP40" i="1"/>
  <c r="AR40" i="1"/>
  <c r="AY40" i="1"/>
  <c r="BE40" i="1"/>
  <c r="BF40" i="1"/>
  <c r="C41" i="1"/>
  <c r="D41" i="1"/>
  <c r="E41" i="1"/>
  <c r="F41" i="1"/>
  <c r="G41" i="1"/>
  <c r="H41" i="1"/>
  <c r="L41" i="1"/>
  <c r="M41" i="1"/>
  <c r="N41" i="1"/>
  <c r="O41" i="1"/>
  <c r="P41" i="1"/>
  <c r="Q41" i="1"/>
  <c r="R41" i="1"/>
  <c r="S41" i="1"/>
  <c r="T41" i="1"/>
  <c r="U41" i="1"/>
  <c r="V41" i="1"/>
  <c r="AB41" i="1"/>
  <c r="AD41" i="1"/>
  <c r="AE41" i="1"/>
  <c r="AI41" i="1"/>
  <c r="AJ41" i="1"/>
  <c r="AK41" i="1"/>
  <c r="AP41" i="1"/>
  <c r="AR41" i="1"/>
  <c r="AY41" i="1"/>
  <c r="BE41" i="1"/>
  <c r="BF41" i="1"/>
  <c r="C42" i="1"/>
  <c r="D42" i="1"/>
  <c r="E42" i="1"/>
  <c r="F42" i="1"/>
  <c r="G42" i="1"/>
  <c r="H42" i="1"/>
  <c r="L42" i="1"/>
  <c r="M42" i="1"/>
  <c r="N42" i="1"/>
  <c r="O42" i="1"/>
  <c r="P42" i="1"/>
  <c r="Q42" i="1"/>
  <c r="R42" i="1"/>
  <c r="S42" i="1"/>
  <c r="T42" i="1"/>
  <c r="U42" i="1"/>
  <c r="V42" i="1"/>
  <c r="AB42" i="1"/>
  <c r="AD42" i="1"/>
  <c r="AE42" i="1"/>
  <c r="AI42" i="1"/>
  <c r="AJ42" i="1"/>
  <c r="AK42" i="1"/>
  <c r="AP42" i="1"/>
  <c r="AR42" i="1"/>
  <c r="AY42" i="1"/>
  <c r="BE42" i="1"/>
  <c r="BF42" i="1"/>
  <c r="C43" i="1"/>
  <c r="D43" i="1"/>
  <c r="E43" i="1"/>
  <c r="F43" i="1"/>
  <c r="G43" i="1"/>
  <c r="H43" i="1"/>
  <c r="L43" i="1"/>
  <c r="M43" i="1"/>
  <c r="N43" i="1"/>
  <c r="O43" i="1"/>
  <c r="P43" i="1"/>
  <c r="Q43" i="1"/>
  <c r="R43" i="1"/>
  <c r="S43" i="1"/>
  <c r="T43" i="1"/>
  <c r="U43" i="1"/>
  <c r="V43" i="1"/>
  <c r="AB43" i="1"/>
  <c r="AD43" i="1"/>
  <c r="AE43" i="1"/>
  <c r="AI43" i="1"/>
  <c r="AJ43" i="1"/>
  <c r="AK43" i="1"/>
  <c r="AP43" i="1"/>
  <c r="AR43" i="1"/>
  <c r="AY43" i="1"/>
  <c r="BE43" i="1"/>
  <c r="BF43" i="1"/>
  <c r="C415" i="1"/>
  <c r="D415" i="1"/>
  <c r="E415" i="1"/>
  <c r="F415" i="1"/>
  <c r="G415" i="1"/>
  <c r="H415" i="1"/>
  <c r="L415" i="1"/>
  <c r="M415" i="1"/>
  <c r="N415" i="1"/>
  <c r="O415" i="1"/>
  <c r="P415" i="1"/>
  <c r="Q415" i="1"/>
  <c r="R415" i="1"/>
  <c r="S415" i="1"/>
  <c r="T415" i="1"/>
  <c r="U415" i="1"/>
  <c r="V415" i="1"/>
  <c r="AB415" i="1"/>
  <c r="AD415" i="1"/>
  <c r="AE415" i="1"/>
  <c r="AI415" i="1"/>
  <c r="AJ415" i="1"/>
  <c r="AK415" i="1"/>
  <c r="AP415" i="1"/>
  <c r="AR415" i="1"/>
  <c r="AY415" i="1"/>
  <c r="BE415" i="1"/>
  <c r="BF415" i="1"/>
  <c r="C44" i="1"/>
  <c r="D44" i="1"/>
  <c r="E44" i="1"/>
  <c r="F44" i="1"/>
  <c r="G44" i="1"/>
  <c r="H44" i="1"/>
  <c r="L44" i="1"/>
  <c r="M44" i="1"/>
  <c r="N44" i="1"/>
  <c r="O44" i="1"/>
  <c r="P44" i="1"/>
  <c r="Q44" i="1"/>
  <c r="R44" i="1"/>
  <c r="S44" i="1"/>
  <c r="T44" i="1"/>
  <c r="U44" i="1"/>
  <c r="V44" i="1"/>
  <c r="AB44" i="1"/>
  <c r="AD44" i="1"/>
  <c r="AE44" i="1"/>
  <c r="AI44" i="1"/>
  <c r="AJ44" i="1"/>
  <c r="AK44" i="1"/>
  <c r="AP44" i="1"/>
  <c r="AR44" i="1"/>
  <c r="AY44" i="1"/>
  <c r="BE44" i="1"/>
  <c r="BF44" i="1"/>
  <c r="C45" i="1"/>
  <c r="D45" i="1"/>
  <c r="E45" i="1"/>
  <c r="F45" i="1"/>
  <c r="G45" i="1"/>
  <c r="H45" i="1"/>
  <c r="L45" i="1"/>
  <c r="M45" i="1"/>
  <c r="N45" i="1"/>
  <c r="O45" i="1"/>
  <c r="P45" i="1"/>
  <c r="Q45" i="1"/>
  <c r="R45" i="1"/>
  <c r="S45" i="1"/>
  <c r="T45" i="1"/>
  <c r="U45" i="1"/>
  <c r="V45" i="1"/>
  <c r="AB45" i="1"/>
  <c r="AD45" i="1"/>
  <c r="AE45" i="1"/>
  <c r="AI45" i="1"/>
  <c r="AJ45" i="1"/>
  <c r="AK45" i="1"/>
  <c r="AP45" i="1"/>
  <c r="AR45" i="1"/>
  <c r="AY45" i="1"/>
  <c r="BE45" i="1"/>
  <c r="BF45" i="1"/>
  <c r="C46" i="1"/>
  <c r="D46" i="1"/>
  <c r="E46" i="1"/>
  <c r="F46" i="1"/>
  <c r="G46" i="1"/>
  <c r="H46" i="1"/>
  <c r="L46" i="1"/>
  <c r="M46" i="1"/>
  <c r="N46" i="1"/>
  <c r="O46" i="1"/>
  <c r="P46" i="1"/>
  <c r="Q46" i="1"/>
  <c r="R46" i="1"/>
  <c r="S46" i="1"/>
  <c r="T46" i="1"/>
  <c r="U46" i="1"/>
  <c r="V46" i="1"/>
  <c r="AB46" i="1"/>
  <c r="AD46" i="1"/>
  <c r="AE46" i="1"/>
  <c r="AI46" i="1"/>
  <c r="AJ46" i="1"/>
  <c r="AK46" i="1"/>
  <c r="AP46" i="1"/>
  <c r="AR46" i="1"/>
  <c r="AY46" i="1"/>
  <c r="BE46" i="1"/>
  <c r="BF46" i="1"/>
  <c r="C47" i="1"/>
  <c r="D47" i="1"/>
  <c r="E47" i="1"/>
  <c r="F47" i="1"/>
  <c r="G47" i="1"/>
  <c r="H47" i="1"/>
  <c r="L47" i="1"/>
  <c r="M47" i="1"/>
  <c r="N47" i="1"/>
  <c r="O47" i="1"/>
  <c r="P47" i="1"/>
  <c r="Q47" i="1"/>
  <c r="R47" i="1"/>
  <c r="S47" i="1"/>
  <c r="T47" i="1"/>
  <c r="U47" i="1"/>
  <c r="V47" i="1"/>
  <c r="AB47" i="1"/>
  <c r="AD47" i="1"/>
  <c r="AE47" i="1"/>
  <c r="AI47" i="1"/>
  <c r="AJ47" i="1"/>
  <c r="AK47" i="1"/>
  <c r="AP47" i="1"/>
  <c r="AR47" i="1"/>
  <c r="AY47" i="1"/>
  <c r="BE47" i="1"/>
  <c r="BF47" i="1"/>
  <c r="C48" i="1"/>
  <c r="D48" i="1"/>
  <c r="E48" i="1"/>
  <c r="F48" i="1"/>
  <c r="G48" i="1"/>
  <c r="H48" i="1"/>
  <c r="L48" i="1"/>
  <c r="M48" i="1"/>
  <c r="N48" i="1"/>
  <c r="O48" i="1"/>
  <c r="P48" i="1"/>
  <c r="Q48" i="1"/>
  <c r="R48" i="1"/>
  <c r="S48" i="1"/>
  <c r="T48" i="1"/>
  <c r="U48" i="1"/>
  <c r="V48" i="1"/>
  <c r="AB48" i="1"/>
  <c r="AD48" i="1"/>
  <c r="AE48" i="1"/>
  <c r="AI48" i="1"/>
  <c r="AJ48" i="1"/>
  <c r="AK48" i="1"/>
  <c r="AP48" i="1"/>
  <c r="AR48" i="1"/>
  <c r="AY48" i="1"/>
  <c r="BE48" i="1"/>
  <c r="BF48" i="1"/>
  <c r="C416" i="1"/>
  <c r="D416" i="1"/>
  <c r="E416" i="1"/>
  <c r="F416" i="1"/>
  <c r="G416" i="1"/>
  <c r="H416" i="1"/>
  <c r="L416" i="1"/>
  <c r="M416" i="1"/>
  <c r="N416" i="1"/>
  <c r="O416" i="1"/>
  <c r="P416" i="1"/>
  <c r="Q416" i="1"/>
  <c r="R416" i="1"/>
  <c r="S416" i="1"/>
  <c r="T416" i="1"/>
  <c r="U416" i="1"/>
  <c r="V416" i="1"/>
  <c r="AB416" i="1"/>
  <c r="AD416" i="1"/>
  <c r="AE416" i="1"/>
  <c r="AI416" i="1"/>
  <c r="AJ416" i="1"/>
  <c r="AK416" i="1"/>
  <c r="AP416" i="1"/>
  <c r="AR416" i="1"/>
  <c r="AY416" i="1"/>
  <c r="BE416" i="1"/>
  <c r="BF416" i="1"/>
  <c r="C49" i="1"/>
  <c r="D49" i="1"/>
  <c r="E49" i="1"/>
  <c r="F49" i="1"/>
  <c r="G49" i="1"/>
  <c r="H49" i="1"/>
  <c r="L49" i="1"/>
  <c r="M49" i="1"/>
  <c r="N49" i="1"/>
  <c r="O49" i="1"/>
  <c r="P49" i="1"/>
  <c r="Q49" i="1"/>
  <c r="R49" i="1"/>
  <c r="S49" i="1"/>
  <c r="T49" i="1"/>
  <c r="U49" i="1"/>
  <c r="V49" i="1"/>
  <c r="AB49" i="1"/>
  <c r="AD49" i="1"/>
  <c r="AE49" i="1"/>
  <c r="AI49" i="1"/>
  <c r="AJ49" i="1"/>
  <c r="AK49" i="1"/>
  <c r="AP49" i="1"/>
  <c r="AR49" i="1"/>
  <c r="AY49" i="1"/>
  <c r="BE49" i="1"/>
  <c r="BF49" i="1"/>
  <c r="C417" i="1"/>
  <c r="D417" i="1"/>
  <c r="E417" i="1"/>
  <c r="F417" i="1"/>
  <c r="G417" i="1"/>
  <c r="H417" i="1"/>
  <c r="L417" i="1"/>
  <c r="M417" i="1"/>
  <c r="N417" i="1"/>
  <c r="O417" i="1"/>
  <c r="P417" i="1"/>
  <c r="Q417" i="1"/>
  <c r="R417" i="1"/>
  <c r="S417" i="1"/>
  <c r="T417" i="1"/>
  <c r="U417" i="1"/>
  <c r="V417" i="1"/>
  <c r="AB417" i="1"/>
  <c r="AD417" i="1"/>
  <c r="AE417" i="1"/>
  <c r="AI417" i="1"/>
  <c r="AJ417" i="1"/>
  <c r="AK417" i="1"/>
  <c r="AP417" i="1"/>
  <c r="AR417" i="1"/>
  <c r="AY417" i="1"/>
  <c r="BE417" i="1"/>
  <c r="BF417" i="1"/>
  <c r="C50" i="1"/>
  <c r="D50" i="1"/>
  <c r="E50" i="1"/>
  <c r="F50" i="1"/>
  <c r="G50" i="1"/>
  <c r="H50" i="1"/>
  <c r="L50" i="1"/>
  <c r="M50" i="1"/>
  <c r="N50" i="1"/>
  <c r="O50" i="1"/>
  <c r="P50" i="1"/>
  <c r="Q50" i="1"/>
  <c r="R50" i="1"/>
  <c r="S50" i="1"/>
  <c r="T50" i="1"/>
  <c r="U50" i="1"/>
  <c r="V50" i="1"/>
  <c r="AB50" i="1"/>
  <c r="AD50" i="1"/>
  <c r="AE50" i="1"/>
  <c r="AI50" i="1"/>
  <c r="AJ50" i="1"/>
  <c r="AK50" i="1"/>
  <c r="AP50" i="1"/>
  <c r="AR50" i="1"/>
  <c r="AY50" i="1"/>
  <c r="BE50" i="1"/>
  <c r="BF50" i="1"/>
  <c r="C51" i="1"/>
  <c r="D51" i="1"/>
  <c r="E51" i="1"/>
  <c r="F51" i="1"/>
  <c r="G51" i="1"/>
  <c r="H51" i="1"/>
  <c r="L51" i="1"/>
  <c r="M51" i="1"/>
  <c r="N51" i="1"/>
  <c r="O51" i="1"/>
  <c r="P51" i="1"/>
  <c r="Q51" i="1"/>
  <c r="R51" i="1"/>
  <c r="S51" i="1"/>
  <c r="T51" i="1"/>
  <c r="U51" i="1"/>
  <c r="V51" i="1"/>
  <c r="AB51" i="1"/>
  <c r="AD51" i="1"/>
  <c r="AE51" i="1"/>
  <c r="AI51" i="1"/>
  <c r="AJ51" i="1"/>
  <c r="AK51" i="1"/>
  <c r="AP51" i="1"/>
  <c r="AR51" i="1"/>
  <c r="AY51" i="1"/>
  <c r="BE51" i="1"/>
  <c r="BF51" i="1"/>
  <c r="C52" i="1"/>
  <c r="D52" i="1"/>
  <c r="E52" i="1"/>
  <c r="F52" i="1"/>
  <c r="G52" i="1"/>
  <c r="H52" i="1"/>
  <c r="L52" i="1"/>
  <c r="M52" i="1"/>
  <c r="N52" i="1"/>
  <c r="O52" i="1"/>
  <c r="P52" i="1"/>
  <c r="Q52" i="1"/>
  <c r="R52" i="1"/>
  <c r="S52" i="1"/>
  <c r="T52" i="1"/>
  <c r="U52" i="1"/>
  <c r="V52" i="1"/>
  <c r="AB52" i="1"/>
  <c r="AD52" i="1"/>
  <c r="AE52" i="1"/>
  <c r="AI52" i="1"/>
  <c r="AJ52" i="1"/>
  <c r="AK52" i="1"/>
  <c r="AP52" i="1"/>
  <c r="AR52" i="1"/>
  <c r="AY52" i="1"/>
  <c r="BE52" i="1"/>
  <c r="BF52" i="1"/>
  <c r="C53" i="1"/>
  <c r="D53" i="1"/>
  <c r="E53" i="1"/>
  <c r="F53" i="1"/>
  <c r="G53" i="1"/>
  <c r="H53" i="1"/>
  <c r="L53" i="1"/>
  <c r="M53" i="1"/>
  <c r="N53" i="1"/>
  <c r="O53" i="1"/>
  <c r="P53" i="1"/>
  <c r="Q53" i="1"/>
  <c r="R53" i="1"/>
  <c r="S53" i="1"/>
  <c r="T53" i="1"/>
  <c r="U53" i="1"/>
  <c r="V53" i="1"/>
  <c r="AB53" i="1"/>
  <c r="AD53" i="1"/>
  <c r="AE53" i="1"/>
  <c r="AI53" i="1"/>
  <c r="AJ53" i="1"/>
  <c r="AK53" i="1"/>
  <c r="AP53" i="1"/>
  <c r="AR53" i="1"/>
  <c r="AY53" i="1"/>
  <c r="BE53" i="1"/>
  <c r="BF53" i="1"/>
  <c r="C54" i="1"/>
  <c r="D54" i="1"/>
  <c r="E54" i="1"/>
  <c r="F54" i="1"/>
  <c r="G54" i="1"/>
  <c r="H54" i="1"/>
  <c r="L54" i="1"/>
  <c r="M54" i="1"/>
  <c r="N54" i="1"/>
  <c r="O54" i="1"/>
  <c r="P54" i="1"/>
  <c r="Q54" i="1"/>
  <c r="R54" i="1"/>
  <c r="S54" i="1"/>
  <c r="T54" i="1"/>
  <c r="U54" i="1"/>
  <c r="V54" i="1"/>
  <c r="AB54" i="1"/>
  <c r="AD54" i="1"/>
  <c r="AE54" i="1"/>
  <c r="AI54" i="1"/>
  <c r="AJ54" i="1"/>
  <c r="AK54" i="1"/>
  <c r="AP54" i="1"/>
  <c r="AR54" i="1"/>
  <c r="AY54" i="1"/>
  <c r="BE54" i="1"/>
  <c r="BF54" i="1"/>
  <c r="C55" i="1"/>
  <c r="D55" i="1"/>
  <c r="E55" i="1"/>
  <c r="F55" i="1"/>
  <c r="G55" i="1"/>
  <c r="H55" i="1"/>
  <c r="L55" i="1"/>
  <c r="M55" i="1"/>
  <c r="N55" i="1"/>
  <c r="O55" i="1"/>
  <c r="P55" i="1"/>
  <c r="Q55" i="1"/>
  <c r="R55" i="1"/>
  <c r="S55" i="1"/>
  <c r="T55" i="1"/>
  <c r="U55" i="1"/>
  <c r="V55" i="1"/>
  <c r="AB55" i="1"/>
  <c r="AD55" i="1"/>
  <c r="AE55" i="1"/>
  <c r="AI55" i="1"/>
  <c r="AJ55" i="1"/>
  <c r="AK55" i="1"/>
  <c r="AP55" i="1"/>
  <c r="AR55" i="1"/>
  <c r="AY55" i="1"/>
  <c r="BE55" i="1"/>
  <c r="BF55" i="1"/>
  <c r="C56" i="1"/>
  <c r="D56" i="1"/>
  <c r="E56" i="1"/>
  <c r="F56" i="1"/>
  <c r="G56" i="1"/>
  <c r="H56" i="1"/>
  <c r="L56" i="1"/>
  <c r="M56" i="1"/>
  <c r="N56" i="1"/>
  <c r="O56" i="1"/>
  <c r="P56" i="1"/>
  <c r="Q56" i="1"/>
  <c r="R56" i="1"/>
  <c r="S56" i="1"/>
  <c r="T56" i="1"/>
  <c r="U56" i="1"/>
  <c r="V56" i="1"/>
  <c r="AB56" i="1"/>
  <c r="AD56" i="1"/>
  <c r="AE56" i="1"/>
  <c r="AI56" i="1"/>
  <c r="AJ56" i="1"/>
  <c r="AK56" i="1"/>
  <c r="AP56" i="1"/>
  <c r="AR56" i="1"/>
  <c r="AY56" i="1"/>
  <c r="BE56" i="1"/>
  <c r="BF56" i="1"/>
  <c r="C57" i="1"/>
  <c r="D57" i="1"/>
  <c r="E57" i="1"/>
  <c r="F57" i="1"/>
  <c r="G57" i="1"/>
  <c r="H57" i="1"/>
  <c r="L57" i="1"/>
  <c r="M57" i="1"/>
  <c r="N57" i="1"/>
  <c r="O57" i="1"/>
  <c r="P57" i="1"/>
  <c r="Q57" i="1"/>
  <c r="R57" i="1"/>
  <c r="S57" i="1"/>
  <c r="T57" i="1"/>
  <c r="U57" i="1"/>
  <c r="V57" i="1"/>
  <c r="AB57" i="1"/>
  <c r="AD57" i="1"/>
  <c r="AE57" i="1"/>
  <c r="AI57" i="1"/>
  <c r="AJ57" i="1"/>
  <c r="AK57" i="1"/>
  <c r="AP57" i="1"/>
  <c r="AR57" i="1"/>
  <c r="AY57" i="1"/>
  <c r="BE57" i="1"/>
  <c r="BF57" i="1"/>
  <c r="C58" i="1"/>
  <c r="D58" i="1"/>
  <c r="E58" i="1"/>
  <c r="F58" i="1"/>
  <c r="G58" i="1"/>
  <c r="H58" i="1"/>
  <c r="L58" i="1"/>
  <c r="M58" i="1"/>
  <c r="N58" i="1"/>
  <c r="O58" i="1"/>
  <c r="P58" i="1"/>
  <c r="Q58" i="1"/>
  <c r="R58" i="1"/>
  <c r="S58" i="1"/>
  <c r="T58" i="1"/>
  <c r="U58" i="1"/>
  <c r="V58" i="1"/>
  <c r="AB58" i="1"/>
  <c r="AD58" i="1"/>
  <c r="AE58" i="1"/>
  <c r="AI58" i="1"/>
  <c r="AJ58" i="1"/>
  <c r="AK58" i="1"/>
  <c r="AP58" i="1"/>
  <c r="AR58" i="1"/>
  <c r="AY58" i="1"/>
  <c r="BE58" i="1"/>
  <c r="BF58" i="1"/>
  <c r="C59" i="1"/>
  <c r="D59" i="1"/>
  <c r="E59" i="1"/>
  <c r="F59" i="1"/>
  <c r="G59" i="1"/>
  <c r="H59" i="1"/>
  <c r="L59" i="1"/>
  <c r="M59" i="1"/>
  <c r="N59" i="1"/>
  <c r="O59" i="1"/>
  <c r="P59" i="1"/>
  <c r="Q59" i="1"/>
  <c r="R59" i="1"/>
  <c r="S59" i="1"/>
  <c r="T59" i="1"/>
  <c r="U59" i="1"/>
  <c r="V59" i="1"/>
  <c r="AB59" i="1"/>
  <c r="AD59" i="1"/>
  <c r="AE59" i="1"/>
  <c r="AI59" i="1"/>
  <c r="AJ59" i="1"/>
  <c r="AK59" i="1"/>
  <c r="AP59" i="1"/>
  <c r="AR59" i="1"/>
  <c r="AY59" i="1"/>
  <c r="BE59" i="1"/>
  <c r="BF59" i="1"/>
  <c r="C60" i="1"/>
  <c r="D60" i="1"/>
  <c r="E60" i="1"/>
  <c r="F60" i="1"/>
  <c r="G60" i="1"/>
  <c r="H60" i="1"/>
  <c r="L60" i="1"/>
  <c r="M60" i="1"/>
  <c r="N60" i="1"/>
  <c r="O60" i="1"/>
  <c r="P60" i="1"/>
  <c r="Q60" i="1"/>
  <c r="R60" i="1"/>
  <c r="S60" i="1"/>
  <c r="T60" i="1"/>
  <c r="U60" i="1"/>
  <c r="V60" i="1"/>
  <c r="AB60" i="1"/>
  <c r="AD60" i="1"/>
  <c r="AE60" i="1"/>
  <c r="AI60" i="1"/>
  <c r="AJ60" i="1"/>
  <c r="AK60" i="1"/>
  <c r="AP60" i="1"/>
  <c r="AR60" i="1"/>
  <c r="AY60" i="1"/>
  <c r="BE60" i="1"/>
  <c r="BF60" i="1"/>
  <c r="C61" i="1"/>
  <c r="D61" i="1"/>
  <c r="E61" i="1"/>
  <c r="F61" i="1"/>
  <c r="G61" i="1"/>
  <c r="H61" i="1"/>
  <c r="L61" i="1"/>
  <c r="M61" i="1"/>
  <c r="N61" i="1"/>
  <c r="O61" i="1"/>
  <c r="P61" i="1"/>
  <c r="Q61" i="1"/>
  <c r="R61" i="1"/>
  <c r="S61" i="1"/>
  <c r="T61" i="1"/>
  <c r="U61" i="1"/>
  <c r="V61" i="1"/>
  <c r="AB61" i="1"/>
  <c r="AD61" i="1"/>
  <c r="AE61" i="1"/>
  <c r="AI61" i="1"/>
  <c r="AJ61" i="1"/>
  <c r="AK61" i="1"/>
  <c r="AP61" i="1"/>
  <c r="AR61" i="1"/>
  <c r="AY61" i="1"/>
  <c r="BE61" i="1"/>
  <c r="BF61" i="1"/>
  <c r="C62" i="1"/>
  <c r="D62" i="1"/>
  <c r="E62" i="1"/>
  <c r="F62" i="1"/>
  <c r="G62" i="1"/>
  <c r="H62" i="1"/>
  <c r="L62" i="1"/>
  <c r="M62" i="1"/>
  <c r="N62" i="1"/>
  <c r="O62" i="1"/>
  <c r="P62" i="1"/>
  <c r="Q62" i="1"/>
  <c r="R62" i="1"/>
  <c r="S62" i="1"/>
  <c r="T62" i="1"/>
  <c r="U62" i="1"/>
  <c r="V62" i="1"/>
  <c r="AB62" i="1"/>
  <c r="AD62" i="1"/>
  <c r="AE62" i="1"/>
  <c r="AI62" i="1"/>
  <c r="AJ62" i="1"/>
  <c r="AK62" i="1"/>
  <c r="AP62" i="1"/>
  <c r="AR62" i="1"/>
  <c r="AY62" i="1"/>
  <c r="BE62" i="1"/>
  <c r="BF62" i="1"/>
  <c r="C63" i="1"/>
  <c r="D63" i="1"/>
  <c r="E63" i="1"/>
  <c r="F63" i="1"/>
  <c r="G63" i="1"/>
  <c r="H63" i="1"/>
  <c r="L63" i="1"/>
  <c r="M63" i="1"/>
  <c r="N63" i="1"/>
  <c r="O63" i="1"/>
  <c r="P63" i="1"/>
  <c r="Q63" i="1"/>
  <c r="R63" i="1"/>
  <c r="S63" i="1"/>
  <c r="T63" i="1"/>
  <c r="U63" i="1"/>
  <c r="V63" i="1"/>
  <c r="AB63" i="1"/>
  <c r="AD63" i="1"/>
  <c r="AE63" i="1"/>
  <c r="AI63" i="1"/>
  <c r="AJ63" i="1"/>
  <c r="AK63" i="1"/>
  <c r="AP63" i="1"/>
  <c r="AR63" i="1"/>
  <c r="AY63" i="1"/>
  <c r="BE63" i="1"/>
  <c r="BF63" i="1"/>
  <c r="C64" i="1"/>
  <c r="D64" i="1"/>
  <c r="E64" i="1"/>
  <c r="F64" i="1"/>
  <c r="G64" i="1"/>
  <c r="H64" i="1"/>
  <c r="L64" i="1"/>
  <c r="M64" i="1"/>
  <c r="N64" i="1"/>
  <c r="O64" i="1"/>
  <c r="P64" i="1"/>
  <c r="Q64" i="1"/>
  <c r="R64" i="1"/>
  <c r="S64" i="1"/>
  <c r="T64" i="1"/>
  <c r="U64" i="1"/>
  <c r="V64" i="1"/>
  <c r="AB64" i="1"/>
  <c r="AD64" i="1"/>
  <c r="AE64" i="1"/>
  <c r="AI64" i="1"/>
  <c r="AJ64" i="1"/>
  <c r="AK64" i="1"/>
  <c r="AP64" i="1"/>
  <c r="AR64" i="1"/>
  <c r="AY64" i="1"/>
  <c r="BE64" i="1"/>
  <c r="BF64" i="1"/>
  <c r="C65" i="1"/>
  <c r="D65" i="1"/>
  <c r="E65" i="1"/>
  <c r="F65" i="1"/>
  <c r="G65" i="1"/>
  <c r="H65" i="1"/>
  <c r="L65" i="1"/>
  <c r="M65" i="1"/>
  <c r="N65" i="1"/>
  <c r="O65" i="1"/>
  <c r="P65" i="1"/>
  <c r="Q65" i="1"/>
  <c r="R65" i="1"/>
  <c r="S65" i="1"/>
  <c r="T65" i="1"/>
  <c r="U65" i="1"/>
  <c r="V65" i="1"/>
  <c r="AB65" i="1"/>
  <c r="AD65" i="1"/>
  <c r="AE65" i="1"/>
  <c r="AI65" i="1"/>
  <c r="AJ65" i="1"/>
  <c r="AK65" i="1"/>
  <c r="AP65" i="1"/>
  <c r="AR65" i="1"/>
  <c r="AY65" i="1"/>
  <c r="BE65" i="1"/>
  <c r="BF65" i="1"/>
  <c r="C66" i="1"/>
  <c r="D66" i="1"/>
  <c r="E66" i="1"/>
  <c r="F66" i="1"/>
  <c r="G66" i="1"/>
  <c r="H66" i="1"/>
  <c r="L66" i="1"/>
  <c r="M66" i="1"/>
  <c r="N66" i="1"/>
  <c r="O66" i="1"/>
  <c r="P66" i="1"/>
  <c r="Q66" i="1"/>
  <c r="R66" i="1"/>
  <c r="S66" i="1"/>
  <c r="T66" i="1"/>
  <c r="U66" i="1"/>
  <c r="V66" i="1"/>
  <c r="AB66" i="1"/>
  <c r="AD66" i="1"/>
  <c r="AE66" i="1"/>
  <c r="AI66" i="1"/>
  <c r="AJ66" i="1"/>
  <c r="AK66" i="1"/>
  <c r="AP66" i="1"/>
  <c r="AR66" i="1"/>
  <c r="AY66" i="1"/>
  <c r="BE66" i="1"/>
  <c r="BF66" i="1"/>
  <c r="C67" i="1"/>
  <c r="D67" i="1"/>
  <c r="E67" i="1"/>
  <c r="F67" i="1"/>
  <c r="G67" i="1"/>
  <c r="H67" i="1"/>
  <c r="L67" i="1"/>
  <c r="M67" i="1"/>
  <c r="N67" i="1"/>
  <c r="O67" i="1"/>
  <c r="P67" i="1"/>
  <c r="Q67" i="1"/>
  <c r="R67" i="1"/>
  <c r="S67" i="1"/>
  <c r="T67" i="1"/>
  <c r="U67" i="1"/>
  <c r="V67" i="1"/>
  <c r="AB67" i="1"/>
  <c r="AD67" i="1"/>
  <c r="AE67" i="1"/>
  <c r="AI67" i="1"/>
  <c r="AJ67" i="1"/>
  <c r="AK67" i="1"/>
  <c r="AP67" i="1"/>
  <c r="AR67" i="1"/>
  <c r="AY67" i="1"/>
  <c r="BE67" i="1"/>
  <c r="BF67" i="1"/>
  <c r="C418" i="1"/>
  <c r="D418" i="1"/>
  <c r="E418" i="1"/>
  <c r="F418" i="1"/>
  <c r="G418" i="1"/>
  <c r="H418" i="1"/>
  <c r="L418" i="1"/>
  <c r="M418" i="1"/>
  <c r="N418" i="1"/>
  <c r="O418" i="1"/>
  <c r="P418" i="1"/>
  <c r="Q418" i="1"/>
  <c r="R418" i="1"/>
  <c r="S418" i="1"/>
  <c r="T418" i="1"/>
  <c r="U418" i="1"/>
  <c r="V418" i="1"/>
  <c r="AB418" i="1"/>
  <c r="AD418" i="1"/>
  <c r="AE418" i="1"/>
  <c r="AI418" i="1"/>
  <c r="AJ418" i="1"/>
  <c r="AK418" i="1"/>
  <c r="AP418" i="1"/>
  <c r="AR418" i="1"/>
  <c r="AY418" i="1"/>
  <c r="BE418" i="1"/>
  <c r="BF418" i="1"/>
  <c r="C419" i="1"/>
  <c r="D419" i="1"/>
  <c r="E419" i="1"/>
  <c r="F419" i="1"/>
  <c r="G419" i="1"/>
  <c r="H419" i="1"/>
  <c r="L419" i="1"/>
  <c r="M419" i="1"/>
  <c r="N419" i="1"/>
  <c r="O419" i="1"/>
  <c r="P419" i="1"/>
  <c r="Q419" i="1"/>
  <c r="R419" i="1"/>
  <c r="S419" i="1"/>
  <c r="T419" i="1"/>
  <c r="U419" i="1"/>
  <c r="V419" i="1"/>
  <c r="AB419" i="1"/>
  <c r="AD419" i="1"/>
  <c r="AE419" i="1"/>
  <c r="AI419" i="1"/>
  <c r="AJ419" i="1"/>
  <c r="AK419" i="1"/>
  <c r="AP419" i="1"/>
  <c r="AR419" i="1"/>
  <c r="AY419" i="1"/>
  <c r="BE419" i="1"/>
  <c r="BF419" i="1"/>
  <c r="C420" i="1"/>
  <c r="D420" i="1"/>
  <c r="E420" i="1"/>
  <c r="F420" i="1"/>
  <c r="G420" i="1"/>
  <c r="H420" i="1"/>
  <c r="L420" i="1"/>
  <c r="M420" i="1"/>
  <c r="N420" i="1"/>
  <c r="O420" i="1"/>
  <c r="P420" i="1"/>
  <c r="Q420" i="1"/>
  <c r="R420" i="1"/>
  <c r="S420" i="1"/>
  <c r="T420" i="1"/>
  <c r="U420" i="1"/>
  <c r="V420" i="1"/>
  <c r="AB420" i="1"/>
  <c r="AD420" i="1"/>
  <c r="AE420" i="1"/>
  <c r="AI420" i="1"/>
  <c r="AJ420" i="1"/>
  <c r="AK420" i="1"/>
  <c r="AP420" i="1"/>
  <c r="AR420" i="1"/>
  <c r="AY420" i="1"/>
  <c r="BE420" i="1"/>
  <c r="BF420" i="1"/>
  <c r="C421" i="1"/>
  <c r="D421" i="1"/>
  <c r="E421" i="1"/>
  <c r="F421" i="1"/>
  <c r="G421" i="1"/>
  <c r="H421" i="1"/>
  <c r="L421" i="1"/>
  <c r="M421" i="1"/>
  <c r="N421" i="1"/>
  <c r="O421" i="1"/>
  <c r="P421" i="1"/>
  <c r="Q421" i="1"/>
  <c r="R421" i="1"/>
  <c r="S421" i="1"/>
  <c r="T421" i="1"/>
  <c r="U421" i="1"/>
  <c r="V421" i="1"/>
  <c r="AB421" i="1"/>
  <c r="AD421" i="1"/>
  <c r="AE421" i="1"/>
  <c r="AI421" i="1"/>
  <c r="AJ421" i="1"/>
  <c r="AK421" i="1"/>
  <c r="AP421" i="1"/>
  <c r="AR421" i="1"/>
  <c r="AY421" i="1"/>
  <c r="BE421" i="1"/>
  <c r="BF421" i="1"/>
  <c r="C422" i="1"/>
  <c r="D422" i="1"/>
  <c r="E422" i="1"/>
  <c r="F422" i="1"/>
  <c r="G422" i="1"/>
  <c r="H422" i="1"/>
  <c r="L422" i="1"/>
  <c r="M422" i="1"/>
  <c r="N422" i="1"/>
  <c r="O422" i="1"/>
  <c r="P422" i="1"/>
  <c r="Q422" i="1"/>
  <c r="R422" i="1"/>
  <c r="S422" i="1"/>
  <c r="T422" i="1"/>
  <c r="U422" i="1"/>
  <c r="V422" i="1"/>
  <c r="AB422" i="1"/>
  <c r="AD422" i="1"/>
  <c r="AE422" i="1"/>
  <c r="AI422" i="1"/>
  <c r="AJ422" i="1"/>
  <c r="AK422" i="1"/>
  <c r="AP422" i="1"/>
  <c r="AR422" i="1"/>
  <c r="AY422" i="1"/>
  <c r="BE422" i="1"/>
  <c r="BF422" i="1"/>
  <c r="C423" i="1"/>
  <c r="D423" i="1"/>
  <c r="E423" i="1"/>
  <c r="F423" i="1"/>
  <c r="G423" i="1"/>
  <c r="H423" i="1"/>
  <c r="L423" i="1"/>
  <c r="M423" i="1"/>
  <c r="N423" i="1"/>
  <c r="O423" i="1"/>
  <c r="P423" i="1"/>
  <c r="Q423" i="1"/>
  <c r="R423" i="1"/>
  <c r="S423" i="1"/>
  <c r="T423" i="1"/>
  <c r="U423" i="1"/>
  <c r="V423" i="1"/>
  <c r="AB423" i="1"/>
  <c r="AD423" i="1"/>
  <c r="AE423" i="1"/>
  <c r="AI423" i="1"/>
  <c r="AJ423" i="1"/>
  <c r="AK423" i="1"/>
  <c r="AP423" i="1"/>
  <c r="AR423" i="1"/>
  <c r="AY423" i="1"/>
  <c r="BE423" i="1"/>
  <c r="BF423" i="1"/>
  <c r="C424" i="1"/>
  <c r="D424" i="1"/>
  <c r="E424" i="1"/>
  <c r="F424" i="1"/>
  <c r="G424" i="1"/>
  <c r="H424" i="1"/>
  <c r="L424" i="1"/>
  <c r="M424" i="1"/>
  <c r="N424" i="1"/>
  <c r="O424" i="1"/>
  <c r="P424" i="1"/>
  <c r="Q424" i="1"/>
  <c r="R424" i="1"/>
  <c r="S424" i="1"/>
  <c r="T424" i="1"/>
  <c r="U424" i="1"/>
  <c r="V424" i="1"/>
  <c r="AB424" i="1"/>
  <c r="AD424" i="1"/>
  <c r="AE424" i="1"/>
  <c r="AI424" i="1"/>
  <c r="AJ424" i="1"/>
  <c r="AK424" i="1"/>
  <c r="AP424" i="1"/>
  <c r="AR424" i="1"/>
  <c r="AY424" i="1"/>
  <c r="BE424" i="1"/>
  <c r="BF424" i="1"/>
  <c r="C68" i="1"/>
  <c r="D68" i="1"/>
  <c r="E68" i="1"/>
  <c r="F68" i="1"/>
  <c r="G68" i="1"/>
  <c r="H68" i="1"/>
  <c r="L68" i="1"/>
  <c r="M68" i="1"/>
  <c r="N68" i="1"/>
  <c r="O68" i="1"/>
  <c r="P68" i="1"/>
  <c r="Q68" i="1"/>
  <c r="R68" i="1"/>
  <c r="S68" i="1"/>
  <c r="T68" i="1"/>
  <c r="U68" i="1"/>
  <c r="V68" i="1"/>
  <c r="AD68" i="1"/>
  <c r="AE68" i="1"/>
  <c r="AI68" i="1"/>
  <c r="AJ68" i="1"/>
  <c r="AK68" i="1"/>
  <c r="AP68" i="1"/>
  <c r="AR68" i="1"/>
  <c r="AY68" i="1"/>
  <c r="BE68" i="1"/>
  <c r="BF68" i="1"/>
  <c r="C69" i="1"/>
  <c r="D69" i="1"/>
  <c r="E69" i="1"/>
  <c r="F69" i="1"/>
  <c r="G69" i="1"/>
  <c r="H69" i="1"/>
  <c r="L69" i="1"/>
  <c r="M69" i="1"/>
  <c r="N69" i="1"/>
  <c r="O69" i="1"/>
  <c r="P69" i="1"/>
  <c r="Q69" i="1"/>
  <c r="R69" i="1"/>
  <c r="S69" i="1"/>
  <c r="T69" i="1"/>
  <c r="U69" i="1"/>
  <c r="V69" i="1"/>
  <c r="AD69" i="1"/>
  <c r="AE69" i="1"/>
  <c r="AI69" i="1"/>
  <c r="AJ69" i="1"/>
  <c r="AK69" i="1"/>
  <c r="AP69" i="1"/>
  <c r="AR69" i="1"/>
  <c r="AY69" i="1"/>
  <c r="BE69" i="1"/>
  <c r="BF69" i="1"/>
  <c r="C70" i="1"/>
  <c r="D70" i="1"/>
  <c r="E70" i="1"/>
  <c r="F70" i="1"/>
  <c r="G70" i="1"/>
  <c r="H70" i="1"/>
  <c r="L70" i="1"/>
  <c r="M70" i="1"/>
  <c r="N70" i="1"/>
  <c r="O70" i="1"/>
  <c r="P70" i="1"/>
  <c r="Q70" i="1"/>
  <c r="R70" i="1"/>
  <c r="S70" i="1"/>
  <c r="T70" i="1"/>
  <c r="U70" i="1"/>
  <c r="V70" i="1"/>
  <c r="AD70" i="1"/>
  <c r="AE70" i="1"/>
  <c r="AI70" i="1"/>
  <c r="AJ70" i="1"/>
  <c r="AK70" i="1"/>
  <c r="AP70" i="1"/>
  <c r="AR70" i="1"/>
  <c r="AY70" i="1"/>
  <c r="BE70" i="1"/>
  <c r="BF70" i="1"/>
  <c r="C71" i="1"/>
  <c r="D71" i="1"/>
  <c r="E71" i="1"/>
  <c r="F71" i="1"/>
  <c r="G71" i="1"/>
  <c r="H71" i="1"/>
  <c r="L71" i="1"/>
  <c r="M71" i="1"/>
  <c r="N71" i="1"/>
  <c r="O71" i="1"/>
  <c r="P71" i="1"/>
  <c r="Q71" i="1"/>
  <c r="R71" i="1"/>
  <c r="S71" i="1"/>
  <c r="T71" i="1"/>
  <c r="U71" i="1"/>
  <c r="V71" i="1"/>
  <c r="AD71" i="1"/>
  <c r="AE71" i="1"/>
  <c r="AI71" i="1"/>
  <c r="AJ71" i="1"/>
  <c r="AK71" i="1"/>
  <c r="AP71" i="1"/>
  <c r="AR71" i="1"/>
  <c r="AY71" i="1"/>
  <c r="BE71" i="1"/>
  <c r="BF71" i="1"/>
  <c r="C72" i="1"/>
  <c r="D72" i="1"/>
  <c r="E72" i="1"/>
  <c r="F72" i="1"/>
  <c r="G72" i="1"/>
  <c r="H72" i="1"/>
  <c r="L72" i="1"/>
  <c r="M72" i="1"/>
  <c r="N72" i="1"/>
  <c r="O72" i="1"/>
  <c r="P72" i="1"/>
  <c r="Q72" i="1"/>
  <c r="R72" i="1"/>
  <c r="S72" i="1"/>
  <c r="T72" i="1"/>
  <c r="U72" i="1"/>
  <c r="V72" i="1"/>
  <c r="AB72" i="1"/>
  <c r="AD72" i="1"/>
  <c r="AE72" i="1"/>
  <c r="AI72" i="1"/>
  <c r="AJ72" i="1"/>
  <c r="AK72" i="1"/>
  <c r="AP72" i="1"/>
  <c r="AR72" i="1"/>
  <c r="AY72" i="1"/>
  <c r="BE72" i="1"/>
  <c r="BF72" i="1"/>
  <c r="C73" i="1"/>
  <c r="D73" i="1"/>
  <c r="E73" i="1"/>
  <c r="F73" i="1"/>
  <c r="G73" i="1"/>
  <c r="H73" i="1"/>
  <c r="L73" i="1"/>
  <c r="M73" i="1"/>
  <c r="N73" i="1"/>
  <c r="O73" i="1"/>
  <c r="P73" i="1"/>
  <c r="Q73" i="1"/>
  <c r="R73" i="1"/>
  <c r="S73" i="1"/>
  <c r="T73" i="1"/>
  <c r="U73" i="1"/>
  <c r="V73" i="1"/>
  <c r="AB73" i="1"/>
  <c r="AD73" i="1"/>
  <c r="AE73" i="1"/>
  <c r="AI73" i="1"/>
  <c r="AJ73" i="1"/>
  <c r="AK73" i="1"/>
  <c r="AP73" i="1"/>
  <c r="AR73" i="1"/>
  <c r="AY73" i="1"/>
  <c r="BE73" i="1"/>
  <c r="BF73" i="1"/>
  <c r="C74" i="1"/>
  <c r="D74" i="1"/>
  <c r="E74" i="1"/>
  <c r="F74" i="1"/>
  <c r="G74" i="1"/>
  <c r="H74" i="1"/>
  <c r="L74" i="1"/>
  <c r="M74" i="1"/>
  <c r="N74" i="1"/>
  <c r="O74" i="1"/>
  <c r="P74" i="1"/>
  <c r="Q74" i="1"/>
  <c r="R74" i="1"/>
  <c r="S74" i="1"/>
  <c r="T74" i="1"/>
  <c r="U74" i="1"/>
  <c r="V74" i="1"/>
  <c r="AB74" i="1"/>
  <c r="AD74" i="1"/>
  <c r="AE74" i="1"/>
  <c r="AI74" i="1"/>
  <c r="AJ74" i="1"/>
  <c r="AK74" i="1"/>
  <c r="AP74" i="1"/>
  <c r="AR74" i="1"/>
  <c r="AY74" i="1"/>
  <c r="BE74" i="1"/>
  <c r="BF74" i="1"/>
  <c r="C75" i="1"/>
  <c r="D75" i="1"/>
  <c r="E75" i="1"/>
  <c r="F75" i="1"/>
  <c r="G75" i="1"/>
  <c r="H75" i="1"/>
  <c r="L75" i="1"/>
  <c r="M75" i="1"/>
  <c r="N75" i="1"/>
  <c r="O75" i="1"/>
  <c r="P75" i="1"/>
  <c r="Q75" i="1"/>
  <c r="R75" i="1"/>
  <c r="S75" i="1"/>
  <c r="T75" i="1"/>
  <c r="U75" i="1"/>
  <c r="V75" i="1"/>
  <c r="AB75" i="1"/>
  <c r="AD75" i="1"/>
  <c r="AE75" i="1"/>
  <c r="AI75" i="1"/>
  <c r="AJ75" i="1"/>
  <c r="AK75" i="1"/>
  <c r="AP75" i="1"/>
  <c r="AR75" i="1"/>
  <c r="AY75" i="1"/>
  <c r="BE75" i="1"/>
  <c r="BF75" i="1"/>
  <c r="C425" i="1"/>
  <c r="D425" i="1"/>
  <c r="E425" i="1"/>
  <c r="F425" i="1"/>
  <c r="G425" i="1"/>
  <c r="H425" i="1"/>
  <c r="L425" i="1"/>
  <c r="M425" i="1"/>
  <c r="N425" i="1"/>
  <c r="O425" i="1"/>
  <c r="P425" i="1"/>
  <c r="Q425" i="1"/>
  <c r="R425" i="1"/>
  <c r="S425" i="1"/>
  <c r="T425" i="1"/>
  <c r="U425" i="1"/>
  <c r="V425" i="1"/>
  <c r="AD425" i="1"/>
  <c r="AE425" i="1"/>
  <c r="AI425" i="1"/>
  <c r="AJ425" i="1"/>
  <c r="AK425" i="1"/>
  <c r="AP425" i="1"/>
  <c r="AR425" i="1"/>
  <c r="AY425" i="1"/>
  <c r="BE425" i="1"/>
  <c r="BF425" i="1"/>
  <c r="C76" i="1"/>
  <c r="D76" i="1"/>
  <c r="E76" i="1"/>
  <c r="F76" i="1"/>
  <c r="G76" i="1"/>
  <c r="H76" i="1"/>
  <c r="L76" i="1"/>
  <c r="M76" i="1"/>
  <c r="N76" i="1"/>
  <c r="O76" i="1"/>
  <c r="P76" i="1"/>
  <c r="Q76" i="1"/>
  <c r="R76" i="1"/>
  <c r="S76" i="1"/>
  <c r="T76" i="1"/>
  <c r="U76" i="1"/>
  <c r="V76" i="1"/>
  <c r="AD76" i="1"/>
  <c r="AE76" i="1"/>
  <c r="AI76" i="1"/>
  <c r="AJ76" i="1"/>
  <c r="AK76" i="1"/>
  <c r="AP76" i="1"/>
  <c r="AR76" i="1"/>
  <c r="AY76" i="1"/>
  <c r="BE76" i="1"/>
  <c r="BF76" i="1"/>
  <c r="C77" i="1"/>
  <c r="D77" i="1"/>
  <c r="E77" i="1"/>
  <c r="F77" i="1"/>
  <c r="G77" i="1"/>
  <c r="H77" i="1"/>
  <c r="L77" i="1"/>
  <c r="M77" i="1"/>
  <c r="N77" i="1"/>
  <c r="O77" i="1"/>
  <c r="P77" i="1"/>
  <c r="Q77" i="1"/>
  <c r="R77" i="1"/>
  <c r="S77" i="1"/>
  <c r="T77" i="1"/>
  <c r="U77" i="1"/>
  <c r="V77" i="1"/>
  <c r="AD77" i="1"/>
  <c r="AE77" i="1"/>
  <c r="AI77" i="1"/>
  <c r="AJ77" i="1"/>
  <c r="AK77" i="1"/>
  <c r="AP77" i="1"/>
  <c r="AR77" i="1"/>
  <c r="AY77" i="1"/>
  <c r="BE77" i="1"/>
  <c r="BF77" i="1"/>
  <c r="C426" i="1"/>
  <c r="D426" i="1"/>
  <c r="E426" i="1"/>
  <c r="F426" i="1"/>
  <c r="G426" i="1"/>
  <c r="H426" i="1"/>
  <c r="L426" i="1"/>
  <c r="M426" i="1"/>
  <c r="N426" i="1"/>
  <c r="O426" i="1"/>
  <c r="P426" i="1"/>
  <c r="Q426" i="1"/>
  <c r="R426" i="1"/>
  <c r="S426" i="1"/>
  <c r="T426" i="1"/>
  <c r="U426" i="1"/>
  <c r="V426" i="1"/>
  <c r="AD426" i="1"/>
  <c r="AE426" i="1"/>
  <c r="AI426" i="1"/>
  <c r="AJ426" i="1"/>
  <c r="AK426" i="1"/>
  <c r="AP426" i="1"/>
  <c r="AR426" i="1"/>
  <c r="AY426" i="1"/>
  <c r="BE426" i="1"/>
  <c r="BF426" i="1"/>
  <c r="C427" i="1"/>
  <c r="D427" i="1"/>
  <c r="E427" i="1"/>
  <c r="F427" i="1"/>
  <c r="G427" i="1"/>
  <c r="H427" i="1"/>
  <c r="L427" i="1"/>
  <c r="M427" i="1"/>
  <c r="N427" i="1"/>
  <c r="O427" i="1"/>
  <c r="P427" i="1"/>
  <c r="Q427" i="1"/>
  <c r="R427" i="1"/>
  <c r="S427" i="1"/>
  <c r="T427" i="1"/>
  <c r="U427" i="1"/>
  <c r="V427" i="1"/>
  <c r="AD427" i="1"/>
  <c r="AE427" i="1"/>
  <c r="AI427" i="1"/>
  <c r="AJ427" i="1"/>
  <c r="AK427" i="1"/>
  <c r="AP427" i="1"/>
  <c r="AR427" i="1"/>
  <c r="AY427" i="1"/>
  <c r="BE427" i="1"/>
  <c r="BF427" i="1"/>
  <c r="C428" i="1"/>
  <c r="D428" i="1"/>
  <c r="E428" i="1"/>
  <c r="F428" i="1"/>
  <c r="G428" i="1"/>
  <c r="H428" i="1"/>
  <c r="L428" i="1"/>
  <c r="M428" i="1"/>
  <c r="N428" i="1"/>
  <c r="O428" i="1"/>
  <c r="P428" i="1"/>
  <c r="Q428" i="1"/>
  <c r="R428" i="1"/>
  <c r="S428" i="1"/>
  <c r="T428" i="1"/>
  <c r="U428" i="1"/>
  <c r="V428" i="1"/>
  <c r="AD428" i="1"/>
  <c r="AE428" i="1"/>
  <c r="AI428" i="1"/>
  <c r="AJ428" i="1"/>
  <c r="AK428" i="1"/>
  <c r="AP428" i="1"/>
  <c r="AR428" i="1"/>
  <c r="AY428" i="1"/>
  <c r="BE428" i="1"/>
  <c r="BF428" i="1"/>
  <c r="C429" i="1"/>
  <c r="D429" i="1"/>
  <c r="E429" i="1"/>
  <c r="F429" i="1"/>
  <c r="G429" i="1"/>
  <c r="H429" i="1"/>
  <c r="L429" i="1"/>
  <c r="M429" i="1"/>
  <c r="N429" i="1"/>
  <c r="O429" i="1"/>
  <c r="P429" i="1"/>
  <c r="Q429" i="1"/>
  <c r="R429" i="1"/>
  <c r="S429" i="1"/>
  <c r="T429" i="1"/>
  <c r="U429" i="1"/>
  <c r="V429" i="1"/>
  <c r="AD429" i="1"/>
  <c r="AE429" i="1"/>
  <c r="AI429" i="1"/>
  <c r="AJ429" i="1"/>
  <c r="AK429" i="1"/>
  <c r="AP429" i="1"/>
  <c r="AR429" i="1"/>
  <c r="AY429" i="1"/>
  <c r="BE429" i="1"/>
  <c r="BF429" i="1"/>
  <c r="C78" i="1"/>
  <c r="D78" i="1"/>
  <c r="E78" i="1"/>
  <c r="F78" i="1"/>
  <c r="G78" i="1"/>
  <c r="H78" i="1"/>
  <c r="L78" i="1"/>
  <c r="M78" i="1"/>
  <c r="N78" i="1"/>
  <c r="O78" i="1"/>
  <c r="P78" i="1"/>
  <c r="Q78" i="1"/>
  <c r="R78" i="1"/>
  <c r="S78" i="1"/>
  <c r="T78" i="1"/>
  <c r="U78" i="1"/>
  <c r="V78" i="1"/>
  <c r="AD78" i="1"/>
  <c r="AE78" i="1"/>
  <c r="AI78" i="1"/>
  <c r="AJ78" i="1"/>
  <c r="AK78" i="1"/>
  <c r="AP78" i="1"/>
  <c r="AR78" i="1"/>
  <c r="AY78" i="1"/>
  <c r="BE78" i="1"/>
  <c r="BF78" i="1"/>
  <c r="C430" i="1"/>
  <c r="D430" i="1"/>
  <c r="E430" i="1"/>
  <c r="F430" i="1"/>
  <c r="G430" i="1"/>
  <c r="H430" i="1"/>
  <c r="L430" i="1"/>
  <c r="M430" i="1"/>
  <c r="N430" i="1"/>
  <c r="O430" i="1"/>
  <c r="P430" i="1"/>
  <c r="Q430" i="1"/>
  <c r="R430" i="1"/>
  <c r="S430" i="1"/>
  <c r="T430" i="1"/>
  <c r="U430" i="1"/>
  <c r="V430" i="1"/>
  <c r="AD430" i="1"/>
  <c r="AE430" i="1"/>
  <c r="AI430" i="1"/>
  <c r="AJ430" i="1"/>
  <c r="AK430" i="1"/>
  <c r="AP430" i="1"/>
  <c r="AR430" i="1"/>
  <c r="AY430" i="1"/>
  <c r="BE430" i="1"/>
  <c r="BF430" i="1"/>
  <c r="C79" i="1"/>
  <c r="D79" i="1"/>
  <c r="E79" i="1"/>
  <c r="F79" i="1"/>
  <c r="G79" i="1"/>
  <c r="H79" i="1"/>
  <c r="L79" i="1"/>
  <c r="M79" i="1"/>
  <c r="N79" i="1"/>
  <c r="O79" i="1"/>
  <c r="P79" i="1"/>
  <c r="Q79" i="1"/>
  <c r="R79" i="1"/>
  <c r="S79" i="1"/>
  <c r="T79" i="1"/>
  <c r="U79" i="1"/>
  <c r="V79" i="1"/>
  <c r="AD79" i="1"/>
  <c r="AE79" i="1"/>
  <c r="AI79" i="1"/>
  <c r="AJ79" i="1"/>
  <c r="AK79" i="1"/>
  <c r="AP79" i="1"/>
  <c r="AR79" i="1"/>
  <c r="AY79" i="1"/>
  <c r="BE79" i="1"/>
  <c r="BF79" i="1"/>
  <c r="C80" i="1"/>
  <c r="D80" i="1"/>
  <c r="E80" i="1"/>
  <c r="F80" i="1"/>
  <c r="G80" i="1"/>
  <c r="H80" i="1"/>
  <c r="L80" i="1"/>
  <c r="M80" i="1"/>
  <c r="N80" i="1"/>
  <c r="O80" i="1"/>
  <c r="P80" i="1"/>
  <c r="Q80" i="1"/>
  <c r="R80" i="1"/>
  <c r="S80" i="1"/>
  <c r="T80" i="1"/>
  <c r="U80" i="1"/>
  <c r="V80" i="1"/>
  <c r="AD80" i="1"/>
  <c r="AE80" i="1"/>
  <c r="AI80" i="1"/>
  <c r="AJ80" i="1"/>
  <c r="AK80" i="1"/>
  <c r="AP80" i="1"/>
  <c r="AR80" i="1"/>
  <c r="AY80" i="1"/>
  <c r="BE80" i="1"/>
  <c r="BF80" i="1"/>
  <c r="C81" i="1"/>
  <c r="D81" i="1"/>
  <c r="E81" i="1"/>
  <c r="F81" i="1"/>
  <c r="G81" i="1"/>
  <c r="H81" i="1"/>
  <c r="L81" i="1"/>
  <c r="M81" i="1"/>
  <c r="N81" i="1"/>
  <c r="O81" i="1"/>
  <c r="P81" i="1"/>
  <c r="Q81" i="1"/>
  <c r="R81" i="1"/>
  <c r="S81" i="1"/>
  <c r="T81" i="1"/>
  <c r="U81" i="1"/>
  <c r="V81" i="1"/>
  <c r="AD81" i="1"/>
  <c r="AE81" i="1"/>
  <c r="AI81" i="1"/>
  <c r="AJ81" i="1"/>
  <c r="AK81" i="1"/>
  <c r="AP81" i="1"/>
  <c r="AR81" i="1"/>
  <c r="AY81" i="1"/>
  <c r="BE81" i="1"/>
  <c r="BF81" i="1"/>
  <c r="C82" i="1"/>
  <c r="D82" i="1"/>
  <c r="E82" i="1"/>
  <c r="F82" i="1"/>
  <c r="G82" i="1"/>
  <c r="H82" i="1"/>
  <c r="L82" i="1"/>
  <c r="M82" i="1"/>
  <c r="N82" i="1"/>
  <c r="O82" i="1"/>
  <c r="P82" i="1"/>
  <c r="Q82" i="1"/>
  <c r="R82" i="1"/>
  <c r="S82" i="1"/>
  <c r="T82" i="1"/>
  <c r="U82" i="1"/>
  <c r="V82" i="1"/>
  <c r="AD82" i="1"/>
  <c r="AE82" i="1"/>
  <c r="AI82" i="1"/>
  <c r="AJ82" i="1"/>
  <c r="AK82" i="1"/>
  <c r="AP82" i="1"/>
  <c r="AR82" i="1"/>
  <c r="AY82" i="1"/>
  <c r="BE82" i="1"/>
  <c r="BF82" i="1"/>
  <c r="C83" i="1"/>
  <c r="D83" i="1"/>
  <c r="E83" i="1"/>
  <c r="F83" i="1"/>
  <c r="G83" i="1"/>
  <c r="H83" i="1"/>
  <c r="L83" i="1"/>
  <c r="M83" i="1"/>
  <c r="N83" i="1"/>
  <c r="O83" i="1"/>
  <c r="P83" i="1"/>
  <c r="Q83" i="1"/>
  <c r="R83" i="1"/>
  <c r="S83" i="1"/>
  <c r="T83" i="1"/>
  <c r="U83" i="1"/>
  <c r="V83" i="1"/>
  <c r="AD83" i="1"/>
  <c r="AE83" i="1"/>
  <c r="AI83" i="1"/>
  <c r="AJ83" i="1"/>
  <c r="AK83" i="1"/>
  <c r="AP83" i="1"/>
  <c r="AR83" i="1"/>
  <c r="AY83" i="1"/>
  <c r="BE83" i="1"/>
  <c r="BF83" i="1"/>
  <c r="C84" i="1"/>
  <c r="D84" i="1"/>
  <c r="E84" i="1"/>
  <c r="F84" i="1"/>
  <c r="G84" i="1"/>
  <c r="H84" i="1"/>
  <c r="L84" i="1"/>
  <c r="M84" i="1"/>
  <c r="N84" i="1"/>
  <c r="O84" i="1"/>
  <c r="P84" i="1"/>
  <c r="Q84" i="1"/>
  <c r="R84" i="1"/>
  <c r="S84" i="1"/>
  <c r="T84" i="1"/>
  <c r="U84" i="1"/>
  <c r="V84" i="1"/>
  <c r="AD84" i="1"/>
  <c r="AE84" i="1"/>
  <c r="AI84" i="1"/>
  <c r="AJ84" i="1"/>
  <c r="AK84" i="1"/>
  <c r="AP84" i="1"/>
  <c r="AR84" i="1"/>
  <c r="AY84" i="1"/>
  <c r="BE84" i="1"/>
  <c r="BF84" i="1"/>
  <c r="C431" i="1"/>
  <c r="D431" i="1"/>
  <c r="E431" i="1"/>
  <c r="F431" i="1"/>
  <c r="G431" i="1"/>
  <c r="H431" i="1"/>
  <c r="L431" i="1"/>
  <c r="M431" i="1"/>
  <c r="N431" i="1"/>
  <c r="O431" i="1"/>
  <c r="P431" i="1"/>
  <c r="Q431" i="1"/>
  <c r="R431" i="1"/>
  <c r="S431" i="1"/>
  <c r="T431" i="1"/>
  <c r="U431" i="1"/>
  <c r="V431" i="1"/>
  <c r="AD431" i="1"/>
  <c r="AE431" i="1"/>
  <c r="AI431" i="1"/>
  <c r="AJ431" i="1"/>
  <c r="AK431" i="1"/>
  <c r="AP431" i="1"/>
  <c r="AR431" i="1"/>
  <c r="AY431" i="1"/>
  <c r="BE431" i="1"/>
  <c r="BF431" i="1"/>
  <c r="C432" i="1"/>
  <c r="D432" i="1"/>
  <c r="E432" i="1"/>
  <c r="F432" i="1"/>
  <c r="G432" i="1"/>
  <c r="H432" i="1"/>
  <c r="L432" i="1"/>
  <c r="M432" i="1"/>
  <c r="N432" i="1"/>
  <c r="O432" i="1"/>
  <c r="P432" i="1"/>
  <c r="Q432" i="1"/>
  <c r="R432" i="1"/>
  <c r="S432" i="1"/>
  <c r="T432" i="1"/>
  <c r="U432" i="1"/>
  <c r="V432" i="1"/>
  <c r="AD432" i="1"/>
  <c r="AE432" i="1"/>
  <c r="AI432" i="1"/>
  <c r="AJ432" i="1"/>
  <c r="AK432" i="1"/>
  <c r="AP432" i="1"/>
  <c r="AR432" i="1"/>
  <c r="AY432" i="1"/>
  <c r="BE432" i="1"/>
  <c r="BF432" i="1"/>
  <c r="C433" i="1"/>
  <c r="D433" i="1"/>
  <c r="E433" i="1"/>
  <c r="F433" i="1"/>
  <c r="G433" i="1"/>
  <c r="H433" i="1"/>
  <c r="L433" i="1"/>
  <c r="M433" i="1"/>
  <c r="N433" i="1"/>
  <c r="O433" i="1"/>
  <c r="P433" i="1"/>
  <c r="Q433" i="1"/>
  <c r="R433" i="1"/>
  <c r="S433" i="1"/>
  <c r="T433" i="1"/>
  <c r="U433" i="1"/>
  <c r="V433" i="1"/>
  <c r="AD433" i="1"/>
  <c r="AE433" i="1"/>
  <c r="AI433" i="1"/>
  <c r="AJ433" i="1"/>
  <c r="AK433" i="1"/>
  <c r="AP433" i="1"/>
  <c r="AR433" i="1"/>
  <c r="AY433" i="1"/>
  <c r="BE433" i="1"/>
  <c r="BF433" i="1"/>
  <c r="C434" i="1"/>
  <c r="D434" i="1"/>
  <c r="E434" i="1"/>
  <c r="F434" i="1"/>
  <c r="G434" i="1"/>
  <c r="H434" i="1"/>
  <c r="L434" i="1"/>
  <c r="M434" i="1"/>
  <c r="N434" i="1"/>
  <c r="O434" i="1"/>
  <c r="P434" i="1"/>
  <c r="Q434" i="1"/>
  <c r="R434" i="1"/>
  <c r="S434" i="1"/>
  <c r="T434" i="1"/>
  <c r="U434" i="1"/>
  <c r="V434" i="1"/>
  <c r="AD434" i="1"/>
  <c r="AE434" i="1"/>
  <c r="AI434" i="1"/>
  <c r="AJ434" i="1"/>
  <c r="AK434" i="1"/>
  <c r="AP434" i="1"/>
  <c r="AR434" i="1"/>
  <c r="AY434" i="1"/>
  <c r="BE434" i="1"/>
  <c r="BF434" i="1"/>
  <c r="C435" i="1"/>
  <c r="D435" i="1"/>
  <c r="E435" i="1"/>
  <c r="F435" i="1"/>
  <c r="G435" i="1"/>
  <c r="H435" i="1"/>
  <c r="L435" i="1"/>
  <c r="M435" i="1"/>
  <c r="N435" i="1"/>
  <c r="O435" i="1"/>
  <c r="P435" i="1"/>
  <c r="Q435" i="1"/>
  <c r="R435" i="1"/>
  <c r="S435" i="1"/>
  <c r="T435" i="1"/>
  <c r="U435" i="1"/>
  <c r="V435" i="1"/>
  <c r="AD435" i="1"/>
  <c r="AE435" i="1"/>
  <c r="AI435" i="1"/>
  <c r="AJ435" i="1"/>
  <c r="AK435" i="1"/>
  <c r="AP435" i="1"/>
  <c r="AR435" i="1"/>
  <c r="AY435" i="1"/>
  <c r="BE435" i="1"/>
  <c r="BF435" i="1"/>
  <c r="C436" i="1"/>
  <c r="D436" i="1"/>
  <c r="E436" i="1"/>
  <c r="F436" i="1"/>
  <c r="G436" i="1"/>
  <c r="H436" i="1"/>
  <c r="L436" i="1"/>
  <c r="M436" i="1"/>
  <c r="N436" i="1"/>
  <c r="O436" i="1"/>
  <c r="P436" i="1"/>
  <c r="Q436" i="1"/>
  <c r="R436" i="1"/>
  <c r="S436" i="1"/>
  <c r="T436" i="1"/>
  <c r="U436" i="1"/>
  <c r="V436" i="1"/>
  <c r="AD436" i="1"/>
  <c r="AE436" i="1"/>
  <c r="AI436" i="1"/>
  <c r="AJ436" i="1"/>
  <c r="AK436" i="1"/>
  <c r="AP436" i="1"/>
  <c r="AR436" i="1"/>
  <c r="AY436" i="1"/>
  <c r="BE436" i="1"/>
  <c r="BF436" i="1"/>
  <c r="C437" i="1"/>
  <c r="D437" i="1"/>
  <c r="E437" i="1"/>
  <c r="F437" i="1"/>
  <c r="G437" i="1"/>
  <c r="H437" i="1"/>
  <c r="L437" i="1"/>
  <c r="M437" i="1"/>
  <c r="N437" i="1"/>
  <c r="O437" i="1"/>
  <c r="P437" i="1"/>
  <c r="Q437" i="1"/>
  <c r="R437" i="1"/>
  <c r="S437" i="1"/>
  <c r="T437" i="1"/>
  <c r="U437" i="1"/>
  <c r="V437" i="1"/>
  <c r="AD437" i="1"/>
  <c r="AE437" i="1"/>
  <c r="AI437" i="1"/>
  <c r="AJ437" i="1"/>
  <c r="AK437" i="1"/>
  <c r="AP437" i="1"/>
  <c r="AR437" i="1"/>
  <c r="AY437" i="1"/>
  <c r="BE437" i="1"/>
  <c r="BF437" i="1"/>
  <c r="C438" i="1"/>
  <c r="D438" i="1"/>
  <c r="E438" i="1"/>
  <c r="F438" i="1"/>
  <c r="G438" i="1"/>
  <c r="H438" i="1"/>
  <c r="L438" i="1"/>
  <c r="M438" i="1"/>
  <c r="N438" i="1"/>
  <c r="O438" i="1"/>
  <c r="P438" i="1"/>
  <c r="Q438" i="1"/>
  <c r="R438" i="1"/>
  <c r="S438" i="1"/>
  <c r="T438" i="1"/>
  <c r="U438" i="1"/>
  <c r="V438" i="1"/>
  <c r="AD438" i="1"/>
  <c r="AE438" i="1"/>
  <c r="AI438" i="1"/>
  <c r="AJ438" i="1"/>
  <c r="AK438" i="1"/>
  <c r="AP438" i="1"/>
  <c r="AR438" i="1"/>
  <c r="AY438" i="1"/>
  <c r="BE438" i="1"/>
  <c r="BF438" i="1"/>
  <c r="C439" i="1"/>
  <c r="D439" i="1"/>
  <c r="E439" i="1"/>
  <c r="F439" i="1"/>
  <c r="G439" i="1"/>
  <c r="H439" i="1"/>
  <c r="L439" i="1"/>
  <c r="M439" i="1"/>
  <c r="N439" i="1"/>
  <c r="O439" i="1"/>
  <c r="P439" i="1"/>
  <c r="Q439" i="1"/>
  <c r="R439" i="1"/>
  <c r="S439" i="1"/>
  <c r="T439" i="1"/>
  <c r="U439" i="1"/>
  <c r="V439" i="1"/>
  <c r="AD439" i="1"/>
  <c r="AE439" i="1"/>
  <c r="AI439" i="1"/>
  <c r="AJ439" i="1"/>
  <c r="AK439" i="1"/>
  <c r="AP439" i="1"/>
  <c r="AR439" i="1"/>
  <c r="AY439" i="1"/>
  <c r="BE439" i="1"/>
  <c r="BF439" i="1"/>
  <c r="C440" i="1"/>
  <c r="D440" i="1"/>
  <c r="E440" i="1"/>
  <c r="F440" i="1"/>
  <c r="G440" i="1"/>
  <c r="H440" i="1"/>
  <c r="L440" i="1"/>
  <c r="M440" i="1"/>
  <c r="N440" i="1"/>
  <c r="O440" i="1"/>
  <c r="P440" i="1"/>
  <c r="Q440" i="1"/>
  <c r="R440" i="1"/>
  <c r="S440" i="1"/>
  <c r="T440" i="1"/>
  <c r="U440" i="1"/>
  <c r="V440" i="1"/>
  <c r="AD440" i="1"/>
  <c r="AE440" i="1"/>
  <c r="AI440" i="1"/>
  <c r="AJ440" i="1"/>
  <c r="AK440" i="1"/>
  <c r="AP440" i="1"/>
  <c r="AR440" i="1"/>
  <c r="AY440" i="1"/>
  <c r="BE440" i="1"/>
  <c r="BF440" i="1"/>
  <c r="C441" i="1"/>
  <c r="D441" i="1"/>
  <c r="E441" i="1"/>
  <c r="F441" i="1"/>
  <c r="G441" i="1"/>
  <c r="H441" i="1"/>
  <c r="L441" i="1"/>
  <c r="M441" i="1"/>
  <c r="N441" i="1"/>
  <c r="O441" i="1"/>
  <c r="P441" i="1"/>
  <c r="Q441" i="1"/>
  <c r="R441" i="1"/>
  <c r="S441" i="1"/>
  <c r="T441" i="1"/>
  <c r="U441" i="1"/>
  <c r="V441" i="1"/>
  <c r="AD441" i="1"/>
  <c r="AE441" i="1"/>
  <c r="AI441" i="1"/>
  <c r="AJ441" i="1"/>
  <c r="AK441" i="1"/>
  <c r="AP441" i="1"/>
  <c r="AR441" i="1"/>
  <c r="AY441" i="1"/>
  <c r="BE441" i="1"/>
  <c r="BF441" i="1"/>
  <c r="C442" i="1"/>
  <c r="D442" i="1"/>
  <c r="E442" i="1"/>
  <c r="F442" i="1"/>
  <c r="G442" i="1"/>
  <c r="H442" i="1"/>
  <c r="L442" i="1"/>
  <c r="M442" i="1"/>
  <c r="N442" i="1"/>
  <c r="O442" i="1"/>
  <c r="P442" i="1"/>
  <c r="Q442" i="1"/>
  <c r="R442" i="1"/>
  <c r="S442" i="1"/>
  <c r="T442" i="1"/>
  <c r="U442" i="1"/>
  <c r="V442" i="1"/>
  <c r="AD442" i="1"/>
  <c r="AE442" i="1"/>
  <c r="AI442" i="1"/>
  <c r="AJ442" i="1"/>
  <c r="AK442" i="1"/>
  <c r="AP442" i="1"/>
  <c r="AR442" i="1"/>
  <c r="AY442" i="1"/>
  <c r="BE442" i="1"/>
  <c r="BF442" i="1"/>
  <c r="C443" i="1"/>
  <c r="D443" i="1"/>
  <c r="E443" i="1"/>
  <c r="F443" i="1"/>
  <c r="G443" i="1"/>
  <c r="H443" i="1"/>
  <c r="L443" i="1"/>
  <c r="M443" i="1"/>
  <c r="N443" i="1"/>
  <c r="O443" i="1"/>
  <c r="P443" i="1"/>
  <c r="Q443" i="1"/>
  <c r="R443" i="1"/>
  <c r="S443" i="1"/>
  <c r="T443" i="1"/>
  <c r="U443" i="1"/>
  <c r="V443" i="1"/>
  <c r="AD443" i="1"/>
  <c r="AE443" i="1"/>
  <c r="AI443" i="1"/>
  <c r="AJ443" i="1"/>
  <c r="AK443" i="1"/>
  <c r="AP443" i="1"/>
  <c r="AR443" i="1"/>
  <c r="AY443" i="1"/>
  <c r="BE443" i="1"/>
  <c r="BF443" i="1"/>
  <c r="C85" i="1"/>
  <c r="D85" i="1"/>
  <c r="E85" i="1"/>
  <c r="F85" i="1"/>
  <c r="G85" i="1"/>
  <c r="H85" i="1"/>
  <c r="L85" i="1"/>
  <c r="M85" i="1"/>
  <c r="N85" i="1"/>
  <c r="O85" i="1"/>
  <c r="P85" i="1"/>
  <c r="Q85" i="1"/>
  <c r="R85" i="1"/>
  <c r="S85" i="1"/>
  <c r="T85" i="1"/>
  <c r="U85" i="1"/>
  <c r="V85" i="1"/>
  <c r="AD85" i="1"/>
  <c r="AE85" i="1"/>
  <c r="AI85" i="1"/>
  <c r="AJ85" i="1"/>
  <c r="AK85" i="1"/>
  <c r="AP85" i="1"/>
  <c r="AR85" i="1"/>
  <c r="AY85" i="1"/>
  <c r="BE85" i="1"/>
  <c r="BF85" i="1"/>
  <c r="C444" i="1"/>
  <c r="D444" i="1"/>
  <c r="E444" i="1"/>
  <c r="F444" i="1"/>
  <c r="G444" i="1"/>
  <c r="H444" i="1"/>
  <c r="L444" i="1"/>
  <c r="M444" i="1"/>
  <c r="N444" i="1"/>
  <c r="O444" i="1"/>
  <c r="P444" i="1"/>
  <c r="Q444" i="1"/>
  <c r="R444" i="1"/>
  <c r="S444" i="1"/>
  <c r="T444" i="1"/>
  <c r="U444" i="1"/>
  <c r="V444" i="1"/>
  <c r="AD444" i="1"/>
  <c r="AE444" i="1"/>
  <c r="AI444" i="1"/>
  <c r="AJ444" i="1"/>
  <c r="AK444" i="1"/>
  <c r="AP444" i="1"/>
  <c r="AR444" i="1"/>
  <c r="AY444" i="1"/>
  <c r="BE444" i="1"/>
  <c r="BF444" i="1"/>
  <c r="C445" i="1"/>
  <c r="D445" i="1"/>
  <c r="E445" i="1"/>
  <c r="F445" i="1"/>
  <c r="G445" i="1"/>
  <c r="H445" i="1"/>
  <c r="L445" i="1"/>
  <c r="M445" i="1"/>
  <c r="N445" i="1"/>
  <c r="O445" i="1"/>
  <c r="P445" i="1"/>
  <c r="Q445" i="1"/>
  <c r="R445" i="1"/>
  <c r="S445" i="1"/>
  <c r="T445" i="1"/>
  <c r="U445" i="1"/>
  <c r="V445" i="1"/>
  <c r="AD445" i="1"/>
  <c r="AE445" i="1"/>
  <c r="AI445" i="1"/>
  <c r="AJ445" i="1"/>
  <c r="AK445" i="1"/>
  <c r="AP445" i="1"/>
  <c r="AR445" i="1"/>
  <c r="AY445" i="1"/>
  <c r="BE445" i="1"/>
  <c r="BF445" i="1"/>
  <c r="C446" i="1"/>
  <c r="D446" i="1"/>
  <c r="E446" i="1"/>
  <c r="F446" i="1"/>
  <c r="G446" i="1"/>
  <c r="H446" i="1"/>
  <c r="L446" i="1"/>
  <c r="M446" i="1"/>
  <c r="N446" i="1"/>
  <c r="O446" i="1"/>
  <c r="P446" i="1"/>
  <c r="Q446" i="1"/>
  <c r="R446" i="1"/>
  <c r="S446" i="1"/>
  <c r="T446" i="1"/>
  <c r="U446" i="1"/>
  <c r="V446" i="1"/>
  <c r="AD446" i="1"/>
  <c r="AE446" i="1"/>
  <c r="AI446" i="1"/>
  <c r="AJ446" i="1"/>
  <c r="AK446" i="1"/>
  <c r="AP446" i="1"/>
  <c r="AR446" i="1"/>
  <c r="AY446" i="1"/>
  <c r="BE446" i="1"/>
  <c r="BF446" i="1"/>
  <c r="C447" i="1"/>
  <c r="D447" i="1"/>
  <c r="E447" i="1"/>
  <c r="F447" i="1"/>
  <c r="G447" i="1"/>
  <c r="H447" i="1"/>
  <c r="L447" i="1"/>
  <c r="M447" i="1"/>
  <c r="N447" i="1"/>
  <c r="O447" i="1"/>
  <c r="P447" i="1"/>
  <c r="Q447" i="1"/>
  <c r="R447" i="1"/>
  <c r="S447" i="1"/>
  <c r="T447" i="1"/>
  <c r="U447" i="1"/>
  <c r="V447" i="1"/>
  <c r="AD447" i="1"/>
  <c r="AE447" i="1"/>
  <c r="AI447" i="1"/>
  <c r="AJ447" i="1"/>
  <c r="AK447" i="1"/>
  <c r="AP447" i="1"/>
  <c r="AR447" i="1"/>
  <c r="AY447" i="1"/>
  <c r="BE447" i="1"/>
  <c r="BF447" i="1"/>
  <c r="C448" i="1"/>
  <c r="D448" i="1"/>
  <c r="E448" i="1"/>
  <c r="F448" i="1"/>
  <c r="G448" i="1"/>
  <c r="H448" i="1"/>
  <c r="L448" i="1"/>
  <c r="M448" i="1"/>
  <c r="N448" i="1"/>
  <c r="O448" i="1"/>
  <c r="P448" i="1"/>
  <c r="Q448" i="1"/>
  <c r="R448" i="1"/>
  <c r="S448" i="1"/>
  <c r="T448" i="1"/>
  <c r="U448" i="1"/>
  <c r="V448" i="1"/>
  <c r="AD448" i="1"/>
  <c r="AE448" i="1"/>
  <c r="AI448" i="1"/>
  <c r="AJ448" i="1"/>
  <c r="AK448" i="1"/>
  <c r="AP448" i="1"/>
  <c r="AR448" i="1"/>
  <c r="AY448" i="1"/>
  <c r="BE448" i="1"/>
  <c r="BF448" i="1"/>
  <c r="C449" i="1"/>
  <c r="D449" i="1"/>
  <c r="E449" i="1"/>
  <c r="F449" i="1"/>
  <c r="G449" i="1"/>
  <c r="H449" i="1"/>
  <c r="L449" i="1"/>
  <c r="M449" i="1"/>
  <c r="N449" i="1"/>
  <c r="O449" i="1"/>
  <c r="P449" i="1"/>
  <c r="Q449" i="1"/>
  <c r="R449" i="1"/>
  <c r="S449" i="1"/>
  <c r="T449" i="1"/>
  <c r="U449" i="1"/>
  <c r="V449" i="1"/>
  <c r="AD449" i="1"/>
  <c r="AE449" i="1"/>
  <c r="AI449" i="1"/>
  <c r="AJ449" i="1"/>
  <c r="AK449" i="1"/>
  <c r="AP449" i="1"/>
  <c r="AR449" i="1"/>
  <c r="AY449" i="1"/>
  <c r="BE449" i="1"/>
  <c r="BF449" i="1"/>
  <c r="C450" i="1"/>
  <c r="D450" i="1"/>
  <c r="E450" i="1"/>
  <c r="F450" i="1"/>
  <c r="G450" i="1"/>
  <c r="H450" i="1"/>
  <c r="L450" i="1"/>
  <c r="M450" i="1"/>
  <c r="N450" i="1"/>
  <c r="O450" i="1"/>
  <c r="P450" i="1"/>
  <c r="Q450" i="1"/>
  <c r="R450" i="1"/>
  <c r="S450" i="1"/>
  <c r="T450" i="1"/>
  <c r="U450" i="1"/>
  <c r="V450" i="1"/>
  <c r="AD450" i="1"/>
  <c r="AE450" i="1"/>
  <c r="AI450" i="1"/>
  <c r="AJ450" i="1"/>
  <c r="AK450" i="1"/>
  <c r="AP450" i="1"/>
  <c r="AR450" i="1"/>
  <c r="AY450" i="1"/>
  <c r="BE450" i="1"/>
  <c r="BF450" i="1"/>
  <c r="C451" i="1"/>
  <c r="D451" i="1"/>
  <c r="E451" i="1"/>
  <c r="F451" i="1"/>
  <c r="G451" i="1"/>
  <c r="H451" i="1"/>
  <c r="L451" i="1"/>
  <c r="M451" i="1"/>
  <c r="N451" i="1"/>
  <c r="O451" i="1"/>
  <c r="P451" i="1"/>
  <c r="Q451" i="1"/>
  <c r="R451" i="1"/>
  <c r="S451" i="1"/>
  <c r="T451" i="1"/>
  <c r="U451" i="1"/>
  <c r="V451" i="1"/>
  <c r="AD451" i="1"/>
  <c r="AE451" i="1"/>
  <c r="AI451" i="1"/>
  <c r="AJ451" i="1"/>
  <c r="AK451" i="1"/>
  <c r="AP451" i="1"/>
  <c r="AR451" i="1"/>
  <c r="AY451" i="1"/>
  <c r="BE451" i="1"/>
  <c r="BF451" i="1"/>
  <c r="C452" i="1"/>
  <c r="D452" i="1"/>
  <c r="E452" i="1"/>
  <c r="F452" i="1"/>
  <c r="G452" i="1"/>
  <c r="H452" i="1"/>
  <c r="L452" i="1"/>
  <c r="M452" i="1"/>
  <c r="N452" i="1"/>
  <c r="O452" i="1"/>
  <c r="P452" i="1"/>
  <c r="Q452" i="1"/>
  <c r="R452" i="1"/>
  <c r="S452" i="1"/>
  <c r="T452" i="1"/>
  <c r="U452" i="1"/>
  <c r="V452" i="1"/>
  <c r="AD452" i="1"/>
  <c r="AE452" i="1"/>
  <c r="AI452" i="1"/>
  <c r="AJ452" i="1"/>
  <c r="AK452" i="1"/>
  <c r="AP452" i="1"/>
  <c r="AR452" i="1"/>
  <c r="AY452" i="1"/>
  <c r="BE452" i="1"/>
  <c r="BF452" i="1"/>
  <c r="C453" i="1"/>
  <c r="D453" i="1"/>
  <c r="E453" i="1"/>
  <c r="F453" i="1"/>
  <c r="G453" i="1"/>
  <c r="H453" i="1"/>
  <c r="L453" i="1"/>
  <c r="M453" i="1"/>
  <c r="N453" i="1"/>
  <c r="O453" i="1"/>
  <c r="P453" i="1"/>
  <c r="Q453" i="1"/>
  <c r="R453" i="1"/>
  <c r="S453" i="1"/>
  <c r="T453" i="1"/>
  <c r="U453" i="1"/>
  <c r="V453" i="1"/>
  <c r="AD453" i="1"/>
  <c r="AE453" i="1"/>
  <c r="AI453" i="1"/>
  <c r="AJ453" i="1"/>
  <c r="AK453" i="1"/>
  <c r="AP453" i="1"/>
  <c r="AR453" i="1"/>
  <c r="AY453" i="1"/>
  <c r="BE453" i="1"/>
  <c r="BF453" i="1"/>
  <c r="C454" i="1"/>
  <c r="D454" i="1"/>
  <c r="E454" i="1"/>
  <c r="F454" i="1"/>
  <c r="G454" i="1"/>
  <c r="H454" i="1"/>
  <c r="L454" i="1"/>
  <c r="M454" i="1"/>
  <c r="N454" i="1"/>
  <c r="O454" i="1"/>
  <c r="P454" i="1"/>
  <c r="Q454" i="1"/>
  <c r="R454" i="1"/>
  <c r="S454" i="1"/>
  <c r="T454" i="1"/>
  <c r="U454" i="1"/>
  <c r="V454" i="1"/>
  <c r="AD454" i="1"/>
  <c r="AE454" i="1"/>
  <c r="AI454" i="1"/>
  <c r="AJ454" i="1"/>
  <c r="AK454" i="1"/>
  <c r="AP454" i="1"/>
  <c r="AR454" i="1"/>
  <c r="AY454" i="1"/>
  <c r="BE454" i="1"/>
  <c r="BF454" i="1"/>
  <c r="C455" i="1"/>
  <c r="D455" i="1"/>
  <c r="E455" i="1"/>
  <c r="F455" i="1"/>
  <c r="G455" i="1"/>
  <c r="H455" i="1"/>
  <c r="L455" i="1"/>
  <c r="M455" i="1"/>
  <c r="N455" i="1"/>
  <c r="O455" i="1"/>
  <c r="P455" i="1"/>
  <c r="Q455" i="1"/>
  <c r="R455" i="1"/>
  <c r="S455" i="1"/>
  <c r="T455" i="1"/>
  <c r="U455" i="1"/>
  <c r="V455" i="1"/>
  <c r="AD455" i="1"/>
  <c r="AE455" i="1"/>
  <c r="AI455" i="1"/>
  <c r="AJ455" i="1"/>
  <c r="AK455" i="1"/>
  <c r="AP455" i="1"/>
  <c r="AR455" i="1"/>
  <c r="AY455" i="1"/>
  <c r="BE455" i="1"/>
  <c r="BF455" i="1"/>
  <c r="C456" i="1"/>
  <c r="D456" i="1"/>
  <c r="E456" i="1"/>
  <c r="F456" i="1"/>
  <c r="G456" i="1"/>
  <c r="H456" i="1"/>
  <c r="L456" i="1"/>
  <c r="M456" i="1"/>
  <c r="N456" i="1"/>
  <c r="O456" i="1"/>
  <c r="P456" i="1"/>
  <c r="Q456" i="1"/>
  <c r="R456" i="1"/>
  <c r="S456" i="1"/>
  <c r="T456" i="1"/>
  <c r="U456" i="1"/>
  <c r="V456" i="1"/>
  <c r="AD456" i="1"/>
  <c r="AE456" i="1"/>
  <c r="AI456" i="1"/>
  <c r="AJ456" i="1"/>
  <c r="AK456" i="1"/>
  <c r="AP456" i="1"/>
  <c r="AR456" i="1"/>
  <c r="AY456" i="1"/>
  <c r="BE456" i="1"/>
  <c r="BF456" i="1"/>
  <c r="C457" i="1"/>
  <c r="D457" i="1"/>
  <c r="E457" i="1"/>
  <c r="F457" i="1"/>
  <c r="G457" i="1"/>
  <c r="H457" i="1"/>
  <c r="L457" i="1"/>
  <c r="M457" i="1"/>
  <c r="N457" i="1"/>
  <c r="O457" i="1"/>
  <c r="P457" i="1"/>
  <c r="Q457" i="1"/>
  <c r="R457" i="1"/>
  <c r="S457" i="1"/>
  <c r="T457" i="1"/>
  <c r="U457" i="1"/>
  <c r="V457" i="1"/>
  <c r="AD457" i="1"/>
  <c r="AE457" i="1"/>
  <c r="AI457" i="1"/>
  <c r="AJ457" i="1"/>
  <c r="AK457" i="1"/>
  <c r="AP457" i="1"/>
  <c r="AR457" i="1"/>
  <c r="AY457" i="1"/>
  <c r="BE457" i="1"/>
  <c r="BF457" i="1"/>
  <c r="C86" i="1"/>
  <c r="D86" i="1"/>
  <c r="E86" i="1"/>
  <c r="F86" i="1"/>
  <c r="G86" i="1"/>
  <c r="H86" i="1"/>
  <c r="L86" i="1"/>
  <c r="M86" i="1"/>
  <c r="N86" i="1"/>
  <c r="O86" i="1"/>
  <c r="P86" i="1"/>
  <c r="Q86" i="1"/>
  <c r="R86" i="1"/>
  <c r="S86" i="1"/>
  <c r="T86" i="1"/>
  <c r="U86" i="1"/>
  <c r="V86" i="1"/>
  <c r="AD86" i="1"/>
  <c r="AE86" i="1"/>
  <c r="AI86" i="1"/>
  <c r="AJ86" i="1"/>
  <c r="AK86" i="1"/>
  <c r="AP86" i="1"/>
  <c r="AR86" i="1"/>
  <c r="AY86" i="1"/>
  <c r="BE86" i="1"/>
  <c r="BF86" i="1"/>
  <c r="C87" i="1"/>
  <c r="D87" i="1"/>
  <c r="E87" i="1"/>
  <c r="F87" i="1"/>
  <c r="G87" i="1"/>
  <c r="H87" i="1"/>
  <c r="L87" i="1"/>
  <c r="M87" i="1"/>
  <c r="N87" i="1"/>
  <c r="O87" i="1"/>
  <c r="P87" i="1"/>
  <c r="Q87" i="1"/>
  <c r="R87" i="1"/>
  <c r="S87" i="1"/>
  <c r="T87" i="1"/>
  <c r="U87" i="1"/>
  <c r="V87" i="1"/>
  <c r="AD87" i="1"/>
  <c r="AE87" i="1"/>
  <c r="AI87" i="1"/>
  <c r="AJ87" i="1"/>
  <c r="AK87" i="1"/>
  <c r="AP87" i="1"/>
  <c r="AR87" i="1"/>
  <c r="AY87" i="1"/>
  <c r="BE87" i="1"/>
  <c r="BF87" i="1"/>
  <c r="C88" i="1"/>
  <c r="D88" i="1"/>
  <c r="E88" i="1"/>
  <c r="F88" i="1"/>
  <c r="G88" i="1"/>
  <c r="H88" i="1"/>
  <c r="L88" i="1"/>
  <c r="M88" i="1"/>
  <c r="N88" i="1"/>
  <c r="O88" i="1"/>
  <c r="P88" i="1"/>
  <c r="Q88" i="1"/>
  <c r="R88" i="1"/>
  <c r="S88" i="1"/>
  <c r="T88" i="1"/>
  <c r="U88" i="1"/>
  <c r="V88" i="1"/>
  <c r="AD88" i="1"/>
  <c r="AE88" i="1"/>
  <c r="AI88" i="1"/>
  <c r="AJ88" i="1"/>
  <c r="AK88" i="1"/>
  <c r="AP88" i="1"/>
  <c r="AR88" i="1"/>
  <c r="AY88" i="1"/>
  <c r="BE88" i="1"/>
  <c r="BF88" i="1"/>
  <c r="C458" i="1"/>
  <c r="D458" i="1"/>
  <c r="E458" i="1"/>
  <c r="F458" i="1"/>
  <c r="G458" i="1"/>
  <c r="H458" i="1"/>
  <c r="L458" i="1"/>
  <c r="M458" i="1"/>
  <c r="N458" i="1"/>
  <c r="O458" i="1"/>
  <c r="P458" i="1"/>
  <c r="Q458" i="1"/>
  <c r="R458" i="1"/>
  <c r="S458" i="1"/>
  <c r="T458" i="1"/>
  <c r="U458" i="1"/>
  <c r="V458" i="1"/>
  <c r="AD458" i="1"/>
  <c r="AE458" i="1"/>
  <c r="AI458" i="1"/>
  <c r="AJ458" i="1"/>
  <c r="AK458" i="1"/>
  <c r="AP458" i="1"/>
  <c r="AR458" i="1"/>
  <c r="AY458" i="1"/>
  <c r="BE458" i="1"/>
  <c r="BF458" i="1"/>
  <c r="C459" i="1"/>
  <c r="D459" i="1"/>
  <c r="E459" i="1"/>
  <c r="F459" i="1"/>
  <c r="G459" i="1"/>
  <c r="H459" i="1"/>
  <c r="L459" i="1"/>
  <c r="M459" i="1"/>
  <c r="N459" i="1"/>
  <c r="O459" i="1"/>
  <c r="P459" i="1"/>
  <c r="Q459" i="1"/>
  <c r="R459" i="1"/>
  <c r="S459" i="1"/>
  <c r="T459" i="1"/>
  <c r="U459" i="1"/>
  <c r="V459" i="1"/>
  <c r="AD459" i="1"/>
  <c r="AE459" i="1"/>
  <c r="AI459" i="1"/>
  <c r="AJ459" i="1"/>
  <c r="AK459" i="1"/>
  <c r="AP459" i="1"/>
  <c r="AR459" i="1"/>
  <c r="AY459" i="1"/>
  <c r="BE459" i="1"/>
  <c r="BF459" i="1"/>
  <c r="C460" i="1"/>
  <c r="D460" i="1"/>
  <c r="E460" i="1"/>
  <c r="F460" i="1"/>
  <c r="G460" i="1"/>
  <c r="H460" i="1"/>
  <c r="L460" i="1"/>
  <c r="M460" i="1"/>
  <c r="N460" i="1"/>
  <c r="O460" i="1"/>
  <c r="P460" i="1"/>
  <c r="Q460" i="1"/>
  <c r="R460" i="1"/>
  <c r="S460" i="1"/>
  <c r="T460" i="1"/>
  <c r="U460" i="1"/>
  <c r="V460" i="1"/>
  <c r="AD460" i="1"/>
  <c r="AE460" i="1"/>
  <c r="AI460" i="1"/>
  <c r="AJ460" i="1"/>
  <c r="AK460" i="1"/>
  <c r="AP460" i="1"/>
  <c r="AR460" i="1"/>
  <c r="AY460" i="1"/>
  <c r="BE460" i="1"/>
  <c r="BF460" i="1"/>
  <c r="C461" i="1"/>
  <c r="D461" i="1"/>
  <c r="E461" i="1"/>
  <c r="F461" i="1"/>
  <c r="G461" i="1"/>
  <c r="H461" i="1"/>
  <c r="L461" i="1"/>
  <c r="M461" i="1"/>
  <c r="N461" i="1"/>
  <c r="O461" i="1"/>
  <c r="P461" i="1"/>
  <c r="Q461" i="1"/>
  <c r="R461" i="1"/>
  <c r="S461" i="1"/>
  <c r="T461" i="1"/>
  <c r="U461" i="1"/>
  <c r="V461" i="1"/>
  <c r="AB461" i="1"/>
  <c r="AD461" i="1"/>
  <c r="AE461" i="1"/>
  <c r="AI461" i="1"/>
  <c r="AJ461" i="1"/>
  <c r="AK461" i="1"/>
  <c r="AP461" i="1"/>
  <c r="AR461" i="1"/>
  <c r="AY461" i="1"/>
  <c r="BE461" i="1"/>
  <c r="BF461" i="1"/>
  <c r="C462" i="1"/>
  <c r="D462" i="1"/>
  <c r="E462" i="1"/>
  <c r="F462" i="1"/>
  <c r="G462" i="1"/>
  <c r="H462" i="1"/>
  <c r="L462" i="1"/>
  <c r="M462" i="1"/>
  <c r="N462" i="1"/>
  <c r="O462" i="1"/>
  <c r="P462" i="1"/>
  <c r="Q462" i="1"/>
  <c r="R462" i="1"/>
  <c r="S462" i="1"/>
  <c r="T462" i="1"/>
  <c r="U462" i="1"/>
  <c r="V462" i="1"/>
  <c r="AB462" i="1"/>
  <c r="AD462" i="1"/>
  <c r="AE462" i="1"/>
  <c r="AI462" i="1"/>
  <c r="AJ462" i="1"/>
  <c r="AK462" i="1"/>
  <c r="AP462" i="1"/>
  <c r="AR462" i="1"/>
  <c r="AY462" i="1"/>
  <c r="BE462" i="1"/>
  <c r="BF462" i="1"/>
  <c r="C463" i="1"/>
  <c r="D463" i="1"/>
  <c r="E463" i="1"/>
  <c r="F463" i="1"/>
  <c r="G463" i="1"/>
  <c r="H463" i="1"/>
  <c r="L463" i="1"/>
  <c r="M463" i="1"/>
  <c r="N463" i="1"/>
  <c r="O463" i="1"/>
  <c r="P463" i="1"/>
  <c r="Q463" i="1"/>
  <c r="R463" i="1"/>
  <c r="S463" i="1"/>
  <c r="T463" i="1"/>
  <c r="U463" i="1"/>
  <c r="V463" i="1"/>
  <c r="AD463" i="1"/>
  <c r="AE463" i="1"/>
  <c r="AI463" i="1"/>
  <c r="AJ463" i="1"/>
  <c r="AK463" i="1"/>
  <c r="AP463" i="1"/>
  <c r="AR463" i="1"/>
  <c r="AY463" i="1"/>
  <c r="BE463" i="1"/>
  <c r="BF463" i="1"/>
  <c r="C89" i="1"/>
  <c r="D89" i="1"/>
  <c r="E89" i="1"/>
  <c r="F89" i="1"/>
  <c r="G89" i="1"/>
  <c r="H89" i="1"/>
  <c r="L89" i="1"/>
  <c r="M89" i="1"/>
  <c r="N89" i="1"/>
  <c r="O89" i="1"/>
  <c r="P89" i="1"/>
  <c r="Q89" i="1"/>
  <c r="R89" i="1"/>
  <c r="S89" i="1"/>
  <c r="T89" i="1"/>
  <c r="U89" i="1"/>
  <c r="V89" i="1"/>
  <c r="AD89" i="1"/>
  <c r="AE89" i="1"/>
  <c r="AI89" i="1"/>
  <c r="AJ89" i="1"/>
  <c r="AK89" i="1"/>
  <c r="AP89" i="1"/>
  <c r="AR89" i="1"/>
  <c r="AY89" i="1"/>
  <c r="BE89" i="1"/>
  <c r="BF89" i="1"/>
  <c r="C464" i="1"/>
  <c r="D464" i="1"/>
  <c r="E464" i="1"/>
  <c r="F464" i="1"/>
  <c r="G464" i="1"/>
  <c r="H464" i="1"/>
  <c r="L464" i="1"/>
  <c r="M464" i="1"/>
  <c r="N464" i="1"/>
  <c r="O464" i="1"/>
  <c r="P464" i="1"/>
  <c r="Q464" i="1"/>
  <c r="R464" i="1"/>
  <c r="S464" i="1"/>
  <c r="T464" i="1"/>
  <c r="U464" i="1"/>
  <c r="V464" i="1"/>
  <c r="AD464" i="1"/>
  <c r="AE464" i="1"/>
  <c r="AI464" i="1"/>
  <c r="AJ464" i="1"/>
  <c r="AK464" i="1"/>
  <c r="AP464" i="1"/>
  <c r="AR464" i="1"/>
  <c r="AY464" i="1"/>
  <c r="BE464" i="1"/>
  <c r="BF464" i="1"/>
  <c r="C465" i="1"/>
  <c r="D465" i="1"/>
  <c r="E465" i="1"/>
  <c r="F465" i="1"/>
  <c r="G465" i="1"/>
  <c r="H465" i="1"/>
  <c r="L465" i="1"/>
  <c r="M465" i="1"/>
  <c r="N465" i="1"/>
  <c r="O465" i="1"/>
  <c r="P465" i="1"/>
  <c r="Q465" i="1"/>
  <c r="R465" i="1"/>
  <c r="S465" i="1"/>
  <c r="T465" i="1"/>
  <c r="U465" i="1"/>
  <c r="V465" i="1"/>
  <c r="AD465" i="1"/>
  <c r="AE465" i="1"/>
  <c r="AI465" i="1"/>
  <c r="AJ465" i="1"/>
  <c r="AK465" i="1"/>
  <c r="AP465" i="1"/>
  <c r="AR465" i="1"/>
  <c r="AY465" i="1"/>
  <c r="BE465" i="1"/>
  <c r="BF465" i="1"/>
  <c r="C466" i="1"/>
  <c r="D466" i="1"/>
  <c r="E466" i="1"/>
  <c r="F466" i="1"/>
  <c r="G466" i="1"/>
  <c r="H466" i="1"/>
  <c r="L466" i="1"/>
  <c r="M466" i="1"/>
  <c r="N466" i="1"/>
  <c r="O466" i="1"/>
  <c r="P466" i="1"/>
  <c r="Q466" i="1"/>
  <c r="R466" i="1"/>
  <c r="S466" i="1"/>
  <c r="T466" i="1"/>
  <c r="U466" i="1"/>
  <c r="V466" i="1"/>
  <c r="AD466" i="1"/>
  <c r="AE466" i="1"/>
  <c r="AI466" i="1"/>
  <c r="AJ466" i="1"/>
  <c r="AK466" i="1"/>
  <c r="AP466" i="1"/>
  <c r="AR466" i="1"/>
  <c r="AY466" i="1"/>
  <c r="BE466" i="1"/>
  <c r="BF466" i="1"/>
  <c r="C467" i="1"/>
  <c r="D467" i="1"/>
  <c r="E467" i="1"/>
  <c r="F467" i="1"/>
  <c r="G467" i="1"/>
  <c r="H467" i="1"/>
  <c r="L467" i="1"/>
  <c r="M467" i="1"/>
  <c r="N467" i="1"/>
  <c r="O467" i="1"/>
  <c r="P467" i="1"/>
  <c r="Q467" i="1"/>
  <c r="R467" i="1"/>
  <c r="S467" i="1"/>
  <c r="T467" i="1"/>
  <c r="U467" i="1"/>
  <c r="V467" i="1"/>
  <c r="AD467" i="1"/>
  <c r="AE467" i="1"/>
  <c r="AI467" i="1"/>
  <c r="AJ467" i="1"/>
  <c r="AK467" i="1"/>
  <c r="AP467" i="1"/>
  <c r="AR467" i="1"/>
  <c r="AY467" i="1"/>
  <c r="BE467" i="1"/>
  <c r="BF467" i="1"/>
  <c r="C90" i="1"/>
  <c r="D90" i="1"/>
  <c r="E90" i="1"/>
  <c r="F90" i="1"/>
  <c r="G90" i="1"/>
  <c r="H90" i="1"/>
  <c r="L90" i="1"/>
  <c r="M90" i="1"/>
  <c r="N90" i="1"/>
  <c r="O90" i="1"/>
  <c r="P90" i="1"/>
  <c r="Q90" i="1"/>
  <c r="R90" i="1"/>
  <c r="S90" i="1"/>
  <c r="T90" i="1"/>
  <c r="U90" i="1"/>
  <c r="V90" i="1"/>
  <c r="AB90" i="1"/>
  <c r="AD90" i="1"/>
  <c r="AE90" i="1"/>
  <c r="AI90" i="1"/>
  <c r="AJ90" i="1"/>
  <c r="AK90" i="1"/>
  <c r="AP90" i="1"/>
  <c r="AR90" i="1"/>
  <c r="AY90" i="1"/>
  <c r="BE90" i="1"/>
  <c r="BF90" i="1"/>
  <c r="C91" i="1"/>
  <c r="D91" i="1"/>
  <c r="E91" i="1"/>
  <c r="F91" i="1"/>
  <c r="G91" i="1"/>
  <c r="H91" i="1"/>
  <c r="L91" i="1"/>
  <c r="M91" i="1"/>
  <c r="N91" i="1"/>
  <c r="O91" i="1"/>
  <c r="P91" i="1"/>
  <c r="Q91" i="1"/>
  <c r="R91" i="1"/>
  <c r="S91" i="1"/>
  <c r="T91" i="1"/>
  <c r="U91" i="1"/>
  <c r="V91" i="1"/>
  <c r="AB91" i="1"/>
  <c r="AD91" i="1"/>
  <c r="AE91" i="1"/>
  <c r="AI91" i="1"/>
  <c r="AJ91" i="1"/>
  <c r="AK91" i="1"/>
  <c r="AP91" i="1"/>
  <c r="AR91" i="1"/>
  <c r="AY91" i="1"/>
  <c r="BE91" i="1"/>
  <c r="BF91" i="1"/>
  <c r="C92" i="1"/>
  <c r="D92" i="1"/>
  <c r="E92" i="1"/>
  <c r="F92" i="1"/>
  <c r="G92" i="1"/>
  <c r="H92" i="1"/>
  <c r="L92" i="1"/>
  <c r="M92" i="1"/>
  <c r="N92" i="1"/>
  <c r="O92" i="1"/>
  <c r="P92" i="1"/>
  <c r="Q92" i="1"/>
  <c r="R92" i="1"/>
  <c r="S92" i="1"/>
  <c r="T92" i="1"/>
  <c r="U92" i="1"/>
  <c r="V92" i="1"/>
  <c r="AB92" i="1"/>
  <c r="AD92" i="1"/>
  <c r="AE92" i="1"/>
  <c r="AI92" i="1"/>
  <c r="AJ92" i="1"/>
  <c r="AK92" i="1"/>
  <c r="AP92" i="1"/>
  <c r="AR92" i="1"/>
  <c r="AY92" i="1"/>
  <c r="BE92" i="1"/>
  <c r="BF92" i="1"/>
  <c r="C93" i="1"/>
  <c r="D93" i="1"/>
  <c r="E93" i="1"/>
  <c r="F93" i="1"/>
  <c r="G93" i="1"/>
  <c r="H93" i="1"/>
  <c r="L93" i="1"/>
  <c r="M93" i="1"/>
  <c r="N93" i="1"/>
  <c r="O93" i="1"/>
  <c r="P93" i="1"/>
  <c r="Q93" i="1"/>
  <c r="R93" i="1"/>
  <c r="S93" i="1"/>
  <c r="T93" i="1"/>
  <c r="U93" i="1"/>
  <c r="V93" i="1"/>
  <c r="AB93" i="1"/>
  <c r="AD93" i="1"/>
  <c r="AE93" i="1"/>
  <c r="AI93" i="1"/>
  <c r="AJ93" i="1"/>
  <c r="AK93" i="1"/>
  <c r="AP93" i="1"/>
  <c r="AR93" i="1"/>
  <c r="AY93" i="1"/>
  <c r="BE93" i="1"/>
  <c r="BF93" i="1"/>
  <c r="C94" i="1"/>
  <c r="D94" i="1"/>
  <c r="E94" i="1"/>
  <c r="F94" i="1"/>
  <c r="G94" i="1"/>
  <c r="H94" i="1"/>
  <c r="L94" i="1"/>
  <c r="M94" i="1"/>
  <c r="N94" i="1"/>
  <c r="O94" i="1"/>
  <c r="P94" i="1"/>
  <c r="Q94" i="1"/>
  <c r="R94" i="1"/>
  <c r="S94" i="1"/>
  <c r="T94" i="1"/>
  <c r="U94" i="1"/>
  <c r="V94" i="1"/>
  <c r="AB94" i="1"/>
  <c r="AD94" i="1"/>
  <c r="AE94" i="1"/>
  <c r="AI94" i="1"/>
  <c r="AJ94" i="1"/>
  <c r="AK94" i="1"/>
  <c r="AP94" i="1"/>
  <c r="AR94" i="1"/>
  <c r="AY94" i="1"/>
  <c r="BE94" i="1"/>
  <c r="BF94" i="1"/>
  <c r="C95" i="1"/>
  <c r="D95" i="1"/>
  <c r="E95" i="1"/>
  <c r="F95" i="1"/>
  <c r="G95" i="1"/>
  <c r="H95" i="1"/>
  <c r="L95" i="1"/>
  <c r="M95" i="1"/>
  <c r="N95" i="1"/>
  <c r="O95" i="1"/>
  <c r="P95" i="1"/>
  <c r="Q95" i="1"/>
  <c r="R95" i="1"/>
  <c r="S95" i="1"/>
  <c r="T95" i="1"/>
  <c r="U95" i="1"/>
  <c r="V95" i="1"/>
  <c r="AB95" i="1"/>
  <c r="AD95" i="1"/>
  <c r="AE95" i="1"/>
  <c r="AI95" i="1"/>
  <c r="AJ95" i="1"/>
  <c r="AK95" i="1"/>
  <c r="AP95" i="1"/>
  <c r="AR95" i="1"/>
  <c r="AY95" i="1"/>
  <c r="BE95" i="1"/>
  <c r="BF95" i="1"/>
  <c r="C96" i="1"/>
  <c r="D96" i="1"/>
  <c r="E96" i="1"/>
  <c r="F96" i="1"/>
  <c r="G96" i="1"/>
  <c r="H96" i="1"/>
  <c r="L96" i="1"/>
  <c r="M96" i="1"/>
  <c r="N96" i="1"/>
  <c r="O96" i="1"/>
  <c r="P96" i="1"/>
  <c r="Q96" i="1"/>
  <c r="R96" i="1"/>
  <c r="S96" i="1"/>
  <c r="T96" i="1"/>
  <c r="U96" i="1"/>
  <c r="V96" i="1"/>
  <c r="AB96" i="1"/>
  <c r="AD96" i="1"/>
  <c r="AE96" i="1"/>
  <c r="AI96" i="1"/>
  <c r="AJ96" i="1"/>
  <c r="AK96" i="1"/>
  <c r="AP96" i="1"/>
  <c r="AR96" i="1"/>
  <c r="AY96" i="1"/>
  <c r="BE96" i="1"/>
  <c r="BF96" i="1"/>
  <c r="C97" i="1"/>
  <c r="D97" i="1"/>
  <c r="E97" i="1"/>
  <c r="F97" i="1"/>
  <c r="G97" i="1"/>
  <c r="H97" i="1"/>
  <c r="L97" i="1"/>
  <c r="M97" i="1"/>
  <c r="N97" i="1"/>
  <c r="O97" i="1"/>
  <c r="P97" i="1"/>
  <c r="Q97" i="1"/>
  <c r="R97" i="1"/>
  <c r="S97" i="1"/>
  <c r="T97" i="1"/>
  <c r="U97" i="1"/>
  <c r="V97" i="1"/>
  <c r="AB97" i="1"/>
  <c r="AD97" i="1"/>
  <c r="AE97" i="1"/>
  <c r="AI97" i="1"/>
  <c r="AJ97" i="1"/>
  <c r="AK97" i="1"/>
  <c r="AP97" i="1"/>
  <c r="AR97" i="1"/>
  <c r="AY97" i="1"/>
  <c r="BE97" i="1"/>
  <c r="BF97" i="1"/>
  <c r="C98" i="1"/>
  <c r="D98" i="1"/>
  <c r="E98" i="1"/>
  <c r="F98" i="1"/>
  <c r="G98" i="1"/>
  <c r="H98" i="1"/>
  <c r="L98" i="1"/>
  <c r="M98" i="1"/>
  <c r="N98" i="1"/>
  <c r="O98" i="1"/>
  <c r="P98" i="1"/>
  <c r="Q98" i="1"/>
  <c r="R98" i="1"/>
  <c r="S98" i="1"/>
  <c r="T98" i="1"/>
  <c r="U98" i="1"/>
  <c r="V98" i="1"/>
  <c r="AB98" i="1"/>
  <c r="AD98" i="1"/>
  <c r="AE98" i="1"/>
  <c r="AI98" i="1"/>
  <c r="AJ98" i="1"/>
  <c r="AK98" i="1"/>
  <c r="AP98" i="1"/>
  <c r="AR98" i="1"/>
  <c r="AY98" i="1"/>
  <c r="BE98" i="1"/>
  <c r="BF98" i="1"/>
  <c r="C99" i="1"/>
  <c r="D99" i="1"/>
  <c r="E99" i="1"/>
  <c r="F99" i="1"/>
  <c r="G99" i="1"/>
  <c r="H99" i="1"/>
  <c r="L99" i="1"/>
  <c r="M99" i="1"/>
  <c r="N99" i="1"/>
  <c r="O99" i="1"/>
  <c r="P99" i="1"/>
  <c r="Q99" i="1"/>
  <c r="R99" i="1"/>
  <c r="S99" i="1"/>
  <c r="T99" i="1"/>
  <c r="U99" i="1"/>
  <c r="V99" i="1"/>
  <c r="AB99" i="1"/>
  <c r="AD99" i="1"/>
  <c r="AE99" i="1"/>
  <c r="AI99" i="1"/>
  <c r="AJ99" i="1"/>
  <c r="AK99" i="1"/>
  <c r="AP99" i="1"/>
  <c r="AR99" i="1"/>
  <c r="AY99" i="1"/>
  <c r="BE99" i="1"/>
  <c r="BF99" i="1"/>
  <c r="C100" i="1"/>
  <c r="D100" i="1"/>
  <c r="E100" i="1"/>
  <c r="F100" i="1"/>
  <c r="G100" i="1"/>
  <c r="H100" i="1"/>
  <c r="L100" i="1"/>
  <c r="M100" i="1"/>
  <c r="N100" i="1"/>
  <c r="O100" i="1"/>
  <c r="P100" i="1"/>
  <c r="Q100" i="1"/>
  <c r="R100" i="1"/>
  <c r="S100" i="1"/>
  <c r="T100" i="1"/>
  <c r="U100" i="1"/>
  <c r="V100" i="1"/>
  <c r="AB100" i="1"/>
  <c r="AD100" i="1"/>
  <c r="AE100" i="1"/>
  <c r="AI100" i="1"/>
  <c r="AJ100" i="1"/>
  <c r="AK100" i="1"/>
  <c r="AP100" i="1"/>
  <c r="AR100" i="1"/>
  <c r="AY100" i="1"/>
  <c r="BE100" i="1"/>
  <c r="BF100" i="1"/>
  <c r="C101" i="1"/>
  <c r="D101" i="1"/>
  <c r="E101" i="1"/>
  <c r="F101" i="1"/>
  <c r="G101" i="1"/>
  <c r="H101" i="1"/>
  <c r="L101" i="1"/>
  <c r="M101" i="1"/>
  <c r="N101" i="1"/>
  <c r="O101" i="1"/>
  <c r="P101" i="1"/>
  <c r="Q101" i="1"/>
  <c r="R101" i="1"/>
  <c r="S101" i="1"/>
  <c r="T101" i="1"/>
  <c r="U101" i="1"/>
  <c r="V101" i="1"/>
  <c r="AB101" i="1"/>
  <c r="AD101" i="1"/>
  <c r="AE101" i="1"/>
  <c r="AI101" i="1"/>
  <c r="AJ101" i="1"/>
  <c r="AK101" i="1"/>
  <c r="AP101" i="1"/>
  <c r="AR101" i="1"/>
  <c r="AY101" i="1"/>
  <c r="BE101" i="1"/>
  <c r="BF101" i="1"/>
  <c r="C102" i="1"/>
  <c r="D102" i="1"/>
  <c r="E102" i="1"/>
  <c r="F102" i="1"/>
  <c r="G102" i="1"/>
  <c r="H102" i="1"/>
  <c r="L102" i="1"/>
  <c r="M102" i="1"/>
  <c r="N102" i="1"/>
  <c r="O102" i="1"/>
  <c r="P102" i="1"/>
  <c r="Q102" i="1"/>
  <c r="R102" i="1"/>
  <c r="S102" i="1"/>
  <c r="T102" i="1"/>
  <c r="U102" i="1"/>
  <c r="V102" i="1"/>
  <c r="AB102" i="1"/>
  <c r="AD102" i="1"/>
  <c r="AE102" i="1"/>
  <c r="AI102" i="1"/>
  <c r="AJ102" i="1"/>
  <c r="AK102" i="1"/>
  <c r="AP102" i="1"/>
  <c r="AR102" i="1"/>
  <c r="AY102" i="1"/>
  <c r="BE102" i="1"/>
  <c r="BF102" i="1"/>
  <c r="C103" i="1"/>
  <c r="D103" i="1"/>
  <c r="E103" i="1"/>
  <c r="F103" i="1"/>
  <c r="G103" i="1"/>
  <c r="H103" i="1"/>
  <c r="L103" i="1"/>
  <c r="M103" i="1"/>
  <c r="N103" i="1"/>
  <c r="O103" i="1"/>
  <c r="P103" i="1"/>
  <c r="Q103" i="1"/>
  <c r="R103" i="1"/>
  <c r="S103" i="1"/>
  <c r="T103" i="1"/>
  <c r="U103" i="1"/>
  <c r="V103" i="1"/>
  <c r="AB103" i="1"/>
  <c r="AD103" i="1"/>
  <c r="AE103" i="1"/>
  <c r="AI103" i="1"/>
  <c r="AJ103" i="1"/>
  <c r="AK103" i="1"/>
  <c r="AP103" i="1"/>
  <c r="AR103" i="1"/>
  <c r="AY103" i="1"/>
  <c r="BE103" i="1"/>
  <c r="BF103" i="1"/>
  <c r="C104" i="1"/>
  <c r="D104" i="1"/>
  <c r="E104" i="1"/>
  <c r="F104" i="1"/>
  <c r="G104" i="1"/>
  <c r="H104" i="1"/>
  <c r="L104" i="1"/>
  <c r="M104" i="1"/>
  <c r="N104" i="1"/>
  <c r="O104" i="1"/>
  <c r="P104" i="1"/>
  <c r="Q104" i="1"/>
  <c r="R104" i="1"/>
  <c r="S104" i="1"/>
  <c r="T104" i="1"/>
  <c r="U104" i="1"/>
  <c r="V104" i="1"/>
  <c r="AB104" i="1"/>
  <c r="AD104" i="1"/>
  <c r="AE104" i="1"/>
  <c r="AI104" i="1"/>
  <c r="AJ104" i="1"/>
  <c r="AK104" i="1"/>
  <c r="AP104" i="1"/>
  <c r="AR104" i="1"/>
  <c r="AY104" i="1"/>
  <c r="BE104" i="1"/>
  <c r="BF104" i="1"/>
  <c r="C105" i="1"/>
  <c r="D105" i="1"/>
  <c r="E105" i="1"/>
  <c r="F105" i="1"/>
  <c r="G105" i="1"/>
  <c r="H105" i="1"/>
  <c r="L105" i="1"/>
  <c r="M105" i="1"/>
  <c r="N105" i="1"/>
  <c r="O105" i="1"/>
  <c r="P105" i="1"/>
  <c r="Q105" i="1"/>
  <c r="R105" i="1"/>
  <c r="S105" i="1"/>
  <c r="T105" i="1"/>
  <c r="U105" i="1"/>
  <c r="V105" i="1"/>
  <c r="AB105" i="1"/>
  <c r="AD105" i="1"/>
  <c r="AE105" i="1"/>
  <c r="AI105" i="1"/>
  <c r="AJ105" i="1"/>
  <c r="AK105" i="1"/>
  <c r="AP105" i="1"/>
  <c r="AR105" i="1"/>
  <c r="AY105" i="1"/>
  <c r="BE105" i="1"/>
  <c r="BF105" i="1"/>
  <c r="C106" i="1"/>
  <c r="D106" i="1"/>
  <c r="E106" i="1"/>
  <c r="F106" i="1"/>
  <c r="G106" i="1"/>
  <c r="H106" i="1"/>
  <c r="L106" i="1"/>
  <c r="M106" i="1"/>
  <c r="N106" i="1"/>
  <c r="O106" i="1"/>
  <c r="P106" i="1"/>
  <c r="Q106" i="1"/>
  <c r="R106" i="1"/>
  <c r="S106" i="1"/>
  <c r="T106" i="1"/>
  <c r="U106" i="1"/>
  <c r="V106" i="1"/>
  <c r="AB106" i="1"/>
  <c r="AD106" i="1"/>
  <c r="AE106" i="1"/>
  <c r="AI106" i="1"/>
  <c r="AJ106" i="1"/>
  <c r="AK106" i="1"/>
  <c r="AP106" i="1"/>
  <c r="AR106" i="1"/>
  <c r="AY106" i="1"/>
  <c r="BE106" i="1"/>
  <c r="BF106" i="1"/>
  <c r="C107" i="1"/>
  <c r="D107" i="1"/>
  <c r="E107" i="1"/>
  <c r="F107" i="1"/>
  <c r="G107" i="1"/>
  <c r="H107" i="1"/>
  <c r="L107" i="1"/>
  <c r="M107" i="1"/>
  <c r="N107" i="1"/>
  <c r="O107" i="1"/>
  <c r="P107" i="1"/>
  <c r="Q107" i="1"/>
  <c r="R107" i="1"/>
  <c r="S107" i="1"/>
  <c r="T107" i="1"/>
  <c r="U107" i="1"/>
  <c r="V107" i="1"/>
  <c r="AB107" i="1"/>
  <c r="AD107" i="1"/>
  <c r="AE107" i="1"/>
  <c r="AI107" i="1"/>
  <c r="AJ107" i="1"/>
  <c r="AK107" i="1"/>
  <c r="AP107" i="1"/>
  <c r="AR107" i="1"/>
  <c r="AY107" i="1"/>
  <c r="BE107" i="1"/>
  <c r="BF107" i="1"/>
  <c r="C108" i="1"/>
  <c r="D108" i="1"/>
  <c r="E108" i="1"/>
  <c r="F108" i="1"/>
  <c r="G108" i="1"/>
  <c r="H108" i="1"/>
  <c r="L108" i="1"/>
  <c r="M108" i="1"/>
  <c r="N108" i="1"/>
  <c r="O108" i="1"/>
  <c r="P108" i="1"/>
  <c r="Q108" i="1"/>
  <c r="R108" i="1"/>
  <c r="S108" i="1"/>
  <c r="T108" i="1"/>
  <c r="U108" i="1"/>
  <c r="V108" i="1"/>
  <c r="AB108" i="1"/>
  <c r="AD108" i="1"/>
  <c r="AE108" i="1"/>
  <c r="AI108" i="1"/>
  <c r="AJ108" i="1"/>
  <c r="AK108" i="1"/>
  <c r="AP108" i="1"/>
  <c r="AR108" i="1"/>
  <c r="AY108" i="1"/>
  <c r="BE108" i="1"/>
  <c r="BF108" i="1"/>
  <c r="C109" i="1"/>
  <c r="D109" i="1"/>
  <c r="E109" i="1"/>
  <c r="F109" i="1"/>
  <c r="G109" i="1"/>
  <c r="H109" i="1"/>
  <c r="L109" i="1"/>
  <c r="M109" i="1"/>
  <c r="N109" i="1"/>
  <c r="O109" i="1"/>
  <c r="P109" i="1"/>
  <c r="Q109" i="1"/>
  <c r="R109" i="1"/>
  <c r="S109" i="1"/>
  <c r="T109" i="1"/>
  <c r="U109" i="1"/>
  <c r="V109" i="1"/>
  <c r="AB109" i="1"/>
  <c r="AD109" i="1"/>
  <c r="AE109" i="1"/>
  <c r="AI109" i="1"/>
  <c r="AJ109" i="1"/>
  <c r="AK109" i="1"/>
  <c r="AP109" i="1"/>
  <c r="AR109" i="1"/>
  <c r="AY109" i="1"/>
  <c r="BE109" i="1"/>
  <c r="BF109" i="1"/>
  <c r="C110" i="1"/>
  <c r="D110" i="1"/>
  <c r="E110" i="1"/>
  <c r="F110" i="1"/>
  <c r="G110" i="1"/>
  <c r="H110" i="1"/>
  <c r="L110" i="1"/>
  <c r="M110" i="1"/>
  <c r="N110" i="1"/>
  <c r="O110" i="1"/>
  <c r="P110" i="1"/>
  <c r="Q110" i="1"/>
  <c r="R110" i="1"/>
  <c r="S110" i="1"/>
  <c r="T110" i="1"/>
  <c r="U110" i="1"/>
  <c r="V110" i="1"/>
  <c r="AB110" i="1"/>
  <c r="AD110" i="1"/>
  <c r="AE110" i="1"/>
  <c r="AI110" i="1"/>
  <c r="AJ110" i="1"/>
  <c r="AK110" i="1"/>
  <c r="AP110" i="1"/>
  <c r="AR110" i="1"/>
  <c r="AY110" i="1"/>
  <c r="BE110" i="1"/>
  <c r="BF110" i="1"/>
  <c r="C111" i="1"/>
  <c r="D111" i="1"/>
  <c r="E111" i="1"/>
  <c r="F111" i="1"/>
  <c r="G111" i="1"/>
  <c r="H111" i="1"/>
  <c r="L111" i="1"/>
  <c r="M111" i="1"/>
  <c r="N111" i="1"/>
  <c r="O111" i="1"/>
  <c r="P111" i="1"/>
  <c r="Q111" i="1"/>
  <c r="R111" i="1"/>
  <c r="S111" i="1"/>
  <c r="T111" i="1"/>
  <c r="U111" i="1"/>
  <c r="V111" i="1"/>
  <c r="AB111" i="1"/>
  <c r="AD111" i="1"/>
  <c r="AE111" i="1"/>
  <c r="AI111" i="1"/>
  <c r="AJ111" i="1"/>
  <c r="AK111" i="1"/>
  <c r="AP111" i="1"/>
  <c r="AR111" i="1"/>
  <c r="AY111" i="1"/>
  <c r="BE111" i="1"/>
  <c r="BF111" i="1"/>
  <c r="C112" i="1"/>
  <c r="D112" i="1"/>
  <c r="E112" i="1"/>
  <c r="F112" i="1"/>
  <c r="G112" i="1"/>
  <c r="H112" i="1"/>
  <c r="L112" i="1"/>
  <c r="M112" i="1"/>
  <c r="N112" i="1"/>
  <c r="O112" i="1"/>
  <c r="P112" i="1"/>
  <c r="Q112" i="1"/>
  <c r="R112" i="1"/>
  <c r="S112" i="1"/>
  <c r="T112" i="1"/>
  <c r="U112" i="1"/>
  <c r="V112" i="1"/>
  <c r="AB112" i="1"/>
  <c r="AD112" i="1"/>
  <c r="AE112" i="1"/>
  <c r="AI112" i="1"/>
  <c r="AJ112" i="1"/>
  <c r="AK112" i="1"/>
  <c r="AP112" i="1"/>
  <c r="AR112" i="1"/>
  <c r="AY112" i="1"/>
  <c r="BE112" i="1"/>
  <c r="BF112" i="1"/>
  <c r="C113" i="1"/>
  <c r="D113" i="1"/>
  <c r="E113" i="1"/>
  <c r="F113" i="1"/>
  <c r="G113" i="1"/>
  <c r="H113" i="1"/>
  <c r="L113" i="1"/>
  <c r="M113" i="1"/>
  <c r="N113" i="1"/>
  <c r="O113" i="1"/>
  <c r="P113" i="1"/>
  <c r="Q113" i="1"/>
  <c r="R113" i="1"/>
  <c r="S113" i="1"/>
  <c r="T113" i="1"/>
  <c r="U113" i="1"/>
  <c r="V113" i="1"/>
  <c r="AB113" i="1"/>
  <c r="AD113" i="1"/>
  <c r="AE113" i="1"/>
  <c r="AI113" i="1"/>
  <c r="AJ113" i="1"/>
  <c r="AK113" i="1"/>
  <c r="AP113" i="1"/>
  <c r="AR113" i="1"/>
  <c r="AY113" i="1"/>
  <c r="BE113" i="1"/>
  <c r="BF113" i="1"/>
  <c r="C114" i="1"/>
  <c r="D114" i="1"/>
  <c r="E114" i="1"/>
  <c r="F114" i="1"/>
  <c r="G114" i="1"/>
  <c r="H114" i="1"/>
  <c r="L114" i="1"/>
  <c r="M114" i="1"/>
  <c r="N114" i="1"/>
  <c r="O114" i="1"/>
  <c r="P114" i="1"/>
  <c r="Q114" i="1"/>
  <c r="R114" i="1"/>
  <c r="S114" i="1"/>
  <c r="T114" i="1"/>
  <c r="U114" i="1"/>
  <c r="V114" i="1"/>
  <c r="AB114" i="1"/>
  <c r="AD114" i="1"/>
  <c r="AE114" i="1"/>
  <c r="AI114" i="1"/>
  <c r="AJ114" i="1"/>
  <c r="AK114" i="1"/>
  <c r="AP114" i="1"/>
  <c r="AR114" i="1"/>
  <c r="AY114" i="1"/>
  <c r="BE114" i="1"/>
  <c r="BF114" i="1"/>
  <c r="C115" i="1"/>
  <c r="D115" i="1"/>
  <c r="E115" i="1"/>
  <c r="F115" i="1"/>
  <c r="G115" i="1"/>
  <c r="H115" i="1"/>
  <c r="L115" i="1"/>
  <c r="M115" i="1"/>
  <c r="N115" i="1"/>
  <c r="O115" i="1"/>
  <c r="P115" i="1"/>
  <c r="Q115" i="1"/>
  <c r="R115" i="1"/>
  <c r="S115" i="1"/>
  <c r="T115" i="1"/>
  <c r="U115" i="1"/>
  <c r="V115" i="1"/>
  <c r="AB115" i="1"/>
  <c r="AD115" i="1"/>
  <c r="AE115" i="1"/>
  <c r="AI115" i="1"/>
  <c r="AJ115" i="1"/>
  <c r="AK115" i="1"/>
  <c r="AP115" i="1"/>
  <c r="AR115" i="1"/>
  <c r="AY115" i="1"/>
  <c r="BE115" i="1"/>
  <c r="BF115" i="1"/>
  <c r="C116" i="1"/>
  <c r="D116" i="1"/>
  <c r="E116" i="1"/>
  <c r="F116" i="1"/>
  <c r="G116" i="1"/>
  <c r="H116" i="1"/>
  <c r="L116" i="1"/>
  <c r="M116" i="1"/>
  <c r="N116" i="1"/>
  <c r="O116" i="1"/>
  <c r="P116" i="1"/>
  <c r="Q116" i="1"/>
  <c r="R116" i="1"/>
  <c r="S116" i="1"/>
  <c r="T116" i="1"/>
  <c r="U116" i="1"/>
  <c r="V116" i="1"/>
  <c r="AB116" i="1"/>
  <c r="AD116" i="1"/>
  <c r="AE116" i="1"/>
  <c r="AI116" i="1"/>
  <c r="AJ116" i="1"/>
  <c r="AK116" i="1"/>
  <c r="AP116" i="1"/>
  <c r="AR116" i="1"/>
  <c r="AY116" i="1"/>
  <c r="BE116" i="1"/>
  <c r="BF116" i="1"/>
  <c r="C117" i="1"/>
  <c r="D117" i="1"/>
  <c r="E117" i="1"/>
  <c r="F117" i="1"/>
  <c r="G117" i="1"/>
  <c r="H117" i="1"/>
  <c r="L117" i="1"/>
  <c r="M117" i="1"/>
  <c r="N117" i="1"/>
  <c r="O117" i="1"/>
  <c r="P117" i="1"/>
  <c r="Q117" i="1"/>
  <c r="R117" i="1"/>
  <c r="S117" i="1"/>
  <c r="T117" i="1"/>
  <c r="U117" i="1"/>
  <c r="V117" i="1"/>
  <c r="AB117" i="1"/>
  <c r="AD117" i="1"/>
  <c r="AE117" i="1"/>
  <c r="AI117" i="1"/>
  <c r="AJ117" i="1"/>
  <c r="AK117" i="1"/>
  <c r="AP117" i="1"/>
  <c r="AR117" i="1"/>
  <c r="AY117" i="1"/>
  <c r="BE117" i="1"/>
  <c r="BF117" i="1"/>
  <c r="C118" i="1"/>
  <c r="D118" i="1"/>
  <c r="E118" i="1"/>
  <c r="F118" i="1"/>
  <c r="G118" i="1"/>
  <c r="H118" i="1"/>
  <c r="L118" i="1"/>
  <c r="M118" i="1"/>
  <c r="N118" i="1"/>
  <c r="O118" i="1"/>
  <c r="P118" i="1"/>
  <c r="Q118" i="1"/>
  <c r="R118" i="1"/>
  <c r="S118" i="1"/>
  <c r="T118" i="1"/>
  <c r="U118" i="1"/>
  <c r="V118" i="1"/>
  <c r="AB118" i="1"/>
  <c r="AD118" i="1"/>
  <c r="AE118" i="1"/>
  <c r="AI118" i="1"/>
  <c r="AJ118" i="1"/>
  <c r="AK118" i="1"/>
  <c r="AP118" i="1"/>
  <c r="AR118" i="1"/>
  <c r="AY118" i="1"/>
  <c r="BE118" i="1"/>
  <c r="BF118" i="1"/>
  <c r="C119" i="1"/>
  <c r="D119" i="1"/>
  <c r="E119" i="1"/>
  <c r="F119" i="1"/>
  <c r="G119" i="1"/>
  <c r="H119" i="1"/>
  <c r="L119" i="1"/>
  <c r="M119" i="1"/>
  <c r="N119" i="1"/>
  <c r="O119" i="1"/>
  <c r="P119" i="1"/>
  <c r="Q119" i="1"/>
  <c r="R119" i="1"/>
  <c r="S119" i="1"/>
  <c r="T119" i="1"/>
  <c r="U119" i="1"/>
  <c r="V119" i="1"/>
  <c r="AB119" i="1"/>
  <c r="AD119" i="1"/>
  <c r="AE119" i="1"/>
  <c r="AI119" i="1"/>
  <c r="AJ119" i="1"/>
  <c r="AK119" i="1"/>
  <c r="AP119" i="1"/>
  <c r="AR119" i="1"/>
  <c r="AY119" i="1"/>
  <c r="BE119" i="1"/>
  <c r="BF119" i="1"/>
  <c r="C120" i="1"/>
  <c r="D120" i="1"/>
  <c r="E120" i="1"/>
  <c r="F120" i="1"/>
  <c r="G120" i="1"/>
  <c r="H120" i="1"/>
  <c r="L120" i="1"/>
  <c r="M120" i="1"/>
  <c r="N120" i="1"/>
  <c r="O120" i="1"/>
  <c r="P120" i="1"/>
  <c r="Q120" i="1"/>
  <c r="R120" i="1"/>
  <c r="S120" i="1"/>
  <c r="T120" i="1"/>
  <c r="U120" i="1"/>
  <c r="V120" i="1"/>
  <c r="AB120" i="1"/>
  <c r="AD120" i="1"/>
  <c r="AE120" i="1"/>
  <c r="AI120" i="1"/>
  <c r="AJ120" i="1"/>
  <c r="AK120" i="1"/>
  <c r="AP120" i="1"/>
  <c r="AR120" i="1"/>
  <c r="AY120" i="1"/>
  <c r="BE120" i="1"/>
  <c r="BF120" i="1"/>
  <c r="C121" i="1"/>
  <c r="D121" i="1"/>
  <c r="E121" i="1"/>
  <c r="F121" i="1"/>
  <c r="G121" i="1"/>
  <c r="H121" i="1"/>
  <c r="L121" i="1"/>
  <c r="M121" i="1"/>
  <c r="N121" i="1"/>
  <c r="O121" i="1"/>
  <c r="P121" i="1"/>
  <c r="Q121" i="1"/>
  <c r="R121" i="1"/>
  <c r="S121" i="1"/>
  <c r="T121" i="1"/>
  <c r="U121" i="1"/>
  <c r="V121" i="1"/>
  <c r="AB121" i="1"/>
  <c r="AD121" i="1"/>
  <c r="AE121" i="1"/>
  <c r="AI121" i="1"/>
  <c r="AJ121" i="1"/>
  <c r="AK121" i="1"/>
  <c r="AP121" i="1"/>
  <c r="AR121" i="1"/>
  <c r="AY121" i="1"/>
  <c r="BE121" i="1"/>
  <c r="BF121" i="1"/>
  <c r="C122" i="1"/>
  <c r="D122" i="1"/>
  <c r="E122" i="1"/>
  <c r="F122" i="1"/>
  <c r="G122" i="1"/>
  <c r="H122" i="1"/>
  <c r="L122" i="1"/>
  <c r="M122" i="1"/>
  <c r="N122" i="1"/>
  <c r="O122" i="1"/>
  <c r="P122" i="1"/>
  <c r="Q122" i="1"/>
  <c r="R122" i="1"/>
  <c r="S122" i="1"/>
  <c r="T122" i="1"/>
  <c r="U122" i="1"/>
  <c r="V122" i="1"/>
  <c r="AB122" i="1"/>
  <c r="AD122" i="1"/>
  <c r="AE122" i="1"/>
  <c r="AI122" i="1"/>
  <c r="AJ122" i="1"/>
  <c r="AK122" i="1"/>
  <c r="AP122" i="1"/>
  <c r="AR122" i="1"/>
  <c r="AY122" i="1"/>
  <c r="BE122" i="1"/>
  <c r="BF122" i="1"/>
  <c r="C123" i="1"/>
  <c r="D123" i="1"/>
  <c r="E123" i="1"/>
  <c r="F123" i="1"/>
  <c r="G123" i="1"/>
  <c r="H123" i="1"/>
  <c r="L123" i="1"/>
  <c r="M123" i="1"/>
  <c r="N123" i="1"/>
  <c r="O123" i="1"/>
  <c r="P123" i="1"/>
  <c r="Q123" i="1"/>
  <c r="R123" i="1"/>
  <c r="S123" i="1"/>
  <c r="T123" i="1"/>
  <c r="U123" i="1"/>
  <c r="V123" i="1"/>
  <c r="AB123" i="1"/>
  <c r="AD123" i="1"/>
  <c r="AE123" i="1"/>
  <c r="AI123" i="1"/>
  <c r="AJ123" i="1"/>
  <c r="AK123" i="1"/>
  <c r="AP123" i="1"/>
  <c r="AR123" i="1"/>
  <c r="AY123" i="1"/>
  <c r="BE123" i="1"/>
  <c r="BF123" i="1"/>
  <c r="C124" i="1"/>
  <c r="D124" i="1"/>
  <c r="E124" i="1"/>
  <c r="F124" i="1"/>
  <c r="G124" i="1"/>
  <c r="H124" i="1"/>
  <c r="L124" i="1"/>
  <c r="M124" i="1"/>
  <c r="N124" i="1"/>
  <c r="O124" i="1"/>
  <c r="P124" i="1"/>
  <c r="Q124" i="1"/>
  <c r="R124" i="1"/>
  <c r="S124" i="1"/>
  <c r="T124" i="1"/>
  <c r="U124" i="1"/>
  <c r="V124" i="1"/>
  <c r="AB124" i="1"/>
  <c r="AD124" i="1"/>
  <c r="AE124" i="1"/>
  <c r="AI124" i="1"/>
  <c r="AJ124" i="1"/>
  <c r="AK124" i="1"/>
  <c r="AP124" i="1"/>
  <c r="AR124" i="1"/>
  <c r="AY124" i="1"/>
  <c r="BE124" i="1"/>
  <c r="BF124" i="1"/>
  <c r="C125" i="1"/>
  <c r="D125" i="1"/>
  <c r="E125" i="1"/>
  <c r="F125" i="1"/>
  <c r="G125" i="1"/>
  <c r="H125" i="1"/>
  <c r="L125" i="1"/>
  <c r="M125" i="1"/>
  <c r="N125" i="1"/>
  <c r="O125" i="1"/>
  <c r="P125" i="1"/>
  <c r="Q125" i="1"/>
  <c r="R125" i="1"/>
  <c r="S125" i="1"/>
  <c r="T125" i="1"/>
  <c r="U125" i="1"/>
  <c r="V125" i="1"/>
  <c r="AB125" i="1"/>
  <c r="AD125" i="1"/>
  <c r="AE125" i="1"/>
  <c r="AI125" i="1"/>
  <c r="AJ125" i="1"/>
  <c r="AK125" i="1"/>
  <c r="AP125" i="1"/>
  <c r="AR125" i="1"/>
  <c r="AY125" i="1"/>
  <c r="BE125" i="1"/>
  <c r="BF125" i="1"/>
  <c r="C126" i="1"/>
  <c r="D126" i="1"/>
  <c r="E126" i="1"/>
  <c r="F126" i="1"/>
  <c r="G126" i="1"/>
  <c r="H126" i="1"/>
  <c r="L126" i="1"/>
  <c r="M126" i="1"/>
  <c r="N126" i="1"/>
  <c r="O126" i="1"/>
  <c r="P126" i="1"/>
  <c r="Q126" i="1"/>
  <c r="R126" i="1"/>
  <c r="S126" i="1"/>
  <c r="T126" i="1"/>
  <c r="U126" i="1"/>
  <c r="V126" i="1"/>
  <c r="AB126" i="1"/>
  <c r="AD126" i="1"/>
  <c r="AE126" i="1"/>
  <c r="AI126" i="1"/>
  <c r="AJ126" i="1"/>
  <c r="AK126" i="1"/>
  <c r="AP126" i="1"/>
  <c r="AR126" i="1"/>
  <c r="AY126" i="1"/>
  <c r="BE126" i="1"/>
  <c r="BF126" i="1"/>
  <c r="C127" i="1"/>
  <c r="D127" i="1"/>
  <c r="E127" i="1"/>
  <c r="F127" i="1"/>
  <c r="G127" i="1"/>
  <c r="H127" i="1"/>
  <c r="L127" i="1"/>
  <c r="M127" i="1"/>
  <c r="N127" i="1"/>
  <c r="O127" i="1"/>
  <c r="P127" i="1"/>
  <c r="Q127" i="1"/>
  <c r="R127" i="1"/>
  <c r="S127" i="1"/>
  <c r="T127" i="1"/>
  <c r="U127" i="1"/>
  <c r="V127" i="1"/>
  <c r="AB127" i="1"/>
  <c r="AD127" i="1"/>
  <c r="AE127" i="1"/>
  <c r="AI127" i="1"/>
  <c r="AJ127" i="1"/>
  <c r="AK127" i="1"/>
  <c r="AP127" i="1"/>
  <c r="AR127" i="1"/>
  <c r="AY127" i="1"/>
  <c r="BE127" i="1"/>
  <c r="BF127" i="1"/>
  <c r="C128" i="1"/>
  <c r="D128" i="1"/>
  <c r="E128" i="1"/>
  <c r="F128" i="1"/>
  <c r="G128" i="1"/>
  <c r="H128" i="1"/>
  <c r="L128" i="1"/>
  <c r="M128" i="1"/>
  <c r="N128" i="1"/>
  <c r="O128" i="1"/>
  <c r="P128" i="1"/>
  <c r="Q128" i="1"/>
  <c r="R128" i="1"/>
  <c r="S128" i="1"/>
  <c r="T128" i="1"/>
  <c r="U128" i="1"/>
  <c r="V128" i="1"/>
  <c r="AB128" i="1"/>
  <c r="AD128" i="1"/>
  <c r="AE128" i="1"/>
  <c r="AI128" i="1"/>
  <c r="AJ128" i="1"/>
  <c r="AK128" i="1"/>
  <c r="AP128" i="1"/>
  <c r="AR128" i="1"/>
  <c r="AY128" i="1"/>
  <c r="BE128" i="1"/>
  <c r="BF128" i="1"/>
  <c r="C129" i="1"/>
  <c r="D129" i="1"/>
  <c r="E129" i="1"/>
  <c r="F129" i="1"/>
  <c r="G129" i="1"/>
  <c r="H129" i="1"/>
  <c r="L129" i="1"/>
  <c r="M129" i="1"/>
  <c r="N129" i="1"/>
  <c r="O129" i="1"/>
  <c r="P129" i="1"/>
  <c r="Q129" i="1"/>
  <c r="R129" i="1"/>
  <c r="S129" i="1"/>
  <c r="T129" i="1"/>
  <c r="U129" i="1"/>
  <c r="V129" i="1"/>
  <c r="AB129" i="1"/>
  <c r="AD129" i="1"/>
  <c r="AE129" i="1"/>
  <c r="AI129" i="1"/>
  <c r="AJ129" i="1"/>
  <c r="AK129" i="1"/>
  <c r="AP129" i="1"/>
  <c r="AR129" i="1"/>
  <c r="AY129" i="1"/>
  <c r="BE129" i="1"/>
  <c r="BF129" i="1"/>
  <c r="C130" i="1"/>
  <c r="D130" i="1"/>
  <c r="E130" i="1"/>
  <c r="F130" i="1"/>
  <c r="G130" i="1"/>
  <c r="H130" i="1"/>
  <c r="L130" i="1"/>
  <c r="M130" i="1"/>
  <c r="N130" i="1"/>
  <c r="O130" i="1"/>
  <c r="P130" i="1"/>
  <c r="Q130" i="1"/>
  <c r="R130" i="1"/>
  <c r="S130" i="1"/>
  <c r="T130" i="1"/>
  <c r="U130" i="1"/>
  <c r="V130" i="1"/>
  <c r="AB130" i="1"/>
  <c r="AD130" i="1"/>
  <c r="AE130" i="1"/>
  <c r="AI130" i="1"/>
  <c r="AJ130" i="1"/>
  <c r="AK130" i="1"/>
  <c r="AP130" i="1"/>
  <c r="AR130" i="1"/>
  <c r="AY130" i="1"/>
  <c r="BE130" i="1"/>
  <c r="BF130" i="1"/>
  <c r="C131" i="1"/>
  <c r="D131" i="1"/>
  <c r="E131" i="1"/>
  <c r="F131" i="1"/>
  <c r="G131" i="1"/>
  <c r="H131" i="1"/>
  <c r="L131" i="1"/>
  <c r="M131" i="1"/>
  <c r="N131" i="1"/>
  <c r="O131" i="1"/>
  <c r="P131" i="1"/>
  <c r="Q131" i="1"/>
  <c r="R131" i="1"/>
  <c r="S131" i="1"/>
  <c r="T131" i="1"/>
  <c r="U131" i="1"/>
  <c r="V131" i="1"/>
  <c r="AB131" i="1"/>
  <c r="AD131" i="1"/>
  <c r="AE131" i="1"/>
  <c r="AI131" i="1"/>
  <c r="AJ131" i="1"/>
  <c r="AK131" i="1"/>
  <c r="AP131" i="1"/>
  <c r="AR131" i="1"/>
  <c r="AY131" i="1"/>
  <c r="BE131" i="1"/>
  <c r="BF131" i="1"/>
  <c r="C132" i="1"/>
  <c r="D132" i="1"/>
  <c r="E132" i="1"/>
  <c r="F132" i="1"/>
  <c r="G132" i="1"/>
  <c r="H132" i="1"/>
  <c r="L132" i="1"/>
  <c r="M132" i="1"/>
  <c r="N132" i="1"/>
  <c r="O132" i="1"/>
  <c r="P132" i="1"/>
  <c r="Q132" i="1"/>
  <c r="R132" i="1"/>
  <c r="S132" i="1"/>
  <c r="T132" i="1"/>
  <c r="U132" i="1"/>
  <c r="V132" i="1"/>
  <c r="AB132" i="1"/>
  <c r="AD132" i="1"/>
  <c r="AE132" i="1"/>
  <c r="AI132" i="1"/>
  <c r="AJ132" i="1"/>
  <c r="AK132" i="1"/>
  <c r="AP132" i="1"/>
  <c r="AR132" i="1"/>
  <c r="AY132" i="1"/>
  <c r="BE132" i="1"/>
  <c r="BF132" i="1"/>
  <c r="C133" i="1"/>
  <c r="D133" i="1"/>
  <c r="E133" i="1"/>
  <c r="F133" i="1"/>
  <c r="G133" i="1"/>
  <c r="H133" i="1"/>
  <c r="L133" i="1"/>
  <c r="M133" i="1"/>
  <c r="N133" i="1"/>
  <c r="O133" i="1"/>
  <c r="P133" i="1"/>
  <c r="Q133" i="1"/>
  <c r="R133" i="1"/>
  <c r="S133" i="1"/>
  <c r="T133" i="1"/>
  <c r="U133" i="1"/>
  <c r="V133" i="1"/>
  <c r="AB133" i="1"/>
  <c r="AD133" i="1"/>
  <c r="AE133" i="1"/>
  <c r="AI133" i="1"/>
  <c r="AJ133" i="1"/>
  <c r="AK133" i="1"/>
  <c r="AP133" i="1"/>
  <c r="AR133" i="1"/>
  <c r="AY133" i="1"/>
  <c r="BE133" i="1"/>
  <c r="BF133" i="1"/>
  <c r="C134" i="1"/>
  <c r="D134" i="1"/>
  <c r="E134" i="1"/>
  <c r="F134" i="1"/>
  <c r="G134" i="1"/>
  <c r="H134" i="1"/>
  <c r="L134" i="1"/>
  <c r="M134" i="1"/>
  <c r="N134" i="1"/>
  <c r="O134" i="1"/>
  <c r="P134" i="1"/>
  <c r="Q134" i="1"/>
  <c r="R134" i="1"/>
  <c r="S134" i="1"/>
  <c r="T134" i="1"/>
  <c r="U134" i="1"/>
  <c r="V134" i="1"/>
  <c r="AB134" i="1"/>
  <c r="AD134" i="1"/>
  <c r="AE134" i="1"/>
  <c r="AI134" i="1"/>
  <c r="AJ134" i="1"/>
  <c r="AK134" i="1"/>
  <c r="AP134" i="1"/>
  <c r="AR134" i="1"/>
  <c r="AY134" i="1"/>
  <c r="BE134" i="1"/>
  <c r="BF134" i="1"/>
  <c r="C135" i="1"/>
  <c r="D135" i="1"/>
  <c r="E135" i="1"/>
  <c r="F135" i="1"/>
  <c r="G135" i="1"/>
  <c r="H135" i="1"/>
  <c r="L135" i="1"/>
  <c r="M135" i="1"/>
  <c r="N135" i="1"/>
  <c r="O135" i="1"/>
  <c r="P135" i="1"/>
  <c r="Q135" i="1"/>
  <c r="R135" i="1"/>
  <c r="S135" i="1"/>
  <c r="T135" i="1"/>
  <c r="U135" i="1"/>
  <c r="V135" i="1"/>
  <c r="AB135" i="1"/>
  <c r="AD135" i="1"/>
  <c r="AE135" i="1"/>
  <c r="AI135" i="1"/>
  <c r="AJ135" i="1"/>
  <c r="AK135" i="1"/>
  <c r="AP135" i="1"/>
  <c r="AR135" i="1"/>
  <c r="AY135" i="1"/>
  <c r="BE135" i="1"/>
  <c r="BF135" i="1"/>
  <c r="C136" i="1"/>
  <c r="D136" i="1"/>
  <c r="E136" i="1"/>
  <c r="F136" i="1"/>
  <c r="G136" i="1"/>
  <c r="H136" i="1"/>
  <c r="L136" i="1"/>
  <c r="M136" i="1"/>
  <c r="N136" i="1"/>
  <c r="O136" i="1"/>
  <c r="P136" i="1"/>
  <c r="Q136" i="1"/>
  <c r="R136" i="1"/>
  <c r="S136" i="1"/>
  <c r="T136" i="1"/>
  <c r="U136" i="1"/>
  <c r="V136" i="1"/>
  <c r="AB136" i="1"/>
  <c r="AD136" i="1"/>
  <c r="AE136" i="1"/>
  <c r="AI136" i="1"/>
  <c r="AJ136" i="1"/>
  <c r="AK136" i="1"/>
  <c r="AP136" i="1"/>
  <c r="AR136" i="1"/>
  <c r="AY136" i="1"/>
  <c r="BE136" i="1"/>
  <c r="BF136" i="1"/>
  <c r="C137" i="1"/>
  <c r="D137" i="1"/>
  <c r="E137" i="1"/>
  <c r="F137" i="1"/>
  <c r="G137" i="1"/>
  <c r="H137" i="1"/>
  <c r="L137" i="1"/>
  <c r="M137" i="1"/>
  <c r="N137" i="1"/>
  <c r="O137" i="1"/>
  <c r="P137" i="1"/>
  <c r="Q137" i="1"/>
  <c r="R137" i="1"/>
  <c r="S137" i="1"/>
  <c r="T137" i="1"/>
  <c r="U137" i="1"/>
  <c r="V137" i="1"/>
  <c r="AB137" i="1"/>
  <c r="AD137" i="1"/>
  <c r="AE137" i="1"/>
  <c r="AI137" i="1"/>
  <c r="AJ137" i="1"/>
  <c r="AK137" i="1"/>
  <c r="AP137" i="1"/>
  <c r="AR137" i="1"/>
  <c r="AY137" i="1"/>
  <c r="BE137" i="1"/>
  <c r="BF137" i="1"/>
  <c r="C138" i="1"/>
  <c r="D138" i="1"/>
  <c r="E138" i="1"/>
  <c r="F138" i="1"/>
  <c r="G138" i="1"/>
  <c r="H138" i="1"/>
  <c r="L138" i="1"/>
  <c r="M138" i="1"/>
  <c r="N138" i="1"/>
  <c r="O138" i="1"/>
  <c r="P138" i="1"/>
  <c r="Q138" i="1"/>
  <c r="R138" i="1"/>
  <c r="S138" i="1"/>
  <c r="T138" i="1"/>
  <c r="U138" i="1"/>
  <c r="V138" i="1"/>
  <c r="AB138" i="1"/>
  <c r="AD138" i="1"/>
  <c r="AE138" i="1"/>
  <c r="AI138" i="1"/>
  <c r="AJ138" i="1"/>
  <c r="AK138" i="1"/>
  <c r="AP138" i="1"/>
  <c r="AR138" i="1"/>
  <c r="AY138" i="1"/>
  <c r="BE138" i="1"/>
  <c r="BF138" i="1"/>
  <c r="C139" i="1"/>
  <c r="D139" i="1"/>
  <c r="E139" i="1"/>
  <c r="F139" i="1"/>
  <c r="G139" i="1"/>
  <c r="H139" i="1"/>
  <c r="L139" i="1"/>
  <c r="M139" i="1"/>
  <c r="N139" i="1"/>
  <c r="O139" i="1"/>
  <c r="P139" i="1"/>
  <c r="Q139" i="1"/>
  <c r="R139" i="1"/>
  <c r="S139" i="1"/>
  <c r="T139" i="1"/>
  <c r="U139" i="1"/>
  <c r="V139" i="1"/>
  <c r="AB139" i="1"/>
  <c r="AD139" i="1"/>
  <c r="AE139" i="1"/>
  <c r="AI139" i="1"/>
  <c r="AJ139" i="1"/>
  <c r="AK139" i="1"/>
  <c r="AP139" i="1"/>
  <c r="AR139" i="1"/>
  <c r="AY139" i="1"/>
  <c r="BE139" i="1"/>
  <c r="BF139" i="1"/>
  <c r="C140" i="1"/>
  <c r="D140" i="1"/>
  <c r="E140" i="1"/>
  <c r="F140" i="1"/>
  <c r="G140" i="1"/>
  <c r="H140" i="1"/>
  <c r="L140" i="1"/>
  <c r="M140" i="1"/>
  <c r="N140" i="1"/>
  <c r="O140" i="1"/>
  <c r="P140" i="1"/>
  <c r="Q140" i="1"/>
  <c r="R140" i="1"/>
  <c r="S140" i="1"/>
  <c r="T140" i="1"/>
  <c r="U140" i="1"/>
  <c r="V140" i="1"/>
  <c r="AB140" i="1"/>
  <c r="AD140" i="1"/>
  <c r="AE140" i="1"/>
  <c r="AI140" i="1"/>
  <c r="AJ140" i="1"/>
  <c r="AK140" i="1"/>
  <c r="AP140" i="1"/>
  <c r="AR140" i="1"/>
  <c r="AY140" i="1"/>
  <c r="BE140" i="1"/>
  <c r="BF140" i="1"/>
  <c r="C141" i="1"/>
  <c r="D141" i="1"/>
  <c r="E141" i="1"/>
  <c r="F141" i="1"/>
  <c r="G141" i="1"/>
  <c r="H141" i="1"/>
  <c r="L141" i="1"/>
  <c r="M141" i="1"/>
  <c r="N141" i="1"/>
  <c r="O141" i="1"/>
  <c r="P141" i="1"/>
  <c r="Q141" i="1"/>
  <c r="R141" i="1"/>
  <c r="S141" i="1"/>
  <c r="T141" i="1"/>
  <c r="U141" i="1"/>
  <c r="V141" i="1"/>
  <c r="AB141" i="1"/>
  <c r="AD141" i="1"/>
  <c r="AE141" i="1"/>
  <c r="AI141" i="1"/>
  <c r="AJ141" i="1"/>
  <c r="AK141" i="1"/>
  <c r="AP141" i="1"/>
  <c r="AR141" i="1"/>
  <c r="AY141" i="1"/>
  <c r="BE141" i="1"/>
  <c r="BF141" i="1"/>
  <c r="C142" i="1"/>
  <c r="D142" i="1"/>
  <c r="E142" i="1"/>
  <c r="F142" i="1"/>
  <c r="G142" i="1"/>
  <c r="H142" i="1"/>
  <c r="L142" i="1"/>
  <c r="M142" i="1"/>
  <c r="N142" i="1"/>
  <c r="O142" i="1"/>
  <c r="P142" i="1"/>
  <c r="Q142" i="1"/>
  <c r="R142" i="1"/>
  <c r="S142" i="1"/>
  <c r="T142" i="1"/>
  <c r="U142" i="1"/>
  <c r="V142" i="1"/>
  <c r="AB142" i="1"/>
  <c r="AD142" i="1"/>
  <c r="AE142" i="1"/>
  <c r="AI142" i="1"/>
  <c r="AJ142" i="1"/>
  <c r="AK142" i="1"/>
  <c r="AP142" i="1"/>
  <c r="AR142" i="1"/>
  <c r="AY142" i="1"/>
  <c r="BE142" i="1"/>
  <c r="BF142" i="1"/>
  <c r="C143" i="1"/>
  <c r="D143" i="1"/>
  <c r="E143" i="1"/>
  <c r="F143" i="1"/>
  <c r="G143" i="1"/>
  <c r="H143" i="1"/>
  <c r="L143" i="1"/>
  <c r="M143" i="1"/>
  <c r="N143" i="1"/>
  <c r="O143" i="1"/>
  <c r="P143" i="1"/>
  <c r="Q143" i="1"/>
  <c r="R143" i="1"/>
  <c r="S143" i="1"/>
  <c r="T143" i="1"/>
  <c r="U143" i="1"/>
  <c r="V143" i="1"/>
  <c r="AB143" i="1"/>
  <c r="AD143" i="1"/>
  <c r="AE143" i="1"/>
  <c r="AI143" i="1"/>
  <c r="AJ143" i="1"/>
  <c r="AK143" i="1"/>
  <c r="AP143" i="1"/>
  <c r="AR143" i="1"/>
  <c r="AY143" i="1"/>
  <c r="BE143" i="1"/>
  <c r="BF143" i="1"/>
  <c r="C144" i="1"/>
  <c r="D144" i="1"/>
  <c r="E144" i="1"/>
  <c r="F144" i="1"/>
  <c r="G144" i="1"/>
  <c r="H144" i="1"/>
  <c r="L144" i="1"/>
  <c r="M144" i="1"/>
  <c r="N144" i="1"/>
  <c r="O144" i="1"/>
  <c r="P144" i="1"/>
  <c r="Q144" i="1"/>
  <c r="R144" i="1"/>
  <c r="S144" i="1"/>
  <c r="T144" i="1"/>
  <c r="U144" i="1"/>
  <c r="V144" i="1"/>
  <c r="AB144" i="1"/>
  <c r="AD144" i="1"/>
  <c r="AE144" i="1"/>
  <c r="AI144" i="1"/>
  <c r="AJ144" i="1"/>
  <c r="AK144" i="1"/>
  <c r="AP144" i="1"/>
  <c r="AR144" i="1"/>
  <c r="AY144" i="1"/>
  <c r="BE144" i="1"/>
  <c r="BF144" i="1"/>
  <c r="C145" i="1"/>
  <c r="D145" i="1"/>
  <c r="E145" i="1"/>
  <c r="F145" i="1"/>
  <c r="G145" i="1"/>
  <c r="H145" i="1"/>
  <c r="L145" i="1"/>
  <c r="M145" i="1"/>
  <c r="N145" i="1"/>
  <c r="O145" i="1"/>
  <c r="P145" i="1"/>
  <c r="Q145" i="1"/>
  <c r="R145" i="1"/>
  <c r="S145" i="1"/>
  <c r="T145" i="1"/>
  <c r="U145" i="1"/>
  <c r="V145" i="1"/>
  <c r="AB145" i="1"/>
  <c r="AD145" i="1"/>
  <c r="AE145" i="1"/>
  <c r="AI145" i="1"/>
  <c r="AJ145" i="1"/>
  <c r="AK145" i="1"/>
  <c r="AP145" i="1"/>
  <c r="AR145" i="1"/>
  <c r="AY145" i="1"/>
  <c r="BE145" i="1"/>
  <c r="BF145" i="1"/>
  <c r="C146" i="1"/>
  <c r="D146" i="1"/>
  <c r="E146" i="1"/>
  <c r="F146" i="1"/>
  <c r="G146" i="1"/>
  <c r="H146" i="1"/>
  <c r="L146" i="1"/>
  <c r="M146" i="1"/>
  <c r="N146" i="1"/>
  <c r="O146" i="1"/>
  <c r="P146" i="1"/>
  <c r="Q146" i="1"/>
  <c r="R146" i="1"/>
  <c r="S146" i="1"/>
  <c r="T146" i="1"/>
  <c r="U146" i="1"/>
  <c r="V146" i="1"/>
  <c r="AB146" i="1"/>
  <c r="AD146" i="1"/>
  <c r="AE146" i="1"/>
  <c r="AI146" i="1"/>
  <c r="AJ146" i="1"/>
  <c r="AK146" i="1"/>
  <c r="AP146" i="1"/>
  <c r="AR146" i="1"/>
  <c r="AY146" i="1"/>
  <c r="BE146" i="1"/>
  <c r="BF146" i="1"/>
  <c r="C147" i="1"/>
  <c r="D147" i="1"/>
  <c r="E147" i="1"/>
  <c r="F147" i="1"/>
  <c r="G147" i="1"/>
  <c r="H147" i="1"/>
  <c r="L147" i="1"/>
  <c r="M147" i="1"/>
  <c r="N147" i="1"/>
  <c r="O147" i="1"/>
  <c r="P147" i="1"/>
  <c r="Q147" i="1"/>
  <c r="R147" i="1"/>
  <c r="S147" i="1"/>
  <c r="T147" i="1"/>
  <c r="U147" i="1"/>
  <c r="V147" i="1"/>
  <c r="AB147" i="1"/>
  <c r="AD147" i="1"/>
  <c r="AE147" i="1"/>
  <c r="AI147" i="1"/>
  <c r="AJ147" i="1"/>
  <c r="AK147" i="1"/>
  <c r="AP147" i="1"/>
  <c r="AR147" i="1"/>
  <c r="AY147" i="1"/>
  <c r="BE147" i="1"/>
  <c r="BF147" i="1"/>
  <c r="C148" i="1"/>
  <c r="D148" i="1"/>
  <c r="E148" i="1"/>
  <c r="F148" i="1"/>
  <c r="G148" i="1"/>
  <c r="H148" i="1"/>
  <c r="L148" i="1"/>
  <c r="M148" i="1"/>
  <c r="N148" i="1"/>
  <c r="O148" i="1"/>
  <c r="P148" i="1"/>
  <c r="Q148" i="1"/>
  <c r="R148" i="1"/>
  <c r="S148" i="1"/>
  <c r="T148" i="1"/>
  <c r="U148" i="1"/>
  <c r="V148" i="1"/>
  <c r="AB148" i="1"/>
  <c r="AD148" i="1"/>
  <c r="AE148" i="1"/>
  <c r="AI148" i="1"/>
  <c r="AJ148" i="1"/>
  <c r="AK148" i="1"/>
  <c r="AP148" i="1"/>
  <c r="AR148" i="1"/>
  <c r="AY148" i="1"/>
  <c r="BE148" i="1"/>
  <c r="BF148" i="1"/>
  <c r="C149" i="1"/>
  <c r="D149" i="1"/>
  <c r="E149" i="1"/>
  <c r="F149" i="1"/>
  <c r="G149" i="1"/>
  <c r="H149" i="1"/>
  <c r="L149" i="1"/>
  <c r="M149" i="1"/>
  <c r="N149" i="1"/>
  <c r="O149" i="1"/>
  <c r="P149" i="1"/>
  <c r="Q149" i="1"/>
  <c r="R149" i="1"/>
  <c r="S149" i="1"/>
  <c r="T149" i="1"/>
  <c r="U149" i="1"/>
  <c r="V149" i="1"/>
  <c r="AB149" i="1"/>
  <c r="AD149" i="1"/>
  <c r="AE149" i="1"/>
  <c r="AI149" i="1"/>
  <c r="AJ149" i="1"/>
  <c r="AK149" i="1"/>
  <c r="AP149" i="1"/>
  <c r="AR149" i="1"/>
  <c r="AY149" i="1"/>
  <c r="BE149" i="1"/>
  <c r="BF149" i="1"/>
  <c r="C150" i="1"/>
  <c r="D150" i="1"/>
  <c r="E150" i="1"/>
  <c r="F150" i="1"/>
  <c r="G150" i="1"/>
  <c r="H150" i="1"/>
  <c r="L150" i="1"/>
  <c r="M150" i="1"/>
  <c r="N150" i="1"/>
  <c r="O150" i="1"/>
  <c r="P150" i="1"/>
  <c r="Q150" i="1"/>
  <c r="R150" i="1"/>
  <c r="S150" i="1"/>
  <c r="T150" i="1"/>
  <c r="U150" i="1"/>
  <c r="V150" i="1"/>
  <c r="AB150" i="1"/>
  <c r="AD150" i="1"/>
  <c r="AE150" i="1"/>
  <c r="AI150" i="1"/>
  <c r="AJ150" i="1"/>
  <c r="AK150" i="1"/>
  <c r="AP150" i="1"/>
  <c r="AR150" i="1"/>
  <c r="AY150" i="1"/>
  <c r="BE150" i="1"/>
  <c r="BF150" i="1"/>
  <c r="C151" i="1"/>
  <c r="D151" i="1"/>
  <c r="E151" i="1"/>
  <c r="F151" i="1"/>
  <c r="G151" i="1"/>
  <c r="H151" i="1"/>
  <c r="L151" i="1"/>
  <c r="M151" i="1"/>
  <c r="N151" i="1"/>
  <c r="O151" i="1"/>
  <c r="P151" i="1"/>
  <c r="Q151" i="1"/>
  <c r="R151" i="1"/>
  <c r="S151" i="1"/>
  <c r="T151" i="1"/>
  <c r="U151" i="1"/>
  <c r="V151" i="1"/>
  <c r="AB151" i="1"/>
  <c r="AD151" i="1"/>
  <c r="AE151" i="1"/>
  <c r="AI151" i="1"/>
  <c r="AJ151" i="1"/>
  <c r="AK151" i="1"/>
  <c r="AP151" i="1"/>
  <c r="AR151" i="1"/>
  <c r="AY151" i="1"/>
  <c r="BE151" i="1"/>
  <c r="BF151" i="1"/>
  <c r="C152" i="1"/>
  <c r="D152" i="1"/>
  <c r="E152" i="1"/>
  <c r="F152" i="1"/>
  <c r="G152" i="1"/>
  <c r="H152" i="1"/>
  <c r="L152" i="1"/>
  <c r="M152" i="1"/>
  <c r="N152" i="1"/>
  <c r="O152" i="1"/>
  <c r="P152" i="1"/>
  <c r="Q152" i="1"/>
  <c r="R152" i="1"/>
  <c r="S152" i="1"/>
  <c r="T152" i="1"/>
  <c r="U152" i="1"/>
  <c r="V152" i="1"/>
  <c r="AB152" i="1"/>
  <c r="AD152" i="1"/>
  <c r="AE152" i="1"/>
  <c r="AI152" i="1"/>
  <c r="AJ152" i="1"/>
  <c r="AK152" i="1"/>
  <c r="AP152" i="1"/>
  <c r="AR152" i="1"/>
  <c r="AY152" i="1"/>
  <c r="BE152" i="1"/>
  <c r="BF152" i="1"/>
  <c r="C153" i="1"/>
  <c r="D153" i="1"/>
  <c r="E153" i="1"/>
  <c r="F153" i="1"/>
  <c r="G153" i="1"/>
  <c r="H153" i="1"/>
  <c r="L153" i="1"/>
  <c r="M153" i="1"/>
  <c r="N153" i="1"/>
  <c r="O153" i="1"/>
  <c r="P153" i="1"/>
  <c r="Q153" i="1"/>
  <c r="R153" i="1"/>
  <c r="S153" i="1"/>
  <c r="T153" i="1"/>
  <c r="U153" i="1"/>
  <c r="V153" i="1"/>
  <c r="AB153" i="1"/>
  <c r="AD153" i="1"/>
  <c r="AE153" i="1"/>
  <c r="AI153" i="1"/>
  <c r="AJ153" i="1"/>
  <c r="AK153" i="1"/>
  <c r="AP153" i="1"/>
  <c r="AR153" i="1"/>
  <c r="AY153" i="1"/>
  <c r="BE153" i="1"/>
  <c r="BF153" i="1"/>
  <c r="C154" i="1"/>
  <c r="D154" i="1"/>
  <c r="E154" i="1"/>
  <c r="F154" i="1"/>
  <c r="G154" i="1"/>
  <c r="H154" i="1"/>
  <c r="L154" i="1"/>
  <c r="M154" i="1"/>
  <c r="N154" i="1"/>
  <c r="O154" i="1"/>
  <c r="P154" i="1"/>
  <c r="Q154" i="1"/>
  <c r="R154" i="1"/>
  <c r="S154" i="1"/>
  <c r="T154" i="1"/>
  <c r="U154" i="1"/>
  <c r="V154" i="1"/>
  <c r="AB154" i="1"/>
  <c r="AD154" i="1"/>
  <c r="AE154" i="1"/>
  <c r="AI154" i="1"/>
  <c r="AJ154" i="1"/>
  <c r="AK154" i="1"/>
  <c r="AP154" i="1"/>
  <c r="AR154" i="1"/>
  <c r="AY154" i="1"/>
  <c r="BE154" i="1"/>
  <c r="BF154" i="1"/>
  <c r="C155" i="1"/>
  <c r="D155" i="1"/>
  <c r="E155" i="1"/>
  <c r="F155" i="1"/>
  <c r="G155" i="1"/>
  <c r="H155" i="1"/>
  <c r="L155" i="1"/>
  <c r="M155" i="1"/>
  <c r="N155" i="1"/>
  <c r="O155" i="1"/>
  <c r="P155" i="1"/>
  <c r="Q155" i="1"/>
  <c r="R155" i="1"/>
  <c r="S155" i="1"/>
  <c r="T155" i="1"/>
  <c r="U155" i="1"/>
  <c r="V155" i="1"/>
  <c r="AB155" i="1"/>
  <c r="AD155" i="1"/>
  <c r="AE155" i="1"/>
  <c r="AI155" i="1"/>
  <c r="AJ155" i="1"/>
  <c r="AK155" i="1"/>
  <c r="AP155" i="1"/>
  <c r="AR155" i="1"/>
  <c r="AY155" i="1"/>
  <c r="BE155" i="1"/>
  <c r="BF155" i="1"/>
  <c r="C156" i="1"/>
  <c r="D156" i="1"/>
  <c r="E156" i="1"/>
  <c r="F156" i="1"/>
  <c r="G156" i="1"/>
  <c r="H156" i="1"/>
  <c r="L156" i="1"/>
  <c r="M156" i="1"/>
  <c r="N156" i="1"/>
  <c r="O156" i="1"/>
  <c r="P156" i="1"/>
  <c r="Q156" i="1"/>
  <c r="R156" i="1"/>
  <c r="S156" i="1"/>
  <c r="T156" i="1"/>
  <c r="U156" i="1"/>
  <c r="V156" i="1"/>
  <c r="AB156" i="1"/>
  <c r="AD156" i="1"/>
  <c r="AE156" i="1"/>
  <c r="AI156" i="1"/>
  <c r="AJ156" i="1"/>
  <c r="AK156" i="1"/>
  <c r="AP156" i="1"/>
  <c r="AR156" i="1"/>
  <c r="AY156" i="1"/>
  <c r="BE156" i="1"/>
  <c r="BF156" i="1"/>
  <c r="C157" i="1"/>
  <c r="D157" i="1"/>
  <c r="E157" i="1"/>
  <c r="F157" i="1"/>
  <c r="G157" i="1"/>
  <c r="H157" i="1"/>
  <c r="L157" i="1"/>
  <c r="M157" i="1"/>
  <c r="N157" i="1"/>
  <c r="O157" i="1"/>
  <c r="P157" i="1"/>
  <c r="Q157" i="1"/>
  <c r="R157" i="1"/>
  <c r="S157" i="1"/>
  <c r="T157" i="1"/>
  <c r="U157" i="1"/>
  <c r="V157" i="1"/>
  <c r="AB157" i="1"/>
  <c r="AD157" i="1"/>
  <c r="AE157" i="1"/>
  <c r="AI157" i="1"/>
  <c r="AJ157" i="1"/>
  <c r="AK157" i="1"/>
  <c r="AP157" i="1"/>
  <c r="AR157" i="1"/>
  <c r="AY157" i="1"/>
  <c r="BE157" i="1"/>
  <c r="BF157" i="1"/>
  <c r="C158" i="1"/>
  <c r="D158" i="1"/>
  <c r="E158" i="1"/>
  <c r="F158" i="1"/>
  <c r="G158" i="1"/>
  <c r="H158" i="1"/>
  <c r="L158" i="1"/>
  <c r="M158" i="1"/>
  <c r="N158" i="1"/>
  <c r="O158" i="1"/>
  <c r="P158" i="1"/>
  <c r="Q158" i="1"/>
  <c r="R158" i="1"/>
  <c r="S158" i="1"/>
  <c r="T158" i="1"/>
  <c r="U158" i="1"/>
  <c r="V158" i="1"/>
  <c r="AB158" i="1"/>
  <c r="AD158" i="1"/>
  <c r="AE158" i="1"/>
  <c r="AI158" i="1"/>
  <c r="AJ158" i="1"/>
  <c r="AK158" i="1"/>
  <c r="AP158" i="1"/>
  <c r="AR158" i="1"/>
  <c r="AY158" i="1"/>
  <c r="BE158" i="1"/>
  <c r="BF158" i="1"/>
  <c r="C159" i="1"/>
  <c r="D159" i="1"/>
  <c r="E159" i="1"/>
  <c r="F159" i="1"/>
  <c r="G159" i="1"/>
  <c r="H159" i="1"/>
  <c r="L159" i="1"/>
  <c r="M159" i="1"/>
  <c r="N159" i="1"/>
  <c r="O159" i="1"/>
  <c r="P159" i="1"/>
  <c r="Q159" i="1"/>
  <c r="R159" i="1"/>
  <c r="S159" i="1"/>
  <c r="T159" i="1"/>
  <c r="U159" i="1"/>
  <c r="V159" i="1"/>
  <c r="AB159" i="1"/>
  <c r="AD159" i="1"/>
  <c r="AE159" i="1"/>
  <c r="AI159" i="1"/>
  <c r="AJ159" i="1"/>
  <c r="AK159" i="1"/>
  <c r="AP159" i="1"/>
  <c r="AR159" i="1"/>
  <c r="AY159" i="1"/>
  <c r="BE159" i="1"/>
  <c r="BF159" i="1"/>
  <c r="C160" i="1"/>
  <c r="D160" i="1"/>
  <c r="E160" i="1"/>
  <c r="F160" i="1"/>
  <c r="G160" i="1"/>
  <c r="H160" i="1"/>
  <c r="L160" i="1"/>
  <c r="M160" i="1"/>
  <c r="N160" i="1"/>
  <c r="O160" i="1"/>
  <c r="P160" i="1"/>
  <c r="Q160" i="1"/>
  <c r="R160" i="1"/>
  <c r="S160" i="1"/>
  <c r="T160" i="1"/>
  <c r="U160" i="1"/>
  <c r="V160" i="1"/>
  <c r="AB160" i="1"/>
  <c r="AD160" i="1"/>
  <c r="AE160" i="1"/>
  <c r="AI160" i="1"/>
  <c r="AJ160" i="1"/>
  <c r="AK160" i="1"/>
  <c r="AP160" i="1"/>
  <c r="AR160" i="1"/>
  <c r="AY160" i="1"/>
  <c r="BE160" i="1"/>
  <c r="BF160" i="1"/>
  <c r="C161" i="1"/>
  <c r="D161" i="1"/>
  <c r="E161" i="1"/>
  <c r="F161" i="1"/>
  <c r="G161" i="1"/>
  <c r="H161" i="1"/>
  <c r="L161" i="1"/>
  <c r="M161" i="1"/>
  <c r="N161" i="1"/>
  <c r="O161" i="1"/>
  <c r="P161" i="1"/>
  <c r="Q161" i="1"/>
  <c r="R161" i="1"/>
  <c r="S161" i="1"/>
  <c r="T161" i="1"/>
  <c r="U161" i="1"/>
  <c r="V161" i="1"/>
  <c r="AB161" i="1"/>
  <c r="AD161" i="1"/>
  <c r="AE161" i="1"/>
  <c r="AI161" i="1"/>
  <c r="AJ161" i="1"/>
  <c r="AK161" i="1"/>
  <c r="AP161" i="1"/>
  <c r="AR161" i="1"/>
  <c r="AY161" i="1"/>
  <c r="BE161" i="1"/>
  <c r="BF161" i="1"/>
  <c r="C162" i="1"/>
  <c r="D162" i="1"/>
  <c r="E162" i="1"/>
  <c r="F162" i="1"/>
  <c r="G162" i="1"/>
  <c r="H162" i="1"/>
  <c r="L162" i="1"/>
  <c r="M162" i="1"/>
  <c r="N162" i="1"/>
  <c r="O162" i="1"/>
  <c r="P162" i="1"/>
  <c r="Q162" i="1"/>
  <c r="R162" i="1"/>
  <c r="S162" i="1"/>
  <c r="T162" i="1"/>
  <c r="U162" i="1"/>
  <c r="V162" i="1"/>
  <c r="AB162" i="1"/>
  <c r="AD162" i="1"/>
  <c r="AE162" i="1"/>
  <c r="AI162" i="1"/>
  <c r="AJ162" i="1"/>
  <c r="AK162" i="1"/>
  <c r="AP162" i="1"/>
  <c r="AR162" i="1"/>
  <c r="AY162" i="1"/>
  <c r="BE162" i="1"/>
  <c r="BF162" i="1"/>
  <c r="C163" i="1"/>
  <c r="D163" i="1"/>
  <c r="E163" i="1"/>
  <c r="F163" i="1"/>
  <c r="G163" i="1"/>
  <c r="H163" i="1"/>
  <c r="L163" i="1"/>
  <c r="M163" i="1"/>
  <c r="N163" i="1"/>
  <c r="O163" i="1"/>
  <c r="P163" i="1"/>
  <c r="Q163" i="1"/>
  <c r="R163" i="1"/>
  <c r="S163" i="1"/>
  <c r="T163" i="1"/>
  <c r="U163" i="1"/>
  <c r="V163" i="1"/>
  <c r="AB163" i="1"/>
  <c r="AD163" i="1"/>
  <c r="AE163" i="1"/>
  <c r="AI163" i="1"/>
  <c r="AJ163" i="1"/>
  <c r="AK163" i="1"/>
  <c r="AP163" i="1"/>
  <c r="AR163" i="1"/>
  <c r="AY163" i="1"/>
  <c r="BE163" i="1"/>
  <c r="BF163" i="1"/>
  <c r="C164" i="1"/>
  <c r="D164" i="1"/>
  <c r="E164" i="1"/>
  <c r="F164" i="1"/>
  <c r="G164" i="1"/>
  <c r="H164" i="1"/>
  <c r="L164" i="1"/>
  <c r="M164" i="1"/>
  <c r="N164" i="1"/>
  <c r="O164" i="1"/>
  <c r="P164" i="1"/>
  <c r="Q164" i="1"/>
  <c r="R164" i="1"/>
  <c r="S164" i="1"/>
  <c r="T164" i="1"/>
  <c r="U164" i="1"/>
  <c r="V164" i="1"/>
  <c r="AB164" i="1"/>
  <c r="AD164" i="1"/>
  <c r="AE164" i="1"/>
  <c r="AI164" i="1"/>
  <c r="AJ164" i="1"/>
  <c r="AK164" i="1"/>
  <c r="AP164" i="1"/>
  <c r="AR164" i="1"/>
  <c r="AY164" i="1"/>
  <c r="BE164" i="1"/>
  <c r="BF164" i="1"/>
  <c r="C165" i="1"/>
  <c r="D165" i="1"/>
  <c r="E165" i="1"/>
  <c r="F165" i="1"/>
  <c r="G165" i="1"/>
  <c r="H165" i="1"/>
  <c r="L165" i="1"/>
  <c r="M165" i="1"/>
  <c r="N165" i="1"/>
  <c r="O165" i="1"/>
  <c r="P165" i="1"/>
  <c r="Q165" i="1"/>
  <c r="R165" i="1"/>
  <c r="S165" i="1"/>
  <c r="T165" i="1"/>
  <c r="U165" i="1"/>
  <c r="V165" i="1"/>
  <c r="AB165" i="1"/>
  <c r="AD165" i="1"/>
  <c r="AE165" i="1"/>
  <c r="AI165" i="1"/>
  <c r="AJ165" i="1"/>
  <c r="AK165" i="1"/>
  <c r="AP165" i="1"/>
  <c r="AR165" i="1"/>
  <c r="AY165" i="1"/>
  <c r="BE165" i="1"/>
  <c r="BF165" i="1"/>
  <c r="C166" i="1"/>
  <c r="D166" i="1"/>
  <c r="E166" i="1"/>
  <c r="F166" i="1"/>
  <c r="G166" i="1"/>
  <c r="H166" i="1"/>
  <c r="L166" i="1"/>
  <c r="M166" i="1"/>
  <c r="N166" i="1"/>
  <c r="O166" i="1"/>
  <c r="P166" i="1"/>
  <c r="Q166" i="1"/>
  <c r="R166" i="1"/>
  <c r="S166" i="1"/>
  <c r="T166" i="1"/>
  <c r="U166" i="1"/>
  <c r="V166" i="1"/>
  <c r="AB166" i="1"/>
  <c r="AD166" i="1"/>
  <c r="AE166" i="1"/>
  <c r="AI166" i="1"/>
  <c r="AJ166" i="1"/>
  <c r="AK166" i="1"/>
  <c r="AP166" i="1"/>
  <c r="AR166" i="1"/>
  <c r="AY166" i="1"/>
  <c r="BE166" i="1"/>
  <c r="BF166" i="1"/>
  <c r="C167" i="1"/>
  <c r="D167" i="1"/>
  <c r="E167" i="1"/>
  <c r="F167" i="1"/>
  <c r="G167" i="1"/>
  <c r="H167" i="1"/>
  <c r="L167" i="1"/>
  <c r="M167" i="1"/>
  <c r="N167" i="1"/>
  <c r="O167" i="1"/>
  <c r="P167" i="1"/>
  <c r="Q167" i="1"/>
  <c r="R167" i="1"/>
  <c r="S167" i="1"/>
  <c r="T167" i="1"/>
  <c r="U167" i="1"/>
  <c r="V167" i="1"/>
  <c r="AB167" i="1"/>
  <c r="AD167" i="1"/>
  <c r="AE167" i="1"/>
  <c r="AI167" i="1"/>
  <c r="AJ167" i="1"/>
  <c r="AK167" i="1"/>
  <c r="AP167" i="1"/>
  <c r="AR167" i="1"/>
  <c r="AY167" i="1"/>
  <c r="BE167" i="1"/>
  <c r="BF167" i="1"/>
  <c r="C168" i="1"/>
  <c r="D168" i="1"/>
  <c r="E168" i="1"/>
  <c r="F168" i="1"/>
  <c r="G168" i="1"/>
  <c r="H168" i="1"/>
  <c r="L168" i="1"/>
  <c r="M168" i="1"/>
  <c r="N168" i="1"/>
  <c r="O168" i="1"/>
  <c r="P168" i="1"/>
  <c r="Q168" i="1"/>
  <c r="R168" i="1"/>
  <c r="S168" i="1"/>
  <c r="T168" i="1"/>
  <c r="U168" i="1"/>
  <c r="V168" i="1"/>
  <c r="AB168" i="1"/>
  <c r="AD168" i="1"/>
  <c r="AE168" i="1"/>
  <c r="AI168" i="1"/>
  <c r="AJ168" i="1"/>
  <c r="AK168" i="1"/>
  <c r="AP168" i="1"/>
  <c r="AR168" i="1"/>
  <c r="AY168" i="1"/>
  <c r="BE168" i="1"/>
  <c r="BF168" i="1"/>
  <c r="C169" i="1"/>
  <c r="D169" i="1"/>
  <c r="E169" i="1"/>
  <c r="F169" i="1"/>
  <c r="G169" i="1"/>
  <c r="H169" i="1"/>
  <c r="L169" i="1"/>
  <c r="M169" i="1"/>
  <c r="N169" i="1"/>
  <c r="O169" i="1"/>
  <c r="P169" i="1"/>
  <c r="Q169" i="1"/>
  <c r="R169" i="1"/>
  <c r="S169" i="1"/>
  <c r="T169" i="1"/>
  <c r="U169" i="1"/>
  <c r="V169" i="1"/>
  <c r="AB169" i="1"/>
  <c r="AD169" i="1"/>
  <c r="AE169" i="1"/>
  <c r="AI169" i="1"/>
  <c r="AJ169" i="1"/>
  <c r="AK169" i="1"/>
  <c r="AP169" i="1"/>
  <c r="AR169" i="1"/>
  <c r="AY169" i="1"/>
  <c r="BE169" i="1"/>
  <c r="BF169" i="1"/>
  <c r="C170" i="1"/>
  <c r="D170" i="1"/>
  <c r="E170" i="1"/>
  <c r="F170" i="1"/>
  <c r="G170" i="1"/>
  <c r="H170" i="1"/>
  <c r="L170" i="1"/>
  <c r="M170" i="1"/>
  <c r="N170" i="1"/>
  <c r="O170" i="1"/>
  <c r="P170" i="1"/>
  <c r="Q170" i="1"/>
  <c r="R170" i="1"/>
  <c r="S170" i="1"/>
  <c r="T170" i="1"/>
  <c r="U170" i="1"/>
  <c r="V170" i="1"/>
  <c r="AB170" i="1"/>
  <c r="AD170" i="1"/>
  <c r="AE170" i="1"/>
  <c r="AI170" i="1"/>
  <c r="AJ170" i="1"/>
  <c r="AK170" i="1"/>
  <c r="AP170" i="1"/>
  <c r="AR170" i="1"/>
  <c r="AY170" i="1"/>
  <c r="BE170" i="1"/>
  <c r="BF170" i="1"/>
  <c r="C468" i="1"/>
  <c r="D468" i="1"/>
  <c r="E468" i="1"/>
  <c r="F468" i="1"/>
  <c r="G468" i="1"/>
  <c r="H468" i="1"/>
  <c r="L468" i="1"/>
  <c r="M468" i="1"/>
  <c r="N468" i="1"/>
  <c r="O468" i="1"/>
  <c r="P468" i="1"/>
  <c r="Q468" i="1"/>
  <c r="R468" i="1"/>
  <c r="S468" i="1"/>
  <c r="T468" i="1"/>
  <c r="U468" i="1"/>
  <c r="V468" i="1"/>
  <c r="AB468" i="1"/>
  <c r="AD468" i="1"/>
  <c r="AE468" i="1"/>
  <c r="AI468" i="1"/>
  <c r="AJ468" i="1"/>
  <c r="AK468" i="1"/>
  <c r="AP468" i="1"/>
  <c r="AR468" i="1"/>
  <c r="AY468" i="1"/>
  <c r="BE468" i="1"/>
  <c r="BF468" i="1"/>
  <c r="C171" i="1"/>
  <c r="D171" i="1"/>
  <c r="E171" i="1"/>
  <c r="F171" i="1"/>
  <c r="G171" i="1"/>
  <c r="H171" i="1"/>
  <c r="L171" i="1"/>
  <c r="M171" i="1"/>
  <c r="N171" i="1"/>
  <c r="O171" i="1"/>
  <c r="P171" i="1"/>
  <c r="Q171" i="1"/>
  <c r="R171" i="1"/>
  <c r="S171" i="1"/>
  <c r="T171" i="1"/>
  <c r="U171" i="1"/>
  <c r="V171" i="1"/>
  <c r="AB171" i="1"/>
  <c r="AD171" i="1"/>
  <c r="AE171" i="1"/>
  <c r="AI171" i="1"/>
  <c r="AJ171" i="1"/>
  <c r="AK171" i="1"/>
  <c r="AP171" i="1"/>
  <c r="AR171" i="1"/>
  <c r="AY171" i="1"/>
  <c r="BE171" i="1"/>
  <c r="BF171" i="1"/>
  <c r="C172" i="1"/>
  <c r="D172" i="1"/>
  <c r="E172" i="1"/>
  <c r="F172" i="1"/>
  <c r="G172" i="1"/>
  <c r="H172" i="1"/>
  <c r="L172" i="1"/>
  <c r="M172" i="1"/>
  <c r="N172" i="1"/>
  <c r="O172" i="1"/>
  <c r="P172" i="1"/>
  <c r="Q172" i="1"/>
  <c r="R172" i="1"/>
  <c r="S172" i="1"/>
  <c r="T172" i="1"/>
  <c r="U172" i="1"/>
  <c r="V172" i="1"/>
  <c r="AB172" i="1"/>
  <c r="AD172" i="1"/>
  <c r="AE172" i="1"/>
  <c r="AI172" i="1"/>
  <c r="AJ172" i="1"/>
  <c r="AK172" i="1"/>
  <c r="AP172" i="1"/>
  <c r="AR172" i="1"/>
  <c r="AY172" i="1"/>
  <c r="BE172" i="1"/>
  <c r="BF172" i="1"/>
  <c r="C173" i="1"/>
  <c r="D173" i="1"/>
  <c r="E173" i="1"/>
  <c r="F173" i="1"/>
  <c r="G173" i="1"/>
  <c r="H173" i="1"/>
  <c r="L173" i="1"/>
  <c r="M173" i="1"/>
  <c r="N173" i="1"/>
  <c r="O173" i="1"/>
  <c r="P173" i="1"/>
  <c r="Q173" i="1"/>
  <c r="R173" i="1"/>
  <c r="S173" i="1"/>
  <c r="T173" i="1"/>
  <c r="U173" i="1"/>
  <c r="V173" i="1"/>
  <c r="AB173" i="1"/>
  <c r="AD173" i="1"/>
  <c r="AE173" i="1"/>
  <c r="AI173" i="1"/>
  <c r="AJ173" i="1"/>
  <c r="AK173" i="1"/>
  <c r="AP173" i="1"/>
  <c r="AR173" i="1"/>
  <c r="AY173" i="1"/>
  <c r="BE173" i="1"/>
  <c r="BF173" i="1"/>
  <c r="C174" i="1"/>
  <c r="D174" i="1"/>
  <c r="E174" i="1"/>
  <c r="F174" i="1"/>
  <c r="G174" i="1"/>
  <c r="H174" i="1"/>
  <c r="L174" i="1"/>
  <c r="M174" i="1"/>
  <c r="N174" i="1"/>
  <c r="O174" i="1"/>
  <c r="P174" i="1"/>
  <c r="Q174" i="1"/>
  <c r="R174" i="1"/>
  <c r="S174" i="1"/>
  <c r="T174" i="1"/>
  <c r="U174" i="1"/>
  <c r="V174" i="1"/>
  <c r="AB174" i="1"/>
  <c r="AD174" i="1"/>
  <c r="AE174" i="1"/>
  <c r="AI174" i="1"/>
  <c r="AJ174" i="1"/>
  <c r="AK174" i="1"/>
  <c r="AP174" i="1"/>
  <c r="AR174" i="1"/>
  <c r="AY174" i="1"/>
  <c r="BE174" i="1"/>
  <c r="BF174" i="1"/>
  <c r="C175" i="1"/>
  <c r="D175" i="1"/>
  <c r="E175" i="1"/>
  <c r="F175" i="1"/>
  <c r="G175" i="1"/>
  <c r="H175" i="1"/>
  <c r="L175" i="1"/>
  <c r="M175" i="1"/>
  <c r="N175" i="1"/>
  <c r="O175" i="1"/>
  <c r="P175" i="1"/>
  <c r="Q175" i="1"/>
  <c r="R175" i="1"/>
  <c r="S175" i="1"/>
  <c r="T175" i="1"/>
  <c r="U175" i="1"/>
  <c r="V175" i="1"/>
  <c r="AB175" i="1"/>
  <c r="AD175" i="1"/>
  <c r="AE175" i="1"/>
  <c r="AI175" i="1"/>
  <c r="AJ175" i="1"/>
  <c r="AK175" i="1"/>
  <c r="AP175" i="1"/>
  <c r="AR175" i="1"/>
  <c r="AY175" i="1"/>
  <c r="BE175" i="1"/>
  <c r="BF175" i="1"/>
  <c r="C176" i="1"/>
  <c r="D176" i="1"/>
  <c r="E176" i="1"/>
  <c r="F176" i="1"/>
  <c r="G176" i="1"/>
  <c r="H176" i="1"/>
  <c r="L176" i="1"/>
  <c r="M176" i="1"/>
  <c r="N176" i="1"/>
  <c r="O176" i="1"/>
  <c r="P176" i="1"/>
  <c r="Q176" i="1"/>
  <c r="R176" i="1"/>
  <c r="S176" i="1"/>
  <c r="T176" i="1"/>
  <c r="U176" i="1"/>
  <c r="V176" i="1"/>
  <c r="AB176" i="1"/>
  <c r="AD176" i="1"/>
  <c r="AE176" i="1"/>
  <c r="AI176" i="1"/>
  <c r="AJ176" i="1"/>
  <c r="AK176" i="1"/>
  <c r="AP176" i="1"/>
  <c r="AR176" i="1"/>
  <c r="AY176" i="1"/>
  <c r="BE176" i="1"/>
  <c r="BF176" i="1"/>
  <c r="C177" i="1"/>
  <c r="D177" i="1"/>
  <c r="E177" i="1"/>
  <c r="F177" i="1"/>
  <c r="G177" i="1"/>
  <c r="H177" i="1"/>
  <c r="L177" i="1"/>
  <c r="M177" i="1"/>
  <c r="N177" i="1"/>
  <c r="O177" i="1"/>
  <c r="P177" i="1"/>
  <c r="Q177" i="1"/>
  <c r="R177" i="1"/>
  <c r="S177" i="1"/>
  <c r="T177" i="1"/>
  <c r="U177" i="1"/>
  <c r="V177" i="1"/>
  <c r="AB177" i="1"/>
  <c r="AD177" i="1"/>
  <c r="AE177" i="1"/>
  <c r="AI177" i="1"/>
  <c r="AJ177" i="1"/>
  <c r="AK177" i="1"/>
  <c r="AP177" i="1"/>
  <c r="AR177" i="1"/>
  <c r="AY177" i="1"/>
  <c r="BE177" i="1"/>
  <c r="BF177" i="1"/>
  <c r="C178" i="1"/>
  <c r="D178" i="1"/>
  <c r="E178" i="1"/>
  <c r="F178" i="1"/>
  <c r="G178" i="1"/>
  <c r="H178" i="1"/>
  <c r="L178" i="1"/>
  <c r="M178" i="1"/>
  <c r="N178" i="1"/>
  <c r="O178" i="1"/>
  <c r="P178" i="1"/>
  <c r="Q178" i="1"/>
  <c r="R178" i="1"/>
  <c r="S178" i="1"/>
  <c r="T178" i="1"/>
  <c r="U178" i="1"/>
  <c r="V178" i="1"/>
  <c r="AB178" i="1"/>
  <c r="AD178" i="1"/>
  <c r="AE178" i="1"/>
  <c r="AI178" i="1"/>
  <c r="AJ178" i="1"/>
  <c r="AK178" i="1"/>
  <c r="AP178" i="1"/>
  <c r="AR178" i="1"/>
  <c r="AY178" i="1"/>
  <c r="BE178" i="1"/>
  <c r="BF178" i="1"/>
  <c r="C179" i="1"/>
  <c r="D179" i="1"/>
  <c r="E179" i="1"/>
  <c r="F179" i="1"/>
  <c r="G179" i="1"/>
  <c r="H179" i="1"/>
  <c r="L179" i="1"/>
  <c r="M179" i="1"/>
  <c r="N179" i="1"/>
  <c r="O179" i="1"/>
  <c r="P179" i="1"/>
  <c r="Q179" i="1"/>
  <c r="R179" i="1"/>
  <c r="S179" i="1"/>
  <c r="T179" i="1"/>
  <c r="U179" i="1"/>
  <c r="V179" i="1"/>
  <c r="AB179" i="1"/>
  <c r="AD179" i="1"/>
  <c r="AE179" i="1"/>
  <c r="AI179" i="1"/>
  <c r="AJ179" i="1"/>
  <c r="AK179" i="1"/>
  <c r="AP179" i="1"/>
  <c r="AR179" i="1"/>
  <c r="AY179" i="1"/>
  <c r="BE179" i="1"/>
  <c r="BF179" i="1"/>
  <c r="C180" i="1"/>
  <c r="D180" i="1"/>
  <c r="E180" i="1"/>
  <c r="F180" i="1"/>
  <c r="G180" i="1"/>
  <c r="H180" i="1"/>
  <c r="L180" i="1"/>
  <c r="M180" i="1"/>
  <c r="N180" i="1"/>
  <c r="O180" i="1"/>
  <c r="P180" i="1"/>
  <c r="Q180" i="1"/>
  <c r="R180" i="1"/>
  <c r="S180" i="1"/>
  <c r="T180" i="1"/>
  <c r="U180" i="1"/>
  <c r="V180" i="1"/>
  <c r="AB180" i="1"/>
  <c r="AD180" i="1"/>
  <c r="AE180" i="1"/>
  <c r="AI180" i="1"/>
  <c r="AJ180" i="1"/>
  <c r="AK180" i="1"/>
  <c r="AP180" i="1"/>
  <c r="AR180" i="1"/>
  <c r="AY180" i="1"/>
  <c r="BE180" i="1"/>
  <c r="BF180" i="1"/>
  <c r="C181" i="1"/>
  <c r="D181" i="1"/>
  <c r="E181" i="1"/>
  <c r="F181" i="1"/>
  <c r="G181" i="1"/>
  <c r="H181" i="1"/>
  <c r="L181" i="1"/>
  <c r="M181" i="1"/>
  <c r="N181" i="1"/>
  <c r="O181" i="1"/>
  <c r="P181" i="1"/>
  <c r="Q181" i="1"/>
  <c r="R181" i="1"/>
  <c r="S181" i="1"/>
  <c r="T181" i="1"/>
  <c r="U181" i="1"/>
  <c r="V181" i="1"/>
  <c r="AB181" i="1"/>
  <c r="AD181" i="1"/>
  <c r="AE181" i="1"/>
  <c r="AI181" i="1"/>
  <c r="AJ181" i="1"/>
  <c r="AK181" i="1"/>
  <c r="AP181" i="1"/>
  <c r="AR181" i="1"/>
  <c r="AY181" i="1"/>
  <c r="BE181" i="1"/>
  <c r="BF181" i="1"/>
  <c r="C182" i="1"/>
  <c r="D182" i="1"/>
  <c r="E182" i="1"/>
  <c r="F182" i="1"/>
  <c r="G182" i="1"/>
  <c r="H182" i="1"/>
  <c r="L182" i="1"/>
  <c r="M182" i="1"/>
  <c r="N182" i="1"/>
  <c r="O182" i="1"/>
  <c r="P182" i="1"/>
  <c r="Q182" i="1"/>
  <c r="R182" i="1"/>
  <c r="S182" i="1"/>
  <c r="T182" i="1"/>
  <c r="U182" i="1"/>
  <c r="V182" i="1"/>
  <c r="AB182" i="1"/>
  <c r="AD182" i="1"/>
  <c r="AE182" i="1"/>
  <c r="AI182" i="1"/>
  <c r="AJ182" i="1"/>
  <c r="AK182" i="1"/>
  <c r="AP182" i="1"/>
  <c r="AR182" i="1"/>
  <c r="AY182" i="1"/>
  <c r="BE182" i="1"/>
  <c r="BF182" i="1"/>
  <c r="C183" i="1"/>
  <c r="D183" i="1"/>
  <c r="E183" i="1"/>
  <c r="F183" i="1"/>
  <c r="G183" i="1"/>
  <c r="H183" i="1"/>
  <c r="L183" i="1"/>
  <c r="M183" i="1"/>
  <c r="N183" i="1"/>
  <c r="O183" i="1"/>
  <c r="P183" i="1"/>
  <c r="Q183" i="1"/>
  <c r="R183" i="1"/>
  <c r="S183" i="1"/>
  <c r="T183" i="1"/>
  <c r="U183" i="1"/>
  <c r="V183" i="1"/>
  <c r="AB183" i="1"/>
  <c r="AD183" i="1"/>
  <c r="AE183" i="1"/>
  <c r="AI183" i="1"/>
  <c r="AJ183" i="1"/>
  <c r="AK183" i="1"/>
  <c r="AP183" i="1"/>
  <c r="AR183" i="1"/>
  <c r="AY183" i="1"/>
  <c r="BE183" i="1"/>
  <c r="BF183" i="1"/>
  <c r="C184" i="1"/>
  <c r="D184" i="1"/>
  <c r="E184" i="1"/>
  <c r="F184" i="1"/>
  <c r="G184" i="1"/>
  <c r="H184" i="1"/>
  <c r="L184" i="1"/>
  <c r="M184" i="1"/>
  <c r="N184" i="1"/>
  <c r="O184" i="1"/>
  <c r="P184" i="1"/>
  <c r="Q184" i="1"/>
  <c r="R184" i="1"/>
  <c r="S184" i="1"/>
  <c r="T184" i="1"/>
  <c r="U184" i="1"/>
  <c r="V184" i="1"/>
  <c r="AB184" i="1"/>
  <c r="AD184" i="1"/>
  <c r="AE184" i="1"/>
  <c r="AI184" i="1"/>
  <c r="AJ184" i="1"/>
  <c r="AK184" i="1"/>
  <c r="AP184" i="1"/>
  <c r="AR184" i="1"/>
  <c r="AY184" i="1"/>
  <c r="BE184" i="1"/>
  <c r="BF184" i="1"/>
  <c r="C185" i="1"/>
  <c r="D185" i="1"/>
  <c r="E185" i="1"/>
  <c r="F185" i="1"/>
  <c r="G185" i="1"/>
  <c r="H185" i="1"/>
  <c r="L185" i="1"/>
  <c r="M185" i="1"/>
  <c r="N185" i="1"/>
  <c r="O185" i="1"/>
  <c r="P185" i="1"/>
  <c r="Q185" i="1"/>
  <c r="R185" i="1"/>
  <c r="S185" i="1"/>
  <c r="T185" i="1"/>
  <c r="U185" i="1"/>
  <c r="V185" i="1"/>
  <c r="AB185" i="1"/>
  <c r="AD185" i="1"/>
  <c r="AE185" i="1"/>
  <c r="AI185" i="1"/>
  <c r="AJ185" i="1"/>
  <c r="AK185" i="1"/>
  <c r="AP185" i="1"/>
  <c r="AR185" i="1"/>
  <c r="AY185" i="1"/>
  <c r="BE185" i="1"/>
  <c r="BF185" i="1"/>
  <c r="C186" i="1"/>
  <c r="D186" i="1"/>
  <c r="E186" i="1"/>
  <c r="F186" i="1"/>
  <c r="G186" i="1"/>
  <c r="H186" i="1"/>
  <c r="L186" i="1"/>
  <c r="M186" i="1"/>
  <c r="N186" i="1"/>
  <c r="O186" i="1"/>
  <c r="P186" i="1"/>
  <c r="Q186" i="1"/>
  <c r="R186" i="1"/>
  <c r="S186" i="1"/>
  <c r="T186" i="1"/>
  <c r="U186" i="1"/>
  <c r="V186" i="1"/>
  <c r="AB186" i="1"/>
  <c r="AD186" i="1"/>
  <c r="AE186" i="1"/>
  <c r="AI186" i="1"/>
  <c r="AJ186" i="1"/>
  <c r="AK186" i="1"/>
  <c r="AP186" i="1"/>
  <c r="AR186" i="1"/>
  <c r="AY186" i="1"/>
  <c r="BE186" i="1"/>
  <c r="BF186" i="1"/>
  <c r="C187" i="1"/>
  <c r="D187" i="1"/>
  <c r="E187" i="1"/>
  <c r="F187" i="1"/>
  <c r="G187" i="1"/>
  <c r="H187" i="1"/>
  <c r="L187" i="1"/>
  <c r="M187" i="1"/>
  <c r="N187" i="1"/>
  <c r="O187" i="1"/>
  <c r="P187" i="1"/>
  <c r="Q187" i="1"/>
  <c r="R187" i="1"/>
  <c r="S187" i="1"/>
  <c r="T187" i="1"/>
  <c r="U187" i="1"/>
  <c r="V187" i="1"/>
  <c r="AB187" i="1"/>
  <c r="AD187" i="1"/>
  <c r="AE187" i="1"/>
  <c r="AI187" i="1"/>
  <c r="AJ187" i="1"/>
  <c r="AK187" i="1"/>
  <c r="AP187" i="1"/>
  <c r="AR187" i="1"/>
  <c r="AY187" i="1"/>
  <c r="BE187" i="1"/>
  <c r="BF187" i="1"/>
  <c r="C188" i="1"/>
  <c r="D188" i="1"/>
  <c r="E188" i="1"/>
  <c r="F188" i="1"/>
  <c r="G188" i="1"/>
  <c r="H188" i="1"/>
  <c r="L188" i="1"/>
  <c r="M188" i="1"/>
  <c r="N188" i="1"/>
  <c r="O188" i="1"/>
  <c r="P188" i="1"/>
  <c r="Q188" i="1"/>
  <c r="R188" i="1"/>
  <c r="S188" i="1"/>
  <c r="T188" i="1"/>
  <c r="U188" i="1"/>
  <c r="V188" i="1"/>
  <c r="AB188" i="1"/>
  <c r="AD188" i="1"/>
  <c r="AE188" i="1"/>
  <c r="AI188" i="1"/>
  <c r="AJ188" i="1"/>
  <c r="AK188" i="1"/>
  <c r="AP188" i="1"/>
  <c r="AR188" i="1"/>
  <c r="AY188" i="1"/>
  <c r="BE188" i="1"/>
  <c r="BF188" i="1"/>
  <c r="C189" i="1"/>
  <c r="D189" i="1"/>
  <c r="E189" i="1"/>
  <c r="F189" i="1"/>
  <c r="G189" i="1"/>
  <c r="H189" i="1"/>
  <c r="L189" i="1"/>
  <c r="M189" i="1"/>
  <c r="N189" i="1"/>
  <c r="O189" i="1"/>
  <c r="P189" i="1"/>
  <c r="Q189" i="1"/>
  <c r="R189" i="1"/>
  <c r="S189" i="1"/>
  <c r="T189" i="1"/>
  <c r="U189" i="1"/>
  <c r="V189" i="1"/>
  <c r="AB189" i="1"/>
  <c r="AD189" i="1"/>
  <c r="AE189" i="1"/>
  <c r="AI189" i="1"/>
  <c r="AJ189" i="1"/>
  <c r="AK189" i="1"/>
  <c r="AP189" i="1"/>
  <c r="AR189" i="1"/>
  <c r="AY189" i="1"/>
  <c r="BE189" i="1"/>
  <c r="BF189" i="1"/>
  <c r="C190" i="1"/>
  <c r="D190" i="1"/>
  <c r="E190" i="1"/>
  <c r="F190" i="1"/>
  <c r="G190" i="1"/>
  <c r="H190" i="1"/>
  <c r="L190" i="1"/>
  <c r="M190" i="1"/>
  <c r="N190" i="1"/>
  <c r="O190" i="1"/>
  <c r="P190" i="1"/>
  <c r="Q190" i="1"/>
  <c r="R190" i="1"/>
  <c r="S190" i="1"/>
  <c r="T190" i="1"/>
  <c r="U190" i="1"/>
  <c r="V190" i="1"/>
  <c r="AB190" i="1"/>
  <c r="AD190" i="1"/>
  <c r="AE190" i="1"/>
  <c r="AI190" i="1"/>
  <c r="AJ190" i="1"/>
  <c r="AK190" i="1"/>
  <c r="AP190" i="1"/>
  <c r="AR190" i="1"/>
  <c r="AY190" i="1"/>
  <c r="BE190" i="1"/>
  <c r="BF190" i="1"/>
  <c r="C191" i="1"/>
  <c r="D191" i="1"/>
  <c r="E191" i="1"/>
  <c r="F191" i="1"/>
  <c r="G191" i="1"/>
  <c r="H191" i="1"/>
  <c r="L191" i="1"/>
  <c r="M191" i="1"/>
  <c r="N191" i="1"/>
  <c r="O191" i="1"/>
  <c r="P191" i="1"/>
  <c r="Q191" i="1"/>
  <c r="R191" i="1"/>
  <c r="S191" i="1"/>
  <c r="T191" i="1"/>
  <c r="U191" i="1"/>
  <c r="V191" i="1"/>
  <c r="AB191" i="1"/>
  <c r="AD191" i="1"/>
  <c r="AE191" i="1"/>
  <c r="AI191" i="1"/>
  <c r="AJ191" i="1"/>
  <c r="AK191" i="1"/>
  <c r="AP191" i="1"/>
  <c r="AR191" i="1"/>
  <c r="AY191" i="1"/>
  <c r="BE191" i="1"/>
  <c r="BF191" i="1"/>
  <c r="C192" i="1"/>
  <c r="D192" i="1"/>
  <c r="E192" i="1"/>
  <c r="F192" i="1"/>
  <c r="G192" i="1"/>
  <c r="H192" i="1"/>
  <c r="L192" i="1"/>
  <c r="M192" i="1"/>
  <c r="N192" i="1"/>
  <c r="O192" i="1"/>
  <c r="P192" i="1"/>
  <c r="Q192" i="1"/>
  <c r="R192" i="1"/>
  <c r="S192" i="1"/>
  <c r="T192" i="1"/>
  <c r="U192" i="1"/>
  <c r="V192" i="1"/>
  <c r="AB192" i="1"/>
  <c r="AD192" i="1"/>
  <c r="AE192" i="1"/>
  <c r="AI192" i="1"/>
  <c r="AJ192" i="1"/>
  <c r="AK192" i="1"/>
  <c r="AP192" i="1"/>
  <c r="AR192" i="1"/>
  <c r="AY192" i="1"/>
  <c r="BE192" i="1"/>
  <c r="BF192" i="1"/>
  <c r="C193" i="1"/>
  <c r="D193" i="1"/>
  <c r="E193" i="1"/>
  <c r="F193" i="1"/>
  <c r="G193" i="1"/>
  <c r="H193" i="1"/>
  <c r="L193" i="1"/>
  <c r="M193" i="1"/>
  <c r="N193" i="1"/>
  <c r="O193" i="1"/>
  <c r="P193" i="1"/>
  <c r="Q193" i="1"/>
  <c r="R193" i="1"/>
  <c r="S193" i="1"/>
  <c r="T193" i="1"/>
  <c r="U193" i="1"/>
  <c r="V193" i="1"/>
  <c r="AB193" i="1"/>
  <c r="AD193" i="1"/>
  <c r="AE193" i="1"/>
  <c r="AI193" i="1"/>
  <c r="AJ193" i="1"/>
  <c r="AK193" i="1"/>
  <c r="AP193" i="1"/>
  <c r="AR193" i="1"/>
  <c r="AY193" i="1"/>
  <c r="BE193" i="1"/>
  <c r="BF193" i="1"/>
  <c r="C194" i="1"/>
  <c r="D194" i="1"/>
  <c r="E194" i="1"/>
  <c r="F194" i="1"/>
  <c r="G194" i="1"/>
  <c r="H194" i="1"/>
  <c r="L194" i="1"/>
  <c r="M194" i="1"/>
  <c r="N194" i="1"/>
  <c r="O194" i="1"/>
  <c r="P194" i="1"/>
  <c r="Q194" i="1"/>
  <c r="R194" i="1"/>
  <c r="S194" i="1"/>
  <c r="T194" i="1"/>
  <c r="U194" i="1"/>
  <c r="V194" i="1"/>
  <c r="AB194" i="1"/>
  <c r="AD194" i="1"/>
  <c r="AE194" i="1"/>
  <c r="AI194" i="1"/>
  <c r="AJ194" i="1"/>
  <c r="AK194" i="1"/>
  <c r="AP194" i="1"/>
  <c r="AR194" i="1"/>
  <c r="AY194" i="1"/>
  <c r="BE194" i="1"/>
  <c r="BF194" i="1"/>
  <c r="C195" i="1"/>
  <c r="D195" i="1"/>
  <c r="E195" i="1"/>
  <c r="F195" i="1"/>
  <c r="G195" i="1"/>
  <c r="H195" i="1"/>
  <c r="L195" i="1"/>
  <c r="M195" i="1"/>
  <c r="N195" i="1"/>
  <c r="O195" i="1"/>
  <c r="P195" i="1"/>
  <c r="Q195" i="1"/>
  <c r="R195" i="1"/>
  <c r="S195" i="1"/>
  <c r="T195" i="1"/>
  <c r="U195" i="1"/>
  <c r="V195" i="1"/>
  <c r="AB195" i="1"/>
  <c r="AD195" i="1"/>
  <c r="AE195" i="1"/>
  <c r="AI195" i="1"/>
  <c r="AJ195" i="1"/>
  <c r="AK195" i="1"/>
  <c r="AP195" i="1"/>
  <c r="AR195" i="1"/>
  <c r="AY195" i="1"/>
  <c r="BE195" i="1"/>
  <c r="BF195" i="1"/>
  <c r="C196" i="1"/>
  <c r="D196" i="1"/>
  <c r="E196" i="1"/>
  <c r="F196" i="1"/>
  <c r="G196" i="1"/>
  <c r="H196" i="1"/>
  <c r="L196" i="1"/>
  <c r="M196" i="1"/>
  <c r="N196" i="1"/>
  <c r="O196" i="1"/>
  <c r="P196" i="1"/>
  <c r="Q196" i="1"/>
  <c r="R196" i="1"/>
  <c r="S196" i="1"/>
  <c r="T196" i="1"/>
  <c r="U196" i="1"/>
  <c r="V196" i="1"/>
  <c r="AB196" i="1"/>
  <c r="AD196" i="1"/>
  <c r="AE196" i="1"/>
  <c r="AI196" i="1"/>
  <c r="AJ196" i="1"/>
  <c r="AK196" i="1"/>
  <c r="AP196" i="1"/>
  <c r="AR196" i="1"/>
  <c r="AY196" i="1"/>
  <c r="BE196" i="1"/>
  <c r="BF196" i="1"/>
  <c r="C197" i="1"/>
  <c r="D197" i="1"/>
  <c r="E197" i="1"/>
  <c r="F197" i="1"/>
  <c r="G197" i="1"/>
  <c r="H197" i="1"/>
  <c r="L197" i="1"/>
  <c r="M197" i="1"/>
  <c r="N197" i="1"/>
  <c r="O197" i="1"/>
  <c r="P197" i="1"/>
  <c r="Q197" i="1"/>
  <c r="R197" i="1"/>
  <c r="S197" i="1"/>
  <c r="T197" i="1"/>
  <c r="U197" i="1"/>
  <c r="V197" i="1"/>
  <c r="AB197" i="1"/>
  <c r="AD197" i="1"/>
  <c r="AE197" i="1"/>
  <c r="AI197" i="1"/>
  <c r="AJ197" i="1"/>
  <c r="AK197" i="1"/>
  <c r="AP197" i="1"/>
  <c r="AR197" i="1"/>
  <c r="AY197" i="1"/>
  <c r="BE197" i="1"/>
  <c r="BF197" i="1"/>
  <c r="C198" i="1"/>
  <c r="D198" i="1"/>
  <c r="E198" i="1"/>
  <c r="F198" i="1"/>
  <c r="G198" i="1"/>
  <c r="H198" i="1"/>
  <c r="L198" i="1"/>
  <c r="M198" i="1"/>
  <c r="N198" i="1"/>
  <c r="O198" i="1"/>
  <c r="P198" i="1"/>
  <c r="Q198" i="1"/>
  <c r="R198" i="1"/>
  <c r="S198" i="1"/>
  <c r="T198" i="1"/>
  <c r="U198" i="1"/>
  <c r="V198" i="1"/>
  <c r="AB198" i="1"/>
  <c r="AD198" i="1"/>
  <c r="AE198" i="1"/>
  <c r="AI198" i="1"/>
  <c r="AJ198" i="1"/>
  <c r="AK198" i="1"/>
  <c r="AP198" i="1"/>
  <c r="AR198" i="1"/>
  <c r="AY198" i="1"/>
  <c r="BE198" i="1"/>
  <c r="BF198" i="1"/>
  <c r="C199" i="1"/>
  <c r="D199" i="1"/>
  <c r="E199" i="1"/>
  <c r="F199" i="1"/>
  <c r="G199" i="1"/>
  <c r="H199" i="1"/>
  <c r="L199" i="1"/>
  <c r="M199" i="1"/>
  <c r="N199" i="1"/>
  <c r="O199" i="1"/>
  <c r="P199" i="1"/>
  <c r="Q199" i="1"/>
  <c r="R199" i="1"/>
  <c r="S199" i="1"/>
  <c r="T199" i="1"/>
  <c r="U199" i="1"/>
  <c r="V199" i="1"/>
  <c r="AB199" i="1"/>
  <c r="AD199" i="1"/>
  <c r="AE199" i="1"/>
  <c r="AI199" i="1"/>
  <c r="AJ199" i="1"/>
  <c r="AK199" i="1"/>
  <c r="AP199" i="1"/>
  <c r="AR199" i="1"/>
  <c r="AY199" i="1"/>
  <c r="BE199" i="1"/>
  <c r="BF199" i="1"/>
  <c r="C200" i="1"/>
  <c r="D200" i="1"/>
  <c r="E200" i="1"/>
  <c r="F200" i="1"/>
  <c r="G200" i="1"/>
  <c r="H200" i="1"/>
  <c r="L200" i="1"/>
  <c r="M200" i="1"/>
  <c r="N200" i="1"/>
  <c r="O200" i="1"/>
  <c r="P200" i="1"/>
  <c r="Q200" i="1"/>
  <c r="R200" i="1"/>
  <c r="S200" i="1"/>
  <c r="T200" i="1"/>
  <c r="U200" i="1"/>
  <c r="V200" i="1"/>
  <c r="AB200" i="1"/>
  <c r="AD200" i="1"/>
  <c r="AE200" i="1"/>
  <c r="AI200" i="1"/>
  <c r="AJ200" i="1"/>
  <c r="AK200" i="1"/>
  <c r="AP200" i="1"/>
  <c r="AR200" i="1"/>
  <c r="AY200" i="1"/>
  <c r="BE200" i="1"/>
  <c r="BF200" i="1"/>
  <c r="C201" i="1"/>
  <c r="D201" i="1"/>
  <c r="E201" i="1"/>
  <c r="F201" i="1"/>
  <c r="G201" i="1"/>
  <c r="H201" i="1"/>
  <c r="L201" i="1"/>
  <c r="M201" i="1"/>
  <c r="N201" i="1"/>
  <c r="O201" i="1"/>
  <c r="P201" i="1"/>
  <c r="Q201" i="1"/>
  <c r="R201" i="1"/>
  <c r="S201" i="1"/>
  <c r="T201" i="1"/>
  <c r="U201" i="1"/>
  <c r="V201" i="1"/>
  <c r="AB201" i="1"/>
  <c r="AD201" i="1"/>
  <c r="AE201" i="1"/>
  <c r="AI201" i="1"/>
  <c r="AJ201" i="1"/>
  <c r="AK201" i="1"/>
  <c r="AP201" i="1"/>
  <c r="AR201" i="1"/>
  <c r="AY201" i="1"/>
  <c r="BE201" i="1"/>
  <c r="BF201" i="1"/>
  <c r="C202" i="1"/>
  <c r="D202" i="1"/>
  <c r="E202" i="1"/>
  <c r="F202" i="1"/>
  <c r="G202" i="1"/>
  <c r="H202" i="1"/>
  <c r="L202" i="1"/>
  <c r="M202" i="1"/>
  <c r="N202" i="1"/>
  <c r="O202" i="1"/>
  <c r="P202" i="1"/>
  <c r="Q202" i="1"/>
  <c r="R202" i="1"/>
  <c r="S202" i="1"/>
  <c r="T202" i="1"/>
  <c r="U202" i="1"/>
  <c r="V202" i="1"/>
  <c r="AB202" i="1"/>
  <c r="AD202" i="1"/>
  <c r="AE202" i="1"/>
  <c r="AI202" i="1"/>
  <c r="AJ202" i="1"/>
  <c r="AK202" i="1"/>
  <c r="AP202" i="1"/>
  <c r="AR202" i="1"/>
  <c r="AY202" i="1"/>
  <c r="BE202" i="1"/>
  <c r="BF202" i="1"/>
  <c r="C203" i="1"/>
  <c r="D203" i="1"/>
  <c r="E203" i="1"/>
  <c r="F203" i="1"/>
  <c r="G203" i="1"/>
  <c r="H203" i="1"/>
  <c r="L203" i="1"/>
  <c r="M203" i="1"/>
  <c r="N203" i="1"/>
  <c r="O203" i="1"/>
  <c r="P203" i="1"/>
  <c r="Q203" i="1"/>
  <c r="R203" i="1"/>
  <c r="S203" i="1"/>
  <c r="T203" i="1"/>
  <c r="U203" i="1"/>
  <c r="V203" i="1"/>
  <c r="AB203" i="1"/>
  <c r="AD203" i="1"/>
  <c r="AE203" i="1"/>
  <c r="AI203" i="1"/>
  <c r="AJ203" i="1"/>
  <c r="AK203" i="1"/>
  <c r="AP203" i="1"/>
  <c r="AR203" i="1"/>
  <c r="AY203" i="1"/>
  <c r="BE203" i="1"/>
  <c r="BF203" i="1"/>
  <c r="C204" i="1"/>
  <c r="D204" i="1"/>
  <c r="E204" i="1"/>
  <c r="F204" i="1"/>
  <c r="G204" i="1"/>
  <c r="H204" i="1"/>
  <c r="L204" i="1"/>
  <c r="M204" i="1"/>
  <c r="N204" i="1"/>
  <c r="O204" i="1"/>
  <c r="P204" i="1"/>
  <c r="Q204" i="1"/>
  <c r="R204" i="1"/>
  <c r="S204" i="1"/>
  <c r="T204" i="1"/>
  <c r="U204" i="1"/>
  <c r="V204" i="1"/>
  <c r="AB204" i="1"/>
  <c r="AD204" i="1"/>
  <c r="AE204" i="1"/>
  <c r="AI204" i="1"/>
  <c r="AJ204" i="1"/>
  <c r="AK204" i="1"/>
  <c r="AP204" i="1"/>
  <c r="AR204" i="1"/>
  <c r="AY204" i="1"/>
  <c r="BE204" i="1"/>
  <c r="BF204" i="1"/>
  <c r="C205" i="1"/>
  <c r="D205" i="1"/>
  <c r="E205" i="1"/>
  <c r="F205" i="1"/>
  <c r="G205" i="1"/>
  <c r="H205" i="1"/>
  <c r="L205" i="1"/>
  <c r="M205" i="1"/>
  <c r="N205" i="1"/>
  <c r="O205" i="1"/>
  <c r="P205" i="1"/>
  <c r="Q205" i="1"/>
  <c r="R205" i="1"/>
  <c r="S205" i="1"/>
  <c r="T205" i="1"/>
  <c r="U205" i="1"/>
  <c r="V205" i="1"/>
  <c r="AB205" i="1"/>
  <c r="AD205" i="1"/>
  <c r="AE205" i="1"/>
  <c r="AI205" i="1"/>
  <c r="AJ205" i="1"/>
  <c r="AK205" i="1"/>
  <c r="AP205" i="1"/>
  <c r="AR205" i="1"/>
  <c r="AY205" i="1"/>
  <c r="BE205" i="1"/>
  <c r="BF205" i="1"/>
  <c r="C206" i="1"/>
  <c r="D206" i="1"/>
  <c r="E206" i="1"/>
  <c r="F206" i="1"/>
  <c r="G206" i="1"/>
  <c r="H206" i="1"/>
  <c r="L206" i="1"/>
  <c r="M206" i="1"/>
  <c r="N206" i="1"/>
  <c r="O206" i="1"/>
  <c r="P206" i="1"/>
  <c r="Q206" i="1"/>
  <c r="R206" i="1"/>
  <c r="S206" i="1"/>
  <c r="T206" i="1"/>
  <c r="U206" i="1"/>
  <c r="V206" i="1"/>
  <c r="AB206" i="1"/>
  <c r="AD206" i="1"/>
  <c r="AE206" i="1"/>
  <c r="AI206" i="1"/>
  <c r="AJ206" i="1"/>
  <c r="AK206" i="1"/>
  <c r="AP206" i="1"/>
  <c r="AR206" i="1"/>
  <c r="AY206" i="1"/>
  <c r="BE206" i="1"/>
  <c r="BF206" i="1"/>
  <c r="C207" i="1"/>
  <c r="D207" i="1"/>
  <c r="E207" i="1"/>
  <c r="F207" i="1"/>
  <c r="G207" i="1"/>
  <c r="H207" i="1"/>
  <c r="L207" i="1"/>
  <c r="M207" i="1"/>
  <c r="N207" i="1"/>
  <c r="O207" i="1"/>
  <c r="P207" i="1"/>
  <c r="Q207" i="1"/>
  <c r="R207" i="1"/>
  <c r="S207" i="1"/>
  <c r="T207" i="1"/>
  <c r="U207" i="1"/>
  <c r="V207" i="1"/>
  <c r="AB207" i="1"/>
  <c r="AD207" i="1"/>
  <c r="AE207" i="1"/>
  <c r="AI207" i="1"/>
  <c r="AJ207" i="1"/>
  <c r="AK207" i="1"/>
  <c r="AP207" i="1"/>
  <c r="AR207" i="1"/>
  <c r="AY207" i="1"/>
  <c r="BE207" i="1"/>
  <c r="BF207" i="1"/>
  <c r="C208" i="1"/>
  <c r="D208" i="1"/>
  <c r="E208" i="1"/>
  <c r="F208" i="1"/>
  <c r="G208" i="1"/>
  <c r="H208" i="1"/>
  <c r="L208" i="1"/>
  <c r="M208" i="1"/>
  <c r="N208" i="1"/>
  <c r="O208" i="1"/>
  <c r="P208" i="1"/>
  <c r="Q208" i="1"/>
  <c r="R208" i="1"/>
  <c r="S208" i="1"/>
  <c r="T208" i="1"/>
  <c r="U208" i="1"/>
  <c r="V208" i="1"/>
  <c r="AB208" i="1"/>
  <c r="AD208" i="1"/>
  <c r="AE208" i="1"/>
  <c r="AI208" i="1"/>
  <c r="AJ208" i="1"/>
  <c r="AK208" i="1"/>
  <c r="AP208" i="1"/>
  <c r="AR208" i="1"/>
  <c r="AY208" i="1"/>
  <c r="BE208" i="1"/>
  <c r="BF208" i="1"/>
  <c r="C209" i="1"/>
  <c r="D209" i="1"/>
  <c r="E209" i="1"/>
  <c r="F209" i="1"/>
  <c r="G209" i="1"/>
  <c r="H209" i="1"/>
  <c r="L209" i="1"/>
  <c r="M209" i="1"/>
  <c r="N209" i="1"/>
  <c r="O209" i="1"/>
  <c r="P209" i="1"/>
  <c r="Q209" i="1"/>
  <c r="R209" i="1"/>
  <c r="S209" i="1"/>
  <c r="T209" i="1"/>
  <c r="U209" i="1"/>
  <c r="V209" i="1"/>
  <c r="AB209" i="1"/>
  <c r="AD209" i="1"/>
  <c r="AE209" i="1"/>
  <c r="AI209" i="1"/>
  <c r="AJ209" i="1"/>
  <c r="AK209" i="1"/>
  <c r="AP209" i="1"/>
  <c r="AR209" i="1"/>
  <c r="AY209" i="1"/>
  <c r="BE209" i="1"/>
  <c r="BF209" i="1"/>
  <c r="C210" i="1"/>
  <c r="D210" i="1"/>
  <c r="E210" i="1"/>
  <c r="F210" i="1"/>
  <c r="G210" i="1"/>
  <c r="H210" i="1"/>
  <c r="L210" i="1"/>
  <c r="M210" i="1"/>
  <c r="N210" i="1"/>
  <c r="O210" i="1"/>
  <c r="P210" i="1"/>
  <c r="Q210" i="1"/>
  <c r="R210" i="1"/>
  <c r="S210" i="1"/>
  <c r="T210" i="1"/>
  <c r="U210" i="1"/>
  <c r="V210" i="1"/>
  <c r="AB210" i="1"/>
  <c r="AD210" i="1"/>
  <c r="AE210" i="1"/>
  <c r="AI210" i="1"/>
  <c r="AJ210" i="1"/>
  <c r="AK210" i="1"/>
  <c r="AP210" i="1"/>
  <c r="AR210" i="1"/>
  <c r="AY210" i="1"/>
  <c r="BE210" i="1"/>
  <c r="BF210" i="1"/>
  <c r="C211" i="1"/>
  <c r="D211" i="1"/>
  <c r="E211" i="1"/>
  <c r="F211" i="1"/>
  <c r="G211" i="1"/>
  <c r="H211" i="1"/>
  <c r="L211" i="1"/>
  <c r="M211" i="1"/>
  <c r="N211" i="1"/>
  <c r="O211" i="1"/>
  <c r="P211" i="1"/>
  <c r="Q211" i="1"/>
  <c r="R211" i="1"/>
  <c r="S211" i="1"/>
  <c r="T211" i="1"/>
  <c r="U211" i="1"/>
  <c r="V211" i="1"/>
  <c r="AB211" i="1"/>
  <c r="AD211" i="1"/>
  <c r="AE211" i="1"/>
  <c r="AI211" i="1"/>
  <c r="AJ211" i="1"/>
  <c r="AK211" i="1"/>
  <c r="AP211" i="1"/>
  <c r="AR211" i="1"/>
  <c r="AY211" i="1"/>
  <c r="BE211" i="1"/>
  <c r="BF211" i="1"/>
  <c r="C212" i="1"/>
  <c r="D212" i="1"/>
  <c r="E212" i="1"/>
  <c r="F212" i="1"/>
  <c r="G212" i="1"/>
  <c r="H212" i="1"/>
  <c r="L212" i="1"/>
  <c r="M212" i="1"/>
  <c r="N212" i="1"/>
  <c r="O212" i="1"/>
  <c r="P212" i="1"/>
  <c r="Q212" i="1"/>
  <c r="R212" i="1"/>
  <c r="S212" i="1"/>
  <c r="T212" i="1"/>
  <c r="U212" i="1"/>
  <c r="V212" i="1"/>
  <c r="AB212" i="1"/>
  <c r="AD212" i="1"/>
  <c r="AE212" i="1"/>
  <c r="AI212" i="1"/>
  <c r="AJ212" i="1"/>
  <c r="AK212" i="1"/>
  <c r="AP212" i="1"/>
  <c r="AR212" i="1"/>
  <c r="AY212" i="1"/>
  <c r="BE212" i="1"/>
  <c r="BF212" i="1"/>
  <c r="C213" i="1"/>
  <c r="D213" i="1"/>
  <c r="E213" i="1"/>
  <c r="F213" i="1"/>
  <c r="G213" i="1"/>
  <c r="H213" i="1"/>
  <c r="L213" i="1"/>
  <c r="M213" i="1"/>
  <c r="N213" i="1"/>
  <c r="O213" i="1"/>
  <c r="P213" i="1"/>
  <c r="Q213" i="1"/>
  <c r="R213" i="1"/>
  <c r="S213" i="1"/>
  <c r="T213" i="1"/>
  <c r="U213" i="1"/>
  <c r="V213" i="1"/>
  <c r="AB213" i="1"/>
  <c r="AD213" i="1"/>
  <c r="AE213" i="1"/>
  <c r="AI213" i="1"/>
  <c r="AJ213" i="1"/>
  <c r="AK213" i="1"/>
  <c r="AP213" i="1"/>
  <c r="AR213" i="1"/>
  <c r="AY213" i="1"/>
  <c r="BE213" i="1"/>
  <c r="BF213" i="1"/>
  <c r="C214" i="1"/>
  <c r="D214" i="1"/>
  <c r="E214" i="1"/>
  <c r="F214" i="1"/>
  <c r="G214" i="1"/>
  <c r="H214" i="1"/>
  <c r="L214" i="1"/>
  <c r="M214" i="1"/>
  <c r="N214" i="1"/>
  <c r="O214" i="1"/>
  <c r="P214" i="1"/>
  <c r="Q214" i="1"/>
  <c r="R214" i="1"/>
  <c r="S214" i="1"/>
  <c r="T214" i="1"/>
  <c r="U214" i="1"/>
  <c r="V214" i="1"/>
  <c r="AB214" i="1"/>
  <c r="AD214" i="1"/>
  <c r="AE214" i="1"/>
  <c r="AI214" i="1"/>
  <c r="AJ214" i="1"/>
  <c r="AK214" i="1"/>
  <c r="AP214" i="1"/>
  <c r="AR214" i="1"/>
  <c r="AY214" i="1"/>
  <c r="BE214" i="1"/>
  <c r="BF214" i="1"/>
  <c r="C215" i="1"/>
  <c r="D215" i="1"/>
  <c r="E215" i="1"/>
  <c r="F215" i="1"/>
  <c r="G215" i="1"/>
  <c r="H215" i="1"/>
  <c r="L215" i="1"/>
  <c r="M215" i="1"/>
  <c r="N215" i="1"/>
  <c r="O215" i="1"/>
  <c r="P215" i="1"/>
  <c r="Q215" i="1"/>
  <c r="R215" i="1"/>
  <c r="S215" i="1"/>
  <c r="T215" i="1"/>
  <c r="U215" i="1"/>
  <c r="V215" i="1"/>
  <c r="AB215" i="1"/>
  <c r="AD215" i="1"/>
  <c r="AE215" i="1"/>
  <c r="AI215" i="1"/>
  <c r="AJ215" i="1"/>
  <c r="AK215" i="1"/>
  <c r="AP215" i="1"/>
  <c r="AR215" i="1"/>
  <c r="AY215" i="1"/>
  <c r="BE215" i="1"/>
  <c r="BF215" i="1"/>
  <c r="C216" i="1"/>
  <c r="D216" i="1"/>
  <c r="E216" i="1"/>
  <c r="F216" i="1"/>
  <c r="G216" i="1"/>
  <c r="H216" i="1"/>
  <c r="L216" i="1"/>
  <c r="M216" i="1"/>
  <c r="N216" i="1"/>
  <c r="O216" i="1"/>
  <c r="P216" i="1"/>
  <c r="Q216" i="1"/>
  <c r="R216" i="1"/>
  <c r="S216" i="1"/>
  <c r="T216" i="1"/>
  <c r="U216" i="1"/>
  <c r="V216" i="1"/>
  <c r="AB216" i="1"/>
  <c r="AD216" i="1"/>
  <c r="AE216" i="1"/>
  <c r="AI216" i="1"/>
  <c r="AJ216" i="1"/>
  <c r="AK216" i="1"/>
  <c r="AP216" i="1"/>
  <c r="AR216" i="1"/>
  <c r="AY216" i="1"/>
  <c r="BE216" i="1"/>
  <c r="BF216" i="1"/>
  <c r="C217" i="1"/>
  <c r="D217" i="1"/>
  <c r="E217" i="1"/>
  <c r="F217" i="1"/>
  <c r="G217" i="1"/>
  <c r="H217" i="1"/>
  <c r="L217" i="1"/>
  <c r="M217" i="1"/>
  <c r="N217" i="1"/>
  <c r="O217" i="1"/>
  <c r="P217" i="1"/>
  <c r="Q217" i="1"/>
  <c r="R217" i="1"/>
  <c r="S217" i="1"/>
  <c r="T217" i="1"/>
  <c r="U217" i="1"/>
  <c r="V217" i="1"/>
  <c r="AB217" i="1"/>
  <c r="AD217" i="1"/>
  <c r="AE217" i="1"/>
  <c r="AI217" i="1"/>
  <c r="AJ217" i="1"/>
  <c r="AK217" i="1"/>
  <c r="AP217" i="1"/>
  <c r="AR217" i="1"/>
  <c r="AY217" i="1"/>
  <c r="BE217" i="1"/>
  <c r="BF217" i="1"/>
  <c r="C218" i="1"/>
  <c r="D218" i="1"/>
  <c r="E218" i="1"/>
  <c r="F218" i="1"/>
  <c r="G218" i="1"/>
  <c r="H218" i="1"/>
  <c r="L218" i="1"/>
  <c r="M218" i="1"/>
  <c r="N218" i="1"/>
  <c r="O218" i="1"/>
  <c r="P218" i="1"/>
  <c r="Q218" i="1"/>
  <c r="R218" i="1"/>
  <c r="S218" i="1"/>
  <c r="T218" i="1"/>
  <c r="U218" i="1"/>
  <c r="V218" i="1"/>
  <c r="AB218" i="1"/>
  <c r="AD218" i="1"/>
  <c r="AE218" i="1"/>
  <c r="AI218" i="1"/>
  <c r="AJ218" i="1"/>
  <c r="AK218" i="1"/>
  <c r="AP218" i="1"/>
  <c r="AR218" i="1"/>
  <c r="AY218" i="1"/>
  <c r="BE218" i="1"/>
  <c r="BF218" i="1"/>
  <c r="C219" i="1"/>
  <c r="D219" i="1"/>
  <c r="E219" i="1"/>
  <c r="F219" i="1"/>
  <c r="G219" i="1"/>
  <c r="H219" i="1"/>
  <c r="L219" i="1"/>
  <c r="M219" i="1"/>
  <c r="N219" i="1"/>
  <c r="O219" i="1"/>
  <c r="P219" i="1"/>
  <c r="Q219" i="1"/>
  <c r="R219" i="1"/>
  <c r="S219" i="1"/>
  <c r="T219" i="1"/>
  <c r="U219" i="1"/>
  <c r="V219" i="1"/>
  <c r="AB219" i="1"/>
  <c r="AD219" i="1"/>
  <c r="AE219" i="1"/>
  <c r="AI219" i="1"/>
  <c r="AJ219" i="1"/>
  <c r="AK219" i="1"/>
  <c r="AP219" i="1"/>
  <c r="AR219" i="1"/>
  <c r="AY219" i="1"/>
  <c r="BE219" i="1"/>
  <c r="BF219" i="1"/>
  <c r="C220" i="1"/>
  <c r="D220" i="1"/>
  <c r="E220" i="1"/>
  <c r="F220" i="1"/>
  <c r="G220" i="1"/>
  <c r="H220" i="1"/>
  <c r="L220" i="1"/>
  <c r="M220" i="1"/>
  <c r="N220" i="1"/>
  <c r="O220" i="1"/>
  <c r="P220" i="1"/>
  <c r="Q220" i="1"/>
  <c r="R220" i="1"/>
  <c r="S220" i="1"/>
  <c r="T220" i="1"/>
  <c r="U220" i="1"/>
  <c r="V220" i="1"/>
  <c r="AB220" i="1"/>
  <c r="AD220" i="1"/>
  <c r="AE220" i="1"/>
  <c r="AI220" i="1"/>
  <c r="AJ220" i="1"/>
  <c r="AK220" i="1"/>
  <c r="AP220" i="1"/>
  <c r="AR220" i="1"/>
  <c r="AY220" i="1"/>
  <c r="BE220" i="1"/>
  <c r="BF220" i="1"/>
  <c r="C221" i="1"/>
  <c r="D221" i="1"/>
  <c r="E221" i="1"/>
  <c r="F221" i="1"/>
  <c r="G221" i="1"/>
  <c r="H221" i="1"/>
  <c r="L221" i="1"/>
  <c r="M221" i="1"/>
  <c r="N221" i="1"/>
  <c r="O221" i="1"/>
  <c r="P221" i="1"/>
  <c r="Q221" i="1"/>
  <c r="R221" i="1"/>
  <c r="S221" i="1"/>
  <c r="T221" i="1"/>
  <c r="U221" i="1"/>
  <c r="V221" i="1"/>
  <c r="AB221" i="1"/>
  <c r="AD221" i="1"/>
  <c r="AE221" i="1"/>
  <c r="AI221" i="1"/>
  <c r="AJ221" i="1"/>
  <c r="AK221" i="1"/>
  <c r="AP221" i="1"/>
  <c r="AR221" i="1"/>
  <c r="AY221" i="1"/>
  <c r="BE221" i="1"/>
  <c r="BF221" i="1"/>
  <c r="C222" i="1"/>
  <c r="D222" i="1"/>
  <c r="E222" i="1"/>
  <c r="F222" i="1"/>
  <c r="G222" i="1"/>
  <c r="H222" i="1"/>
  <c r="L222" i="1"/>
  <c r="M222" i="1"/>
  <c r="N222" i="1"/>
  <c r="O222" i="1"/>
  <c r="P222" i="1"/>
  <c r="Q222" i="1"/>
  <c r="R222" i="1"/>
  <c r="S222" i="1"/>
  <c r="T222" i="1"/>
  <c r="U222" i="1"/>
  <c r="V222" i="1"/>
  <c r="AB222" i="1"/>
  <c r="AD222" i="1"/>
  <c r="AE222" i="1"/>
  <c r="AI222" i="1"/>
  <c r="AJ222" i="1"/>
  <c r="AK222" i="1"/>
  <c r="AP222" i="1"/>
  <c r="AR222" i="1"/>
  <c r="AY222" i="1"/>
  <c r="BE222" i="1"/>
  <c r="BF222" i="1"/>
  <c r="C223" i="1"/>
  <c r="D223" i="1"/>
  <c r="E223" i="1"/>
  <c r="F223" i="1"/>
  <c r="G223" i="1"/>
  <c r="H223" i="1"/>
  <c r="L223" i="1"/>
  <c r="M223" i="1"/>
  <c r="N223" i="1"/>
  <c r="O223" i="1"/>
  <c r="P223" i="1"/>
  <c r="Q223" i="1"/>
  <c r="R223" i="1"/>
  <c r="S223" i="1"/>
  <c r="T223" i="1"/>
  <c r="U223" i="1"/>
  <c r="V223" i="1"/>
  <c r="AB223" i="1"/>
  <c r="AD223" i="1"/>
  <c r="AE223" i="1"/>
  <c r="AI223" i="1"/>
  <c r="AJ223" i="1"/>
  <c r="AK223" i="1"/>
  <c r="AP223" i="1"/>
  <c r="AR223" i="1"/>
  <c r="AY223" i="1"/>
  <c r="BE223" i="1"/>
  <c r="BF223" i="1"/>
  <c r="C224" i="1"/>
  <c r="D224" i="1"/>
  <c r="E224" i="1"/>
  <c r="F224" i="1"/>
  <c r="G224" i="1"/>
  <c r="H224" i="1"/>
  <c r="L224" i="1"/>
  <c r="M224" i="1"/>
  <c r="N224" i="1"/>
  <c r="O224" i="1"/>
  <c r="P224" i="1"/>
  <c r="Q224" i="1"/>
  <c r="R224" i="1"/>
  <c r="S224" i="1"/>
  <c r="T224" i="1"/>
  <c r="U224" i="1"/>
  <c r="V224" i="1"/>
  <c r="AB224" i="1"/>
  <c r="AD224" i="1"/>
  <c r="AE224" i="1"/>
  <c r="AI224" i="1"/>
  <c r="AJ224" i="1"/>
  <c r="AK224" i="1"/>
  <c r="AP224" i="1"/>
  <c r="AR224" i="1"/>
  <c r="AY224" i="1"/>
  <c r="BE224" i="1"/>
  <c r="BF224" i="1"/>
  <c r="C225" i="1"/>
  <c r="D225" i="1"/>
  <c r="E225" i="1"/>
  <c r="F225" i="1"/>
  <c r="G225" i="1"/>
  <c r="H225" i="1"/>
  <c r="L225" i="1"/>
  <c r="M225" i="1"/>
  <c r="N225" i="1"/>
  <c r="O225" i="1"/>
  <c r="P225" i="1"/>
  <c r="Q225" i="1"/>
  <c r="R225" i="1"/>
  <c r="S225" i="1"/>
  <c r="T225" i="1"/>
  <c r="U225" i="1"/>
  <c r="V225" i="1"/>
  <c r="AB225" i="1"/>
  <c r="AD225" i="1"/>
  <c r="AE225" i="1"/>
  <c r="AI225" i="1"/>
  <c r="AJ225" i="1"/>
  <c r="AK225" i="1"/>
  <c r="AP225" i="1"/>
  <c r="AR225" i="1"/>
  <c r="AY225" i="1"/>
  <c r="BE225" i="1"/>
  <c r="BF225" i="1"/>
  <c r="C226" i="1"/>
  <c r="D226" i="1"/>
  <c r="E226" i="1"/>
  <c r="F226" i="1"/>
  <c r="G226" i="1"/>
  <c r="H226" i="1"/>
  <c r="L226" i="1"/>
  <c r="M226" i="1"/>
  <c r="N226" i="1"/>
  <c r="O226" i="1"/>
  <c r="P226" i="1"/>
  <c r="Q226" i="1"/>
  <c r="R226" i="1"/>
  <c r="S226" i="1"/>
  <c r="T226" i="1"/>
  <c r="U226" i="1"/>
  <c r="V226" i="1"/>
  <c r="AB226" i="1"/>
  <c r="AD226" i="1"/>
  <c r="AE226" i="1"/>
  <c r="AI226" i="1"/>
  <c r="AJ226" i="1"/>
  <c r="AK226" i="1"/>
  <c r="AP226" i="1"/>
  <c r="AR226" i="1"/>
  <c r="AY226" i="1"/>
  <c r="BE226" i="1"/>
  <c r="BF226" i="1"/>
  <c r="C227" i="1"/>
  <c r="D227" i="1"/>
  <c r="E227" i="1"/>
  <c r="F227" i="1"/>
  <c r="G227" i="1"/>
  <c r="H227" i="1"/>
  <c r="L227" i="1"/>
  <c r="M227" i="1"/>
  <c r="N227" i="1"/>
  <c r="O227" i="1"/>
  <c r="P227" i="1"/>
  <c r="Q227" i="1"/>
  <c r="R227" i="1"/>
  <c r="S227" i="1"/>
  <c r="T227" i="1"/>
  <c r="U227" i="1"/>
  <c r="V227" i="1"/>
  <c r="AB227" i="1"/>
  <c r="AD227" i="1"/>
  <c r="AE227" i="1"/>
  <c r="AI227" i="1"/>
  <c r="AJ227" i="1"/>
  <c r="AK227" i="1"/>
  <c r="AP227" i="1"/>
  <c r="AR227" i="1"/>
  <c r="AY227" i="1"/>
  <c r="BE227" i="1"/>
  <c r="BF227" i="1"/>
  <c r="C228" i="1"/>
  <c r="D228" i="1"/>
  <c r="E228" i="1"/>
  <c r="F228" i="1"/>
  <c r="G228" i="1"/>
  <c r="H228" i="1"/>
  <c r="L228" i="1"/>
  <c r="M228" i="1"/>
  <c r="N228" i="1"/>
  <c r="O228" i="1"/>
  <c r="P228" i="1"/>
  <c r="Q228" i="1"/>
  <c r="R228" i="1"/>
  <c r="S228" i="1"/>
  <c r="T228" i="1"/>
  <c r="U228" i="1"/>
  <c r="V228" i="1"/>
  <c r="AB228" i="1"/>
  <c r="AD228" i="1"/>
  <c r="AE228" i="1"/>
  <c r="AI228" i="1"/>
  <c r="AJ228" i="1"/>
  <c r="AK228" i="1"/>
  <c r="AP228" i="1"/>
  <c r="AR228" i="1"/>
  <c r="AY228" i="1"/>
  <c r="BE228" i="1"/>
  <c r="BF228" i="1"/>
  <c r="C229" i="1"/>
  <c r="D229" i="1"/>
  <c r="E229" i="1"/>
  <c r="F229" i="1"/>
  <c r="G229" i="1"/>
  <c r="H229" i="1"/>
  <c r="L229" i="1"/>
  <c r="M229" i="1"/>
  <c r="N229" i="1"/>
  <c r="O229" i="1"/>
  <c r="P229" i="1"/>
  <c r="Q229" i="1"/>
  <c r="R229" i="1"/>
  <c r="S229" i="1"/>
  <c r="T229" i="1"/>
  <c r="U229" i="1"/>
  <c r="V229" i="1"/>
  <c r="AB229" i="1"/>
  <c r="AD229" i="1"/>
  <c r="AE229" i="1"/>
  <c r="AI229" i="1"/>
  <c r="AJ229" i="1"/>
  <c r="AK229" i="1"/>
  <c r="AP229" i="1"/>
  <c r="AR229" i="1"/>
  <c r="AY229" i="1"/>
  <c r="BE229" i="1"/>
  <c r="BF229" i="1"/>
  <c r="C469" i="1"/>
  <c r="D469" i="1"/>
  <c r="E469" i="1"/>
  <c r="F469" i="1"/>
  <c r="G469" i="1"/>
  <c r="H469" i="1"/>
  <c r="L469" i="1"/>
  <c r="M469" i="1"/>
  <c r="N469" i="1"/>
  <c r="O469" i="1"/>
  <c r="P469" i="1"/>
  <c r="Q469" i="1"/>
  <c r="R469" i="1"/>
  <c r="S469" i="1"/>
  <c r="T469" i="1"/>
  <c r="U469" i="1"/>
  <c r="V469" i="1"/>
  <c r="AB469" i="1"/>
  <c r="AD469" i="1"/>
  <c r="AE469" i="1"/>
  <c r="AI469" i="1"/>
  <c r="AJ469" i="1"/>
  <c r="AK469" i="1"/>
  <c r="AP469" i="1"/>
  <c r="AR469" i="1"/>
  <c r="AY469" i="1"/>
  <c r="BE469" i="1"/>
  <c r="BF469" i="1"/>
  <c r="C470" i="1"/>
  <c r="D470" i="1"/>
  <c r="E470" i="1"/>
  <c r="F470" i="1"/>
  <c r="G470" i="1"/>
  <c r="H470" i="1"/>
  <c r="L470" i="1"/>
  <c r="M470" i="1"/>
  <c r="N470" i="1"/>
  <c r="O470" i="1"/>
  <c r="P470" i="1"/>
  <c r="Q470" i="1"/>
  <c r="R470" i="1"/>
  <c r="S470" i="1"/>
  <c r="T470" i="1"/>
  <c r="U470" i="1"/>
  <c r="V470" i="1"/>
  <c r="AB470" i="1"/>
  <c r="AD470" i="1"/>
  <c r="AE470" i="1"/>
  <c r="AI470" i="1"/>
  <c r="AJ470" i="1"/>
  <c r="AK470" i="1"/>
  <c r="AP470" i="1"/>
  <c r="AR470" i="1"/>
  <c r="AY470" i="1"/>
  <c r="BE470" i="1"/>
  <c r="BF470" i="1"/>
  <c r="C230" i="1"/>
  <c r="D230" i="1"/>
  <c r="E230" i="1"/>
  <c r="F230" i="1"/>
  <c r="G230" i="1"/>
  <c r="H230" i="1"/>
  <c r="L230" i="1"/>
  <c r="M230" i="1"/>
  <c r="N230" i="1"/>
  <c r="O230" i="1"/>
  <c r="P230" i="1"/>
  <c r="Q230" i="1"/>
  <c r="R230" i="1"/>
  <c r="S230" i="1"/>
  <c r="T230" i="1"/>
  <c r="U230" i="1"/>
  <c r="V230" i="1"/>
  <c r="AB230" i="1"/>
  <c r="AD230" i="1"/>
  <c r="AE230" i="1"/>
  <c r="AI230" i="1"/>
  <c r="AJ230" i="1"/>
  <c r="AK230" i="1"/>
  <c r="AP230" i="1"/>
  <c r="AR230" i="1"/>
  <c r="AY230" i="1"/>
  <c r="BE230" i="1"/>
  <c r="BF230" i="1"/>
  <c r="C471" i="1"/>
  <c r="D471" i="1"/>
  <c r="E471" i="1"/>
  <c r="F471" i="1"/>
  <c r="G471" i="1"/>
  <c r="H471" i="1"/>
  <c r="L471" i="1"/>
  <c r="M471" i="1"/>
  <c r="N471" i="1"/>
  <c r="O471" i="1"/>
  <c r="P471" i="1"/>
  <c r="Q471" i="1"/>
  <c r="R471" i="1"/>
  <c r="S471" i="1"/>
  <c r="T471" i="1"/>
  <c r="U471" i="1"/>
  <c r="V471" i="1"/>
  <c r="AB471" i="1"/>
  <c r="AD471" i="1"/>
  <c r="AE471" i="1"/>
  <c r="AI471" i="1"/>
  <c r="AJ471" i="1"/>
  <c r="AK471" i="1"/>
  <c r="AP471" i="1"/>
  <c r="AR471" i="1"/>
  <c r="AY471" i="1"/>
  <c r="BE471" i="1"/>
  <c r="BF471" i="1"/>
  <c r="C231" i="1"/>
  <c r="D231" i="1"/>
  <c r="E231" i="1"/>
  <c r="F231" i="1"/>
  <c r="G231" i="1"/>
  <c r="H231" i="1"/>
  <c r="L231" i="1"/>
  <c r="M231" i="1"/>
  <c r="N231" i="1"/>
  <c r="O231" i="1"/>
  <c r="P231" i="1"/>
  <c r="Q231" i="1"/>
  <c r="R231" i="1"/>
  <c r="S231" i="1"/>
  <c r="T231" i="1"/>
  <c r="U231" i="1"/>
  <c r="V231" i="1"/>
  <c r="AB231" i="1"/>
  <c r="AD231" i="1"/>
  <c r="AE231" i="1"/>
  <c r="AI231" i="1"/>
  <c r="AJ231" i="1"/>
  <c r="AK231" i="1"/>
  <c r="AP231" i="1"/>
  <c r="AR231" i="1"/>
  <c r="AY231" i="1"/>
  <c r="BE231" i="1"/>
  <c r="BF231" i="1"/>
  <c r="C472" i="1"/>
  <c r="D472" i="1"/>
  <c r="E472" i="1"/>
  <c r="F472" i="1"/>
  <c r="G472" i="1"/>
  <c r="H472" i="1"/>
  <c r="L472" i="1"/>
  <c r="M472" i="1"/>
  <c r="N472" i="1"/>
  <c r="O472" i="1"/>
  <c r="P472" i="1"/>
  <c r="Q472" i="1"/>
  <c r="R472" i="1"/>
  <c r="S472" i="1"/>
  <c r="T472" i="1"/>
  <c r="U472" i="1"/>
  <c r="V472" i="1"/>
  <c r="AB472" i="1"/>
  <c r="AD472" i="1"/>
  <c r="AE472" i="1"/>
  <c r="AI472" i="1"/>
  <c r="AJ472" i="1"/>
  <c r="AK472" i="1"/>
  <c r="AP472" i="1"/>
  <c r="AR472" i="1"/>
  <c r="AY472" i="1"/>
  <c r="BE472" i="1"/>
  <c r="BF472" i="1"/>
  <c r="C473" i="1"/>
  <c r="D473" i="1"/>
  <c r="E473" i="1"/>
  <c r="F473" i="1"/>
  <c r="G473" i="1"/>
  <c r="H473" i="1"/>
  <c r="L473" i="1"/>
  <c r="M473" i="1"/>
  <c r="N473" i="1"/>
  <c r="O473" i="1"/>
  <c r="P473" i="1"/>
  <c r="Q473" i="1"/>
  <c r="R473" i="1"/>
  <c r="S473" i="1"/>
  <c r="T473" i="1"/>
  <c r="U473" i="1"/>
  <c r="V473" i="1"/>
  <c r="AB473" i="1"/>
  <c r="AD473" i="1"/>
  <c r="AE473" i="1"/>
  <c r="AI473" i="1"/>
  <c r="AJ473" i="1"/>
  <c r="AK473" i="1"/>
  <c r="AP473" i="1"/>
  <c r="AR473" i="1"/>
  <c r="AY473" i="1"/>
  <c r="BE473" i="1"/>
  <c r="BF473" i="1"/>
  <c r="C474" i="1"/>
  <c r="D474" i="1"/>
  <c r="E474" i="1"/>
  <c r="F474" i="1"/>
  <c r="G474" i="1"/>
  <c r="H474" i="1"/>
  <c r="L474" i="1"/>
  <c r="M474" i="1"/>
  <c r="N474" i="1"/>
  <c r="O474" i="1"/>
  <c r="P474" i="1"/>
  <c r="Q474" i="1"/>
  <c r="R474" i="1"/>
  <c r="S474" i="1"/>
  <c r="T474" i="1"/>
  <c r="U474" i="1"/>
  <c r="V474" i="1"/>
  <c r="AB474" i="1"/>
  <c r="AD474" i="1"/>
  <c r="AE474" i="1"/>
  <c r="AI474" i="1"/>
  <c r="AJ474" i="1"/>
  <c r="AK474" i="1"/>
  <c r="AP474" i="1"/>
  <c r="AR474" i="1"/>
  <c r="AY474" i="1"/>
  <c r="BE474" i="1"/>
  <c r="BF474" i="1"/>
  <c r="C475" i="1"/>
  <c r="D475" i="1"/>
  <c r="E475" i="1"/>
  <c r="F475" i="1"/>
  <c r="G475" i="1"/>
  <c r="H475" i="1"/>
  <c r="L475" i="1"/>
  <c r="M475" i="1"/>
  <c r="N475" i="1"/>
  <c r="O475" i="1"/>
  <c r="P475" i="1"/>
  <c r="Q475" i="1"/>
  <c r="R475" i="1"/>
  <c r="S475" i="1"/>
  <c r="T475" i="1"/>
  <c r="U475" i="1"/>
  <c r="V475" i="1"/>
  <c r="AB475" i="1"/>
  <c r="AD475" i="1"/>
  <c r="AE475" i="1"/>
  <c r="AI475" i="1"/>
  <c r="AJ475" i="1"/>
  <c r="AK475" i="1"/>
  <c r="AP475" i="1"/>
  <c r="AR475" i="1"/>
  <c r="AY475" i="1"/>
  <c r="BE475" i="1"/>
  <c r="BF475" i="1"/>
  <c r="C476" i="1"/>
  <c r="D476" i="1"/>
  <c r="E476" i="1"/>
  <c r="F476" i="1"/>
  <c r="G476" i="1"/>
  <c r="H476" i="1"/>
  <c r="L476" i="1"/>
  <c r="M476" i="1"/>
  <c r="N476" i="1"/>
  <c r="O476" i="1"/>
  <c r="P476" i="1"/>
  <c r="Q476" i="1"/>
  <c r="R476" i="1"/>
  <c r="S476" i="1"/>
  <c r="T476" i="1"/>
  <c r="U476" i="1"/>
  <c r="V476" i="1"/>
  <c r="AB476" i="1"/>
  <c r="AD476" i="1"/>
  <c r="AE476" i="1"/>
  <c r="AI476" i="1"/>
  <c r="AJ476" i="1"/>
  <c r="AK476" i="1"/>
  <c r="AP476" i="1"/>
  <c r="AR476" i="1"/>
  <c r="AY476" i="1"/>
  <c r="BE476" i="1"/>
  <c r="BF476" i="1"/>
  <c r="C477" i="1"/>
  <c r="D477" i="1"/>
  <c r="E477" i="1"/>
  <c r="F477" i="1"/>
  <c r="G477" i="1"/>
  <c r="H477" i="1"/>
  <c r="L477" i="1"/>
  <c r="M477" i="1"/>
  <c r="N477" i="1"/>
  <c r="O477" i="1"/>
  <c r="P477" i="1"/>
  <c r="Q477" i="1"/>
  <c r="R477" i="1"/>
  <c r="S477" i="1"/>
  <c r="T477" i="1"/>
  <c r="U477" i="1"/>
  <c r="V477" i="1"/>
  <c r="AB477" i="1"/>
  <c r="AD477" i="1"/>
  <c r="AE477" i="1"/>
  <c r="AI477" i="1"/>
  <c r="AJ477" i="1"/>
  <c r="AK477" i="1"/>
  <c r="AP477" i="1"/>
  <c r="AR477" i="1"/>
  <c r="AY477" i="1"/>
  <c r="BE477" i="1"/>
  <c r="BF477" i="1"/>
  <c r="C478" i="1"/>
  <c r="D478" i="1"/>
  <c r="E478" i="1"/>
  <c r="F478" i="1"/>
  <c r="G478" i="1"/>
  <c r="H478" i="1"/>
  <c r="L478" i="1"/>
  <c r="M478" i="1"/>
  <c r="N478" i="1"/>
  <c r="O478" i="1"/>
  <c r="P478" i="1"/>
  <c r="Q478" i="1"/>
  <c r="R478" i="1"/>
  <c r="S478" i="1"/>
  <c r="T478" i="1"/>
  <c r="U478" i="1"/>
  <c r="V478" i="1"/>
  <c r="AB478" i="1"/>
  <c r="AD478" i="1"/>
  <c r="AE478" i="1"/>
  <c r="AI478" i="1"/>
  <c r="AJ478" i="1"/>
  <c r="AK478" i="1"/>
  <c r="AP478" i="1"/>
  <c r="AR478" i="1"/>
  <c r="AY478" i="1"/>
  <c r="BE478" i="1"/>
  <c r="BF478" i="1"/>
  <c r="C479" i="1"/>
  <c r="D479" i="1"/>
  <c r="E479" i="1"/>
  <c r="F479" i="1"/>
  <c r="G479" i="1"/>
  <c r="H479" i="1"/>
  <c r="L479" i="1"/>
  <c r="M479" i="1"/>
  <c r="N479" i="1"/>
  <c r="O479" i="1"/>
  <c r="P479" i="1"/>
  <c r="Q479" i="1"/>
  <c r="R479" i="1"/>
  <c r="S479" i="1"/>
  <c r="T479" i="1"/>
  <c r="U479" i="1"/>
  <c r="V479" i="1"/>
  <c r="AB479" i="1"/>
  <c r="AD479" i="1"/>
  <c r="AE479" i="1"/>
  <c r="AI479" i="1"/>
  <c r="AJ479" i="1"/>
  <c r="AK479" i="1"/>
  <c r="AP479" i="1"/>
  <c r="AR479" i="1"/>
  <c r="AY479" i="1"/>
  <c r="BE479" i="1"/>
  <c r="BF479" i="1"/>
  <c r="C480" i="1"/>
  <c r="D480" i="1"/>
  <c r="E480" i="1"/>
  <c r="F480" i="1"/>
  <c r="G480" i="1"/>
  <c r="H480" i="1"/>
  <c r="L480" i="1"/>
  <c r="M480" i="1"/>
  <c r="N480" i="1"/>
  <c r="O480" i="1"/>
  <c r="P480" i="1"/>
  <c r="Q480" i="1"/>
  <c r="R480" i="1"/>
  <c r="S480" i="1"/>
  <c r="T480" i="1"/>
  <c r="U480" i="1"/>
  <c r="V480" i="1"/>
  <c r="AB480" i="1"/>
  <c r="AD480" i="1"/>
  <c r="AE480" i="1"/>
  <c r="AI480" i="1"/>
  <c r="AJ480" i="1"/>
  <c r="AK480" i="1"/>
  <c r="AP480" i="1"/>
  <c r="AR480" i="1"/>
  <c r="AY480" i="1"/>
  <c r="BE480" i="1"/>
  <c r="BF480" i="1"/>
  <c r="C481" i="1"/>
  <c r="D481" i="1"/>
  <c r="E481" i="1"/>
  <c r="F481" i="1"/>
  <c r="G481" i="1"/>
  <c r="H481" i="1"/>
  <c r="L481" i="1"/>
  <c r="M481" i="1"/>
  <c r="N481" i="1"/>
  <c r="O481" i="1"/>
  <c r="P481" i="1"/>
  <c r="Q481" i="1"/>
  <c r="R481" i="1"/>
  <c r="S481" i="1"/>
  <c r="T481" i="1"/>
  <c r="U481" i="1"/>
  <c r="V481" i="1"/>
  <c r="AB481" i="1"/>
  <c r="AD481" i="1"/>
  <c r="AE481" i="1"/>
  <c r="AI481" i="1"/>
  <c r="AJ481" i="1"/>
  <c r="AK481" i="1"/>
  <c r="AP481" i="1"/>
  <c r="AR481" i="1"/>
  <c r="AY481" i="1"/>
  <c r="BE481" i="1"/>
  <c r="BF481" i="1"/>
  <c r="C482" i="1"/>
  <c r="D482" i="1"/>
  <c r="E482" i="1"/>
  <c r="F482" i="1"/>
  <c r="G482" i="1"/>
  <c r="H482" i="1"/>
  <c r="L482" i="1"/>
  <c r="M482" i="1"/>
  <c r="N482" i="1"/>
  <c r="O482" i="1"/>
  <c r="P482" i="1"/>
  <c r="Q482" i="1"/>
  <c r="R482" i="1"/>
  <c r="S482" i="1"/>
  <c r="T482" i="1"/>
  <c r="U482" i="1"/>
  <c r="V482" i="1"/>
  <c r="AB482" i="1"/>
  <c r="AD482" i="1"/>
  <c r="AE482" i="1"/>
  <c r="AI482" i="1"/>
  <c r="AJ482" i="1"/>
  <c r="AK482" i="1"/>
  <c r="AP482" i="1"/>
  <c r="AR482" i="1"/>
  <c r="AY482" i="1"/>
  <c r="BE482" i="1"/>
  <c r="BF482" i="1"/>
  <c r="C483" i="1"/>
  <c r="D483" i="1"/>
  <c r="E483" i="1"/>
  <c r="F483" i="1"/>
  <c r="G483" i="1"/>
  <c r="H483" i="1"/>
  <c r="L483" i="1"/>
  <c r="M483" i="1"/>
  <c r="N483" i="1"/>
  <c r="O483" i="1"/>
  <c r="P483" i="1"/>
  <c r="Q483" i="1"/>
  <c r="R483" i="1"/>
  <c r="S483" i="1"/>
  <c r="T483" i="1"/>
  <c r="U483" i="1"/>
  <c r="V483" i="1"/>
  <c r="AB483" i="1"/>
  <c r="AD483" i="1"/>
  <c r="AE483" i="1"/>
  <c r="AI483" i="1"/>
  <c r="AJ483" i="1"/>
  <c r="AK483" i="1"/>
  <c r="AP483" i="1"/>
  <c r="AR483" i="1"/>
  <c r="AY483" i="1"/>
  <c r="BE483" i="1"/>
  <c r="BF483" i="1"/>
  <c r="C484" i="1"/>
  <c r="D484" i="1"/>
  <c r="E484" i="1"/>
  <c r="F484" i="1"/>
  <c r="G484" i="1"/>
  <c r="H484" i="1"/>
  <c r="L484" i="1"/>
  <c r="M484" i="1"/>
  <c r="N484" i="1"/>
  <c r="O484" i="1"/>
  <c r="P484" i="1"/>
  <c r="Q484" i="1"/>
  <c r="R484" i="1"/>
  <c r="S484" i="1"/>
  <c r="T484" i="1"/>
  <c r="U484" i="1"/>
  <c r="V484" i="1"/>
  <c r="AB484" i="1"/>
  <c r="AD484" i="1"/>
  <c r="AE484" i="1"/>
  <c r="AI484" i="1"/>
  <c r="AJ484" i="1"/>
  <c r="AK484" i="1"/>
  <c r="AP484" i="1"/>
  <c r="AR484" i="1"/>
  <c r="AY484" i="1"/>
  <c r="BE484" i="1"/>
  <c r="BF484" i="1"/>
  <c r="C485" i="1"/>
  <c r="D485" i="1"/>
  <c r="E485" i="1"/>
  <c r="F485" i="1"/>
  <c r="G485" i="1"/>
  <c r="H485" i="1"/>
  <c r="L485" i="1"/>
  <c r="M485" i="1"/>
  <c r="N485" i="1"/>
  <c r="O485" i="1"/>
  <c r="P485" i="1"/>
  <c r="Q485" i="1"/>
  <c r="R485" i="1"/>
  <c r="S485" i="1"/>
  <c r="T485" i="1"/>
  <c r="U485" i="1"/>
  <c r="V485" i="1"/>
  <c r="AB485" i="1"/>
  <c r="AD485" i="1"/>
  <c r="AE485" i="1"/>
  <c r="AI485" i="1"/>
  <c r="AJ485" i="1"/>
  <c r="AK485" i="1"/>
  <c r="AP485" i="1"/>
  <c r="AR485" i="1"/>
  <c r="AY485" i="1"/>
  <c r="BE485" i="1"/>
  <c r="BF485" i="1"/>
  <c r="C486" i="1"/>
  <c r="D486" i="1"/>
  <c r="E486" i="1"/>
  <c r="F486" i="1"/>
  <c r="G486" i="1"/>
  <c r="H486" i="1"/>
  <c r="L486" i="1"/>
  <c r="M486" i="1"/>
  <c r="N486" i="1"/>
  <c r="O486" i="1"/>
  <c r="P486" i="1"/>
  <c r="Q486" i="1"/>
  <c r="R486" i="1"/>
  <c r="S486" i="1"/>
  <c r="T486" i="1"/>
  <c r="U486" i="1"/>
  <c r="V486" i="1"/>
  <c r="AB486" i="1"/>
  <c r="AD486" i="1"/>
  <c r="AE486" i="1"/>
  <c r="AI486" i="1"/>
  <c r="AJ486" i="1"/>
  <c r="AK486" i="1"/>
  <c r="AP486" i="1"/>
  <c r="AR486" i="1"/>
  <c r="AY486" i="1"/>
  <c r="BE486" i="1"/>
  <c r="BF486" i="1"/>
  <c r="C487" i="1"/>
  <c r="D487" i="1"/>
  <c r="E487" i="1"/>
  <c r="F487" i="1"/>
  <c r="G487" i="1"/>
  <c r="H487" i="1"/>
  <c r="L487" i="1"/>
  <c r="M487" i="1"/>
  <c r="N487" i="1"/>
  <c r="O487" i="1"/>
  <c r="P487" i="1"/>
  <c r="Q487" i="1"/>
  <c r="R487" i="1"/>
  <c r="S487" i="1"/>
  <c r="T487" i="1"/>
  <c r="U487" i="1"/>
  <c r="V487" i="1"/>
  <c r="AB487" i="1"/>
  <c r="AD487" i="1"/>
  <c r="AE487" i="1"/>
  <c r="AI487" i="1"/>
  <c r="AJ487" i="1"/>
  <c r="AK487" i="1"/>
  <c r="AP487" i="1"/>
  <c r="AR487" i="1"/>
  <c r="AY487" i="1"/>
  <c r="BE487" i="1"/>
  <c r="BF487" i="1"/>
  <c r="C488" i="1"/>
  <c r="D488" i="1"/>
  <c r="E488" i="1"/>
  <c r="F488" i="1"/>
  <c r="G488" i="1"/>
  <c r="H488" i="1"/>
  <c r="L488" i="1"/>
  <c r="M488" i="1"/>
  <c r="N488" i="1"/>
  <c r="O488" i="1"/>
  <c r="P488" i="1"/>
  <c r="Q488" i="1"/>
  <c r="R488" i="1"/>
  <c r="S488" i="1"/>
  <c r="T488" i="1"/>
  <c r="U488" i="1"/>
  <c r="V488" i="1"/>
  <c r="AB488" i="1"/>
  <c r="AD488" i="1"/>
  <c r="AE488" i="1"/>
  <c r="AI488" i="1"/>
  <c r="AJ488" i="1"/>
  <c r="AK488" i="1"/>
  <c r="AP488" i="1"/>
  <c r="AR488" i="1"/>
  <c r="AY488" i="1"/>
  <c r="BE488" i="1"/>
  <c r="BF488" i="1"/>
  <c r="C489" i="1"/>
  <c r="D489" i="1"/>
  <c r="E489" i="1"/>
  <c r="F489" i="1"/>
  <c r="G489" i="1"/>
  <c r="H489" i="1"/>
  <c r="L489" i="1"/>
  <c r="M489" i="1"/>
  <c r="N489" i="1"/>
  <c r="O489" i="1"/>
  <c r="P489" i="1"/>
  <c r="Q489" i="1"/>
  <c r="R489" i="1"/>
  <c r="S489" i="1"/>
  <c r="T489" i="1"/>
  <c r="U489" i="1"/>
  <c r="V489" i="1"/>
  <c r="AB489" i="1"/>
  <c r="AD489" i="1"/>
  <c r="AE489" i="1"/>
  <c r="AI489" i="1"/>
  <c r="AJ489" i="1"/>
  <c r="AK489" i="1"/>
  <c r="AP489" i="1"/>
  <c r="AR489" i="1"/>
  <c r="AY489" i="1"/>
  <c r="BE489" i="1"/>
  <c r="BF489" i="1"/>
  <c r="C490" i="1"/>
  <c r="D490" i="1"/>
  <c r="E490" i="1"/>
  <c r="F490" i="1"/>
  <c r="G490" i="1"/>
  <c r="H490" i="1"/>
  <c r="L490" i="1"/>
  <c r="M490" i="1"/>
  <c r="N490" i="1"/>
  <c r="O490" i="1"/>
  <c r="P490" i="1"/>
  <c r="Q490" i="1"/>
  <c r="R490" i="1"/>
  <c r="S490" i="1"/>
  <c r="T490" i="1"/>
  <c r="U490" i="1"/>
  <c r="V490" i="1"/>
  <c r="AB490" i="1"/>
  <c r="AD490" i="1"/>
  <c r="AE490" i="1"/>
  <c r="AI490" i="1"/>
  <c r="AJ490" i="1"/>
  <c r="AK490" i="1"/>
  <c r="AP490" i="1"/>
  <c r="AR490" i="1"/>
  <c r="AY490" i="1"/>
  <c r="BE490" i="1"/>
  <c r="BF490" i="1"/>
  <c r="C491" i="1"/>
  <c r="D491" i="1"/>
  <c r="E491" i="1"/>
  <c r="F491" i="1"/>
  <c r="G491" i="1"/>
  <c r="H491" i="1"/>
  <c r="L491" i="1"/>
  <c r="M491" i="1"/>
  <c r="N491" i="1"/>
  <c r="O491" i="1"/>
  <c r="P491" i="1"/>
  <c r="Q491" i="1"/>
  <c r="R491" i="1"/>
  <c r="S491" i="1"/>
  <c r="T491" i="1"/>
  <c r="U491" i="1"/>
  <c r="V491" i="1"/>
  <c r="AB491" i="1"/>
  <c r="AD491" i="1"/>
  <c r="AE491" i="1"/>
  <c r="AI491" i="1"/>
  <c r="AJ491" i="1"/>
  <c r="AK491" i="1"/>
  <c r="AP491" i="1"/>
  <c r="AR491" i="1"/>
  <c r="AY491" i="1"/>
  <c r="BE491" i="1"/>
  <c r="BF491" i="1"/>
  <c r="C232" i="1"/>
  <c r="D232" i="1"/>
  <c r="E232" i="1"/>
  <c r="F232" i="1"/>
  <c r="G232" i="1"/>
  <c r="H232" i="1"/>
  <c r="L232" i="1"/>
  <c r="M232" i="1"/>
  <c r="N232" i="1"/>
  <c r="O232" i="1"/>
  <c r="P232" i="1"/>
  <c r="Q232" i="1"/>
  <c r="R232" i="1"/>
  <c r="S232" i="1"/>
  <c r="T232" i="1"/>
  <c r="U232" i="1"/>
  <c r="V232" i="1"/>
  <c r="AB232" i="1"/>
  <c r="AD232" i="1"/>
  <c r="AE232" i="1"/>
  <c r="AI232" i="1"/>
  <c r="AJ232" i="1"/>
  <c r="AK232" i="1"/>
  <c r="AP232" i="1"/>
  <c r="AR232" i="1"/>
  <c r="AY232" i="1"/>
  <c r="BE232" i="1"/>
  <c r="BF232" i="1"/>
  <c r="C233" i="1"/>
  <c r="D233" i="1"/>
  <c r="E233" i="1"/>
  <c r="F233" i="1"/>
  <c r="G233" i="1"/>
  <c r="H233" i="1"/>
  <c r="L233" i="1"/>
  <c r="M233" i="1"/>
  <c r="N233" i="1"/>
  <c r="O233" i="1"/>
  <c r="P233" i="1"/>
  <c r="Q233" i="1"/>
  <c r="R233" i="1"/>
  <c r="S233" i="1"/>
  <c r="T233" i="1"/>
  <c r="U233" i="1"/>
  <c r="V233" i="1"/>
  <c r="AB233" i="1"/>
  <c r="AD233" i="1"/>
  <c r="AE233" i="1"/>
  <c r="AI233" i="1"/>
  <c r="AJ233" i="1"/>
  <c r="AK233" i="1"/>
  <c r="AP233" i="1"/>
  <c r="AR233" i="1"/>
  <c r="AY233" i="1"/>
  <c r="BE233" i="1"/>
  <c r="BF233" i="1"/>
  <c r="C234" i="1"/>
  <c r="D234" i="1"/>
  <c r="E234" i="1"/>
  <c r="F234" i="1"/>
  <c r="G234" i="1"/>
  <c r="H234" i="1"/>
  <c r="L234" i="1"/>
  <c r="M234" i="1"/>
  <c r="N234" i="1"/>
  <c r="O234" i="1"/>
  <c r="P234" i="1"/>
  <c r="Q234" i="1"/>
  <c r="R234" i="1"/>
  <c r="S234" i="1"/>
  <c r="T234" i="1"/>
  <c r="U234" i="1"/>
  <c r="V234" i="1"/>
  <c r="AB234" i="1"/>
  <c r="AD234" i="1"/>
  <c r="AE234" i="1"/>
  <c r="AI234" i="1"/>
  <c r="AJ234" i="1"/>
  <c r="AK234" i="1"/>
  <c r="AP234" i="1"/>
  <c r="AR234" i="1"/>
  <c r="AY234" i="1"/>
  <c r="BE234" i="1"/>
  <c r="BF234" i="1"/>
  <c r="C235" i="1"/>
  <c r="D235" i="1"/>
  <c r="E235" i="1"/>
  <c r="F235" i="1"/>
  <c r="G235" i="1"/>
  <c r="H235" i="1"/>
  <c r="L235" i="1"/>
  <c r="M235" i="1"/>
  <c r="N235" i="1"/>
  <c r="O235" i="1"/>
  <c r="P235" i="1"/>
  <c r="Q235" i="1"/>
  <c r="R235" i="1"/>
  <c r="S235" i="1"/>
  <c r="T235" i="1"/>
  <c r="U235" i="1"/>
  <c r="V235" i="1"/>
  <c r="AB235" i="1"/>
  <c r="AD235" i="1"/>
  <c r="AE235" i="1"/>
  <c r="AI235" i="1"/>
  <c r="AJ235" i="1"/>
  <c r="AK235" i="1"/>
  <c r="AP235" i="1"/>
  <c r="AR235" i="1"/>
  <c r="AY235" i="1"/>
  <c r="BE235" i="1"/>
  <c r="BF235" i="1"/>
  <c r="C236" i="1"/>
  <c r="D236" i="1"/>
  <c r="E236" i="1"/>
  <c r="F236" i="1"/>
  <c r="G236" i="1"/>
  <c r="H236" i="1"/>
  <c r="L236" i="1"/>
  <c r="M236" i="1"/>
  <c r="N236" i="1"/>
  <c r="O236" i="1"/>
  <c r="P236" i="1"/>
  <c r="Q236" i="1"/>
  <c r="R236" i="1"/>
  <c r="S236" i="1"/>
  <c r="T236" i="1"/>
  <c r="U236" i="1"/>
  <c r="V236" i="1"/>
  <c r="AB236" i="1"/>
  <c r="AD236" i="1"/>
  <c r="AE236" i="1"/>
  <c r="AI236" i="1"/>
  <c r="AJ236" i="1"/>
  <c r="AK236" i="1"/>
  <c r="AP236" i="1"/>
  <c r="AR236" i="1"/>
  <c r="AY236" i="1"/>
  <c r="BE236" i="1"/>
  <c r="BF236" i="1"/>
  <c r="C237" i="1"/>
  <c r="D237" i="1"/>
  <c r="E237" i="1"/>
  <c r="F237" i="1"/>
  <c r="G237" i="1"/>
  <c r="H237" i="1"/>
  <c r="L237" i="1"/>
  <c r="M237" i="1"/>
  <c r="N237" i="1"/>
  <c r="O237" i="1"/>
  <c r="P237" i="1"/>
  <c r="Q237" i="1"/>
  <c r="R237" i="1"/>
  <c r="S237" i="1"/>
  <c r="T237" i="1"/>
  <c r="U237" i="1"/>
  <c r="V237" i="1"/>
  <c r="AB237" i="1"/>
  <c r="AD237" i="1"/>
  <c r="AE237" i="1"/>
  <c r="AI237" i="1"/>
  <c r="AJ237" i="1"/>
  <c r="AK237" i="1"/>
  <c r="AP237" i="1"/>
  <c r="AR237" i="1"/>
  <c r="AY237" i="1"/>
  <c r="BE237" i="1"/>
  <c r="BF237" i="1"/>
  <c r="C238" i="1"/>
  <c r="D238" i="1"/>
  <c r="E238" i="1"/>
  <c r="F238" i="1"/>
  <c r="G238" i="1"/>
  <c r="H238" i="1"/>
  <c r="L238" i="1"/>
  <c r="M238" i="1"/>
  <c r="N238" i="1"/>
  <c r="O238" i="1"/>
  <c r="P238" i="1"/>
  <c r="Q238" i="1"/>
  <c r="R238" i="1"/>
  <c r="S238" i="1"/>
  <c r="T238" i="1"/>
  <c r="U238" i="1"/>
  <c r="V238" i="1"/>
  <c r="AB238" i="1"/>
  <c r="AD238" i="1"/>
  <c r="AE238" i="1"/>
  <c r="AI238" i="1"/>
  <c r="AJ238" i="1"/>
  <c r="AK238" i="1"/>
  <c r="AP238" i="1"/>
  <c r="AR238" i="1"/>
  <c r="AY238" i="1"/>
  <c r="BE238" i="1"/>
  <c r="BF238" i="1"/>
  <c r="C239" i="1"/>
  <c r="D239" i="1"/>
  <c r="E239" i="1"/>
  <c r="F239" i="1"/>
  <c r="G239" i="1"/>
  <c r="H239" i="1"/>
  <c r="L239" i="1"/>
  <c r="M239" i="1"/>
  <c r="N239" i="1"/>
  <c r="O239" i="1"/>
  <c r="P239" i="1"/>
  <c r="Q239" i="1"/>
  <c r="R239" i="1"/>
  <c r="S239" i="1"/>
  <c r="T239" i="1"/>
  <c r="U239" i="1"/>
  <c r="V239" i="1"/>
  <c r="AB239" i="1"/>
  <c r="AD239" i="1"/>
  <c r="AE239" i="1"/>
  <c r="AI239" i="1"/>
  <c r="AJ239" i="1"/>
  <c r="AK239" i="1"/>
  <c r="AP239" i="1"/>
  <c r="AR239" i="1"/>
  <c r="AY239" i="1"/>
  <c r="BE239" i="1"/>
  <c r="BF239" i="1"/>
  <c r="C240" i="1"/>
  <c r="D240" i="1"/>
  <c r="E240" i="1"/>
  <c r="F240" i="1"/>
  <c r="G240" i="1"/>
  <c r="H240" i="1"/>
  <c r="L240" i="1"/>
  <c r="M240" i="1"/>
  <c r="N240" i="1"/>
  <c r="O240" i="1"/>
  <c r="P240" i="1"/>
  <c r="Q240" i="1"/>
  <c r="R240" i="1"/>
  <c r="S240" i="1"/>
  <c r="T240" i="1"/>
  <c r="U240" i="1"/>
  <c r="V240" i="1"/>
  <c r="AB240" i="1"/>
  <c r="AD240" i="1"/>
  <c r="AE240" i="1"/>
  <c r="AI240" i="1"/>
  <c r="AJ240" i="1"/>
  <c r="AK240" i="1"/>
  <c r="AP240" i="1"/>
  <c r="AR240" i="1"/>
  <c r="AY240" i="1"/>
  <c r="BE240" i="1"/>
  <c r="BF240" i="1"/>
  <c r="C241" i="1"/>
  <c r="D241" i="1"/>
  <c r="E241" i="1"/>
  <c r="F241" i="1"/>
  <c r="G241" i="1"/>
  <c r="H241" i="1"/>
  <c r="L241" i="1"/>
  <c r="M241" i="1"/>
  <c r="N241" i="1"/>
  <c r="O241" i="1"/>
  <c r="P241" i="1"/>
  <c r="Q241" i="1"/>
  <c r="R241" i="1"/>
  <c r="S241" i="1"/>
  <c r="T241" i="1"/>
  <c r="U241" i="1"/>
  <c r="V241" i="1"/>
  <c r="AB241" i="1"/>
  <c r="AD241" i="1"/>
  <c r="AE241" i="1"/>
  <c r="AI241" i="1"/>
  <c r="AJ241" i="1"/>
  <c r="AK241" i="1"/>
  <c r="AP241" i="1"/>
  <c r="AR241" i="1"/>
  <c r="AY241" i="1"/>
  <c r="BE241" i="1"/>
  <c r="BF241" i="1"/>
  <c r="C242" i="1"/>
  <c r="D242" i="1"/>
  <c r="E242" i="1"/>
  <c r="F242" i="1"/>
  <c r="G242" i="1"/>
  <c r="H242" i="1"/>
  <c r="L242" i="1"/>
  <c r="M242" i="1"/>
  <c r="N242" i="1"/>
  <c r="O242" i="1"/>
  <c r="P242" i="1"/>
  <c r="Q242" i="1"/>
  <c r="R242" i="1"/>
  <c r="S242" i="1"/>
  <c r="T242" i="1"/>
  <c r="U242" i="1"/>
  <c r="V242" i="1"/>
  <c r="AB242" i="1"/>
  <c r="AD242" i="1"/>
  <c r="AE242" i="1"/>
  <c r="AI242" i="1"/>
  <c r="AJ242" i="1"/>
  <c r="AK242" i="1"/>
  <c r="AP242" i="1"/>
  <c r="AR242" i="1"/>
  <c r="AY242" i="1"/>
  <c r="BE242" i="1"/>
  <c r="BF242" i="1"/>
  <c r="C243" i="1"/>
  <c r="D243" i="1"/>
  <c r="E243" i="1"/>
  <c r="F243" i="1"/>
  <c r="G243" i="1"/>
  <c r="H243" i="1"/>
  <c r="L243" i="1"/>
  <c r="M243" i="1"/>
  <c r="N243" i="1"/>
  <c r="O243" i="1"/>
  <c r="P243" i="1"/>
  <c r="Q243" i="1"/>
  <c r="R243" i="1"/>
  <c r="S243" i="1"/>
  <c r="T243" i="1"/>
  <c r="U243" i="1"/>
  <c r="V243" i="1"/>
  <c r="AB243" i="1"/>
  <c r="AD243" i="1"/>
  <c r="AE243" i="1"/>
  <c r="AI243" i="1"/>
  <c r="AJ243" i="1"/>
  <c r="AK243" i="1"/>
  <c r="AP243" i="1"/>
  <c r="AR243" i="1"/>
  <c r="AY243" i="1"/>
  <c r="BE243" i="1"/>
  <c r="BF243" i="1"/>
  <c r="C244" i="1"/>
  <c r="D244" i="1"/>
  <c r="E244" i="1"/>
  <c r="F244" i="1"/>
  <c r="G244" i="1"/>
  <c r="H244" i="1"/>
  <c r="L244" i="1"/>
  <c r="M244" i="1"/>
  <c r="N244" i="1"/>
  <c r="O244" i="1"/>
  <c r="P244" i="1"/>
  <c r="Q244" i="1"/>
  <c r="R244" i="1"/>
  <c r="S244" i="1"/>
  <c r="T244" i="1"/>
  <c r="U244" i="1"/>
  <c r="V244" i="1"/>
  <c r="AB244" i="1"/>
  <c r="AD244" i="1"/>
  <c r="AE244" i="1"/>
  <c r="AI244" i="1"/>
  <c r="AJ244" i="1"/>
  <c r="AK244" i="1"/>
  <c r="AP244" i="1"/>
  <c r="AR244" i="1"/>
  <c r="AY244" i="1"/>
  <c r="BE244" i="1"/>
  <c r="BF244" i="1"/>
  <c r="C245" i="1"/>
  <c r="D245" i="1"/>
  <c r="E245" i="1"/>
  <c r="F245" i="1"/>
  <c r="G245" i="1"/>
  <c r="H245" i="1"/>
  <c r="L245" i="1"/>
  <c r="M245" i="1"/>
  <c r="N245" i="1"/>
  <c r="O245" i="1"/>
  <c r="P245" i="1"/>
  <c r="Q245" i="1"/>
  <c r="R245" i="1"/>
  <c r="S245" i="1"/>
  <c r="T245" i="1"/>
  <c r="U245" i="1"/>
  <c r="V245" i="1"/>
  <c r="AB245" i="1"/>
  <c r="AD245" i="1"/>
  <c r="AE245" i="1"/>
  <c r="AI245" i="1"/>
  <c r="AJ245" i="1"/>
  <c r="AK245" i="1"/>
  <c r="AP245" i="1"/>
  <c r="AR245" i="1"/>
  <c r="AY245" i="1"/>
  <c r="BE245" i="1"/>
  <c r="BF245" i="1"/>
  <c r="C246" i="1"/>
  <c r="D246" i="1"/>
  <c r="E246" i="1"/>
  <c r="F246" i="1"/>
  <c r="G246" i="1"/>
  <c r="H246" i="1"/>
  <c r="L246" i="1"/>
  <c r="M246" i="1"/>
  <c r="N246" i="1"/>
  <c r="O246" i="1"/>
  <c r="P246" i="1"/>
  <c r="Q246" i="1"/>
  <c r="R246" i="1"/>
  <c r="S246" i="1"/>
  <c r="T246" i="1"/>
  <c r="U246" i="1"/>
  <c r="V246" i="1"/>
  <c r="AB246" i="1"/>
  <c r="AD246" i="1"/>
  <c r="AE246" i="1"/>
  <c r="AI246" i="1"/>
  <c r="AJ246" i="1"/>
  <c r="AK246" i="1"/>
  <c r="AP246" i="1"/>
  <c r="AR246" i="1"/>
  <c r="AY246" i="1"/>
  <c r="BE246" i="1"/>
  <c r="BF246" i="1"/>
  <c r="C247" i="1"/>
  <c r="D247" i="1"/>
  <c r="E247" i="1"/>
  <c r="F247" i="1"/>
  <c r="G247" i="1"/>
  <c r="H247" i="1"/>
  <c r="L247" i="1"/>
  <c r="M247" i="1"/>
  <c r="N247" i="1"/>
  <c r="O247" i="1"/>
  <c r="P247" i="1"/>
  <c r="Q247" i="1"/>
  <c r="R247" i="1"/>
  <c r="S247" i="1"/>
  <c r="T247" i="1"/>
  <c r="U247" i="1"/>
  <c r="V247" i="1"/>
  <c r="AB247" i="1"/>
  <c r="AD247" i="1"/>
  <c r="AE247" i="1"/>
  <c r="AI247" i="1"/>
  <c r="AJ247" i="1"/>
  <c r="AK247" i="1"/>
  <c r="AP247" i="1"/>
  <c r="AR247" i="1"/>
  <c r="AY247" i="1"/>
  <c r="BE247" i="1"/>
  <c r="BF247" i="1"/>
  <c r="C248" i="1"/>
  <c r="D248" i="1"/>
  <c r="E248" i="1"/>
  <c r="F248" i="1"/>
  <c r="G248" i="1"/>
  <c r="H248" i="1"/>
  <c r="L248" i="1"/>
  <c r="M248" i="1"/>
  <c r="N248" i="1"/>
  <c r="O248" i="1"/>
  <c r="P248" i="1"/>
  <c r="Q248" i="1"/>
  <c r="R248" i="1"/>
  <c r="S248" i="1"/>
  <c r="T248" i="1"/>
  <c r="U248" i="1"/>
  <c r="V248" i="1"/>
  <c r="AB248" i="1"/>
  <c r="AD248" i="1"/>
  <c r="AE248" i="1"/>
  <c r="AI248" i="1"/>
  <c r="AJ248" i="1"/>
  <c r="AK248" i="1"/>
  <c r="AP248" i="1"/>
  <c r="AR248" i="1"/>
  <c r="AY248" i="1"/>
  <c r="BE248" i="1"/>
  <c r="BF248" i="1"/>
  <c r="C249" i="1"/>
  <c r="D249" i="1"/>
  <c r="E249" i="1"/>
  <c r="F249" i="1"/>
  <c r="G249" i="1"/>
  <c r="H249" i="1"/>
  <c r="L249" i="1"/>
  <c r="M249" i="1"/>
  <c r="N249" i="1"/>
  <c r="O249" i="1"/>
  <c r="P249" i="1"/>
  <c r="Q249" i="1"/>
  <c r="R249" i="1"/>
  <c r="S249" i="1"/>
  <c r="T249" i="1"/>
  <c r="U249" i="1"/>
  <c r="V249" i="1"/>
  <c r="AB249" i="1"/>
  <c r="AD249" i="1"/>
  <c r="AE249" i="1"/>
  <c r="AI249" i="1"/>
  <c r="AJ249" i="1"/>
  <c r="AK249" i="1"/>
  <c r="AP249" i="1"/>
  <c r="AR249" i="1"/>
  <c r="AY249" i="1"/>
  <c r="BE249" i="1"/>
  <c r="BF249" i="1"/>
  <c r="C250" i="1"/>
  <c r="D250" i="1"/>
  <c r="E250" i="1"/>
  <c r="F250" i="1"/>
  <c r="G250" i="1"/>
  <c r="H250" i="1"/>
  <c r="L250" i="1"/>
  <c r="M250" i="1"/>
  <c r="N250" i="1"/>
  <c r="O250" i="1"/>
  <c r="P250" i="1"/>
  <c r="Q250" i="1"/>
  <c r="R250" i="1"/>
  <c r="S250" i="1"/>
  <c r="T250" i="1"/>
  <c r="U250" i="1"/>
  <c r="V250" i="1"/>
  <c r="AB250" i="1"/>
  <c r="AD250" i="1"/>
  <c r="AE250" i="1"/>
  <c r="AI250" i="1"/>
  <c r="AJ250" i="1"/>
  <c r="AK250" i="1"/>
  <c r="AP250" i="1"/>
  <c r="AR250" i="1"/>
  <c r="AY250" i="1"/>
  <c r="BE250" i="1"/>
  <c r="BF250" i="1"/>
  <c r="C251" i="1"/>
  <c r="D251" i="1"/>
  <c r="E251" i="1"/>
  <c r="F251" i="1"/>
  <c r="G251" i="1"/>
  <c r="H251" i="1"/>
  <c r="L251" i="1"/>
  <c r="M251" i="1"/>
  <c r="N251" i="1"/>
  <c r="O251" i="1"/>
  <c r="P251" i="1"/>
  <c r="Q251" i="1"/>
  <c r="R251" i="1"/>
  <c r="S251" i="1"/>
  <c r="T251" i="1"/>
  <c r="U251" i="1"/>
  <c r="V251" i="1"/>
  <c r="AB251" i="1"/>
  <c r="AD251" i="1"/>
  <c r="AE251" i="1"/>
  <c r="AI251" i="1"/>
  <c r="AJ251" i="1"/>
  <c r="AK251" i="1"/>
  <c r="AP251" i="1"/>
  <c r="AR251" i="1"/>
  <c r="AY251" i="1"/>
  <c r="BE251" i="1"/>
  <c r="BF251" i="1"/>
  <c r="C252" i="1"/>
  <c r="D252" i="1"/>
  <c r="E252" i="1"/>
  <c r="F252" i="1"/>
  <c r="G252" i="1"/>
  <c r="H252" i="1"/>
  <c r="L252" i="1"/>
  <c r="M252" i="1"/>
  <c r="N252" i="1"/>
  <c r="O252" i="1"/>
  <c r="P252" i="1"/>
  <c r="Q252" i="1"/>
  <c r="R252" i="1"/>
  <c r="S252" i="1"/>
  <c r="T252" i="1"/>
  <c r="U252" i="1"/>
  <c r="V252" i="1"/>
  <c r="AB252" i="1"/>
  <c r="AD252" i="1"/>
  <c r="AE252" i="1"/>
  <c r="AI252" i="1"/>
  <c r="AJ252" i="1"/>
  <c r="AK252" i="1"/>
  <c r="AP252" i="1"/>
  <c r="AR252" i="1"/>
  <c r="AY252" i="1"/>
  <c r="BE252" i="1"/>
  <c r="BF252" i="1"/>
  <c r="C253" i="1"/>
  <c r="D253" i="1"/>
  <c r="E253" i="1"/>
  <c r="F253" i="1"/>
  <c r="G253" i="1"/>
  <c r="H253" i="1"/>
  <c r="L253" i="1"/>
  <c r="M253" i="1"/>
  <c r="N253" i="1"/>
  <c r="O253" i="1"/>
  <c r="P253" i="1"/>
  <c r="Q253" i="1"/>
  <c r="R253" i="1"/>
  <c r="S253" i="1"/>
  <c r="T253" i="1"/>
  <c r="U253" i="1"/>
  <c r="V253" i="1"/>
  <c r="AB253" i="1"/>
  <c r="AD253" i="1"/>
  <c r="AE253" i="1"/>
  <c r="AI253" i="1"/>
  <c r="AJ253" i="1"/>
  <c r="AK253" i="1"/>
  <c r="AP253" i="1"/>
  <c r="AR253" i="1"/>
  <c r="AY253" i="1"/>
  <c r="BE253" i="1"/>
  <c r="BF253" i="1"/>
  <c r="C254" i="1"/>
  <c r="D254" i="1"/>
  <c r="E254" i="1"/>
  <c r="F254" i="1"/>
  <c r="G254" i="1"/>
  <c r="H254" i="1"/>
  <c r="L254" i="1"/>
  <c r="M254" i="1"/>
  <c r="N254" i="1"/>
  <c r="O254" i="1"/>
  <c r="P254" i="1"/>
  <c r="Q254" i="1"/>
  <c r="R254" i="1"/>
  <c r="S254" i="1"/>
  <c r="T254" i="1"/>
  <c r="U254" i="1"/>
  <c r="V254" i="1"/>
  <c r="AB254" i="1"/>
  <c r="AD254" i="1"/>
  <c r="AE254" i="1"/>
  <c r="AI254" i="1"/>
  <c r="AJ254" i="1"/>
  <c r="AK254" i="1"/>
  <c r="AP254" i="1"/>
  <c r="AR254" i="1"/>
  <c r="AY254" i="1"/>
  <c r="BE254" i="1"/>
  <c r="BF254" i="1"/>
  <c r="C255" i="1"/>
  <c r="D255" i="1"/>
  <c r="E255" i="1"/>
  <c r="F255" i="1"/>
  <c r="G255" i="1"/>
  <c r="H255" i="1"/>
  <c r="L255" i="1"/>
  <c r="M255" i="1"/>
  <c r="N255" i="1"/>
  <c r="O255" i="1"/>
  <c r="P255" i="1"/>
  <c r="Q255" i="1"/>
  <c r="R255" i="1"/>
  <c r="S255" i="1"/>
  <c r="T255" i="1"/>
  <c r="U255" i="1"/>
  <c r="V255" i="1"/>
  <c r="AB255" i="1"/>
  <c r="AD255" i="1"/>
  <c r="AE255" i="1"/>
  <c r="AI255" i="1"/>
  <c r="AJ255" i="1"/>
  <c r="AK255" i="1"/>
  <c r="AP255" i="1"/>
  <c r="AR255" i="1"/>
  <c r="AY255" i="1"/>
  <c r="BE255" i="1"/>
  <c r="BF255" i="1"/>
  <c r="C256" i="1"/>
  <c r="D256" i="1"/>
  <c r="E256" i="1"/>
  <c r="F256" i="1"/>
  <c r="G256" i="1"/>
  <c r="H256" i="1"/>
  <c r="L256" i="1"/>
  <c r="M256" i="1"/>
  <c r="N256" i="1"/>
  <c r="O256" i="1"/>
  <c r="P256" i="1"/>
  <c r="Q256" i="1"/>
  <c r="R256" i="1"/>
  <c r="S256" i="1"/>
  <c r="T256" i="1"/>
  <c r="U256" i="1"/>
  <c r="V256" i="1"/>
  <c r="AB256" i="1"/>
  <c r="AD256" i="1"/>
  <c r="AE256" i="1"/>
  <c r="AI256" i="1"/>
  <c r="AJ256" i="1"/>
  <c r="AK256" i="1"/>
  <c r="AP256" i="1"/>
  <c r="AR256" i="1"/>
  <c r="AY256" i="1"/>
  <c r="BE256" i="1"/>
  <c r="BF256" i="1"/>
  <c r="C257" i="1"/>
  <c r="D257" i="1"/>
  <c r="E257" i="1"/>
  <c r="F257" i="1"/>
  <c r="G257" i="1"/>
  <c r="H257" i="1"/>
  <c r="L257" i="1"/>
  <c r="M257" i="1"/>
  <c r="N257" i="1"/>
  <c r="O257" i="1"/>
  <c r="P257" i="1"/>
  <c r="Q257" i="1"/>
  <c r="R257" i="1"/>
  <c r="S257" i="1"/>
  <c r="T257" i="1"/>
  <c r="U257" i="1"/>
  <c r="V257" i="1"/>
  <c r="AB257" i="1"/>
  <c r="AD257" i="1"/>
  <c r="AE257" i="1"/>
  <c r="AI257" i="1"/>
  <c r="AJ257" i="1"/>
  <c r="AK257" i="1"/>
  <c r="AP257" i="1"/>
  <c r="AR257" i="1"/>
  <c r="AY257" i="1"/>
  <c r="BE257" i="1"/>
  <c r="BF257" i="1"/>
  <c r="C258" i="1"/>
  <c r="D258" i="1"/>
  <c r="E258" i="1"/>
  <c r="F258" i="1"/>
  <c r="G258" i="1"/>
  <c r="H258" i="1"/>
  <c r="L258" i="1"/>
  <c r="M258" i="1"/>
  <c r="N258" i="1"/>
  <c r="O258" i="1"/>
  <c r="P258" i="1"/>
  <c r="Q258" i="1"/>
  <c r="R258" i="1"/>
  <c r="S258" i="1"/>
  <c r="T258" i="1"/>
  <c r="U258" i="1"/>
  <c r="V258" i="1"/>
  <c r="AB258" i="1"/>
  <c r="AD258" i="1"/>
  <c r="AE258" i="1"/>
  <c r="AI258" i="1"/>
  <c r="AJ258" i="1"/>
  <c r="AK258" i="1"/>
  <c r="AP258" i="1"/>
  <c r="AR258" i="1"/>
  <c r="AY258" i="1"/>
  <c r="BE258" i="1"/>
  <c r="BF258" i="1"/>
  <c r="C259" i="1"/>
  <c r="D259" i="1"/>
  <c r="E259" i="1"/>
  <c r="F259" i="1"/>
  <c r="G259" i="1"/>
  <c r="H259" i="1"/>
  <c r="L259" i="1"/>
  <c r="M259" i="1"/>
  <c r="N259" i="1"/>
  <c r="O259" i="1"/>
  <c r="P259" i="1"/>
  <c r="Q259" i="1"/>
  <c r="R259" i="1"/>
  <c r="S259" i="1"/>
  <c r="T259" i="1"/>
  <c r="U259" i="1"/>
  <c r="V259" i="1"/>
  <c r="AB259" i="1"/>
  <c r="AD259" i="1"/>
  <c r="AE259" i="1"/>
  <c r="AI259" i="1"/>
  <c r="AJ259" i="1"/>
  <c r="AK259" i="1"/>
  <c r="AP259" i="1"/>
  <c r="AR259" i="1"/>
  <c r="AY259" i="1"/>
  <c r="BE259" i="1"/>
  <c r="BF259" i="1"/>
  <c r="C260" i="1"/>
  <c r="D260" i="1"/>
  <c r="E260" i="1"/>
  <c r="F260" i="1"/>
  <c r="G260" i="1"/>
  <c r="H260" i="1"/>
  <c r="L260" i="1"/>
  <c r="M260" i="1"/>
  <c r="N260" i="1"/>
  <c r="O260" i="1"/>
  <c r="P260" i="1"/>
  <c r="Q260" i="1"/>
  <c r="R260" i="1"/>
  <c r="S260" i="1"/>
  <c r="T260" i="1"/>
  <c r="U260" i="1"/>
  <c r="V260" i="1"/>
  <c r="AB260" i="1"/>
  <c r="AD260" i="1"/>
  <c r="AE260" i="1"/>
  <c r="AI260" i="1"/>
  <c r="AJ260" i="1"/>
  <c r="AK260" i="1"/>
  <c r="AP260" i="1"/>
  <c r="AR260" i="1"/>
  <c r="AY260" i="1"/>
  <c r="BE260" i="1"/>
  <c r="BF260" i="1"/>
  <c r="C261" i="1"/>
  <c r="D261" i="1"/>
  <c r="E261" i="1"/>
  <c r="F261" i="1"/>
  <c r="G261" i="1"/>
  <c r="H261" i="1"/>
  <c r="L261" i="1"/>
  <c r="M261" i="1"/>
  <c r="N261" i="1"/>
  <c r="O261" i="1"/>
  <c r="P261" i="1"/>
  <c r="Q261" i="1"/>
  <c r="R261" i="1"/>
  <c r="S261" i="1"/>
  <c r="T261" i="1"/>
  <c r="U261" i="1"/>
  <c r="V261" i="1"/>
  <c r="AB261" i="1"/>
  <c r="AD261" i="1"/>
  <c r="AE261" i="1"/>
  <c r="AI261" i="1"/>
  <c r="AJ261" i="1"/>
  <c r="AK261" i="1"/>
  <c r="AP261" i="1"/>
  <c r="AR261" i="1"/>
  <c r="AY261" i="1"/>
  <c r="BE261" i="1"/>
  <c r="BF261" i="1"/>
  <c r="C262" i="1"/>
  <c r="D262" i="1"/>
  <c r="E262" i="1"/>
  <c r="F262" i="1"/>
  <c r="G262" i="1"/>
  <c r="H262" i="1"/>
  <c r="L262" i="1"/>
  <c r="M262" i="1"/>
  <c r="N262" i="1"/>
  <c r="O262" i="1"/>
  <c r="P262" i="1"/>
  <c r="Q262" i="1"/>
  <c r="R262" i="1"/>
  <c r="S262" i="1"/>
  <c r="T262" i="1"/>
  <c r="U262" i="1"/>
  <c r="V262" i="1"/>
  <c r="AB262" i="1"/>
  <c r="AD262" i="1"/>
  <c r="AE262" i="1"/>
  <c r="AI262" i="1"/>
  <c r="AJ262" i="1"/>
  <c r="AK262" i="1"/>
  <c r="AP262" i="1"/>
  <c r="AR262" i="1"/>
  <c r="AY262" i="1"/>
  <c r="BE262" i="1"/>
  <c r="BF262" i="1"/>
  <c r="C263" i="1"/>
  <c r="D263" i="1"/>
  <c r="E263" i="1"/>
  <c r="F263" i="1"/>
  <c r="G263" i="1"/>
  <c r="H263" i="1"/>
  <c r="L263" i="1"/>
  <c r="M263" i="1"/>
  <c r="N263" i="1"/>
  <c r="O263" i="1"/>
  <c r="P263" i="1"/>
  <c r="Q263" i="1"/>
  <c r="R263" i="1"/>
  <c r="S263" i="1"/>
  <c r="T263" i="1"/>
  <c r="U263" i="1"/>
  <c r="V263" i="1"/>
  <c r="AB263" i="1"/>
  <c r="AD263" i="1"/>
  <c r="AE263" i="1"/>
  <c r="AI263" i="1"/>
  <c r="AJ263" i="1"/>
  <c r="AK263" i="1"/>
  <c r="AP263" i="1"/>
  <c r="AR263" i="1"/>
  <c r="AY263" i="1"/>
  <c r="BE263" i="1"/>
  <c r="BF263" i="1"/>
  <c r="C264" i="1"/>
  <c r="D264" i="1"/>
  <c r="E264" i="1"/>
  <c r="F264" i="1"/>
  <c r="G264" i="1"/>
  <c r="H264" i="1"/>
  <c r="L264" i="1"/>
  <c r="M264" i="1"/>
  <c r="N264" i="1"/>
  <c r="O264" i="1"/>
  <c r="P264" i="1"/>
  <c r="Q264" i="1"/>
  <c r="R264" i="1"/>
  <c r="S264" i="1"/>
  <c r="T264" i="1"/>
  <c r="U264" i="1"/>
  <c r="V264" i="1"/>
  <c r="AB264" i="1"/>
  <c r="AD264" i="1"/>
  <c r="AE264" i="1"/>
  <c r="AI264" i="1"/>
  <c r="AJ264" i="1"/>
  <c r="AK264" i="1"/>
  <c r="AP264" i="1"/>
  <c r="AR264" i="1"/>
  <c r="AY264" i="1"/>
  <c r="BE264" i="1"/>
  <c r="BF264" i="1"/>
  <c r="C265" i="1"/>
  <c r="D265" i="1"/>
  <c r="E265" i="1"/>
  <c r="F265" i="1"/>
  <c r="G265" i="1"/>
  <c r="H265" i="1"/>
  <c r="L265" i="1"/>
  <c r="M265" i="1"/>
  <c r="N265" i="1"/>
  <c r="O265" i="1"/>
  <c r="P265" i="1"/>
  <c r="Q265" i="1"/>
  <c r="R265" i="1"/>
  <c r="S265" i="1"/>
  <c r="T265" i="1"/>
  <c r="U265" i="1"/>
  <c r="V265" i="1"/>
  <c r="AB265" i="1"/>
  <c r="AD265" i="1"/>
  <c r="AE265" i="1"/>
  <c r="AI265" i="1"/>
  <c r="AJ265" i="1"/>
  <c r="AK265" i="1"/>
  <c r="AP265" i="1"/>
  <c r="AR265" i="1"/>
  <c r="AY265" i="1"/>
  <c r="BE265" i="1"/>
  <c r="BF265" i="1"/>
  <c r="C266" i="1"/>
  <c r="D266" i="1"/>
  <c r="E266" i="1"/>
  <c r="F266" i="1"/>
  <c r="G266" i="1"/>
  <c r="H266" i="1"/>
  <c r="L266" i="1"/>
  <c r="M266" i="1"/>
  <c r="N266" i="1"/>
  <c r="O266" i="1"/>
  <c r="P266" i="1"/>
  <c r="Q266" i="1"/>
  <c r="R266" i="1"/>
  <c r="S266" i="1"/>
  <c r="T266" i="1"/>
  <c r="U266" i="1"/>
  <c r="V266" i="1"/>
  <c r="AB266" i="1"/>
  <c r="AD266" i="1"/>
  <c r="AE266" i="1"/>
  <c r="AI266" i="1"/>
  <c r="AJ266" i="1"/>
  <c r="AK266" i="1"/>
  <c r="AP266" i="1"/>
  <c r="AR266" i="1"/>
  <c r="AY266" i="1"/>
  <c r="BE266" i="1"/>
  <c r="BF266" i="1"/>
  <c r="C492" i="1"/>
  <c r="D492" i="1"/>
  <c r="E492" i="1"/>
  <c r="F492" i="1"/>
  <c r="G492" i="1"/>
  <c r="H492" i="1"/>
  <c r="L492" i="1"/>
  <c r="M492" i="1"/>
  <c r="N492" i="1"/>
  <c r="O492" i="1"/>
  <c r="P492" i="1"/>
  <c r="Q492" i="1"/>
  <c r="R492" i="1"/>
  <c r="S492" i="1"/>
  <c r="T492" i="1"/>
  <c r="U492" i="1"/>
  <c r="V492" i="1"/>
  <c r="AD492" i="1"/>
  <c r="AE492" i="1"/>
  <c r="AI492" i="1"/>
  <c r="AJ492" i="1"/>
  <c r="AK492" i="1"/>
  <c r="AP492" i="1"/>
  <c r="AR492" i="1"/>
  <c r="AY492" i="1"/>
  <c r="BE492" i="1"/>
  <c r="BF492" i="1"/>
  <c r="C493" i="1"/>
  <c r="D493" i="1"/>
  <c r="E493" i="1"/>
  <c r="F493" i="1"/>
  <c r="G493" i="1"/>
  <c r="H493" i="1"/>
  <c r="L493" i="1"/>
  <c r="M493" i="1"/>
  <c r="N493" i="1"/>
  <c r="O493" i="1"/>
  <c r="P493" i="1"/>
  <c r="Q493" i="1"/>
  <c r="R493" i="1"/>
  <c r="S493" i="1"/>
  <c r="T493" i="1"/>
  <c r="U493" i="1"/>
  <c r="V493" i="1"/>
  <c r="AD493" i="1"/>
  <c r="AE493" i="1"/>
  <c r="AI493" i="1"/>
  <c r="AJ493" i="1"/>
  <c r="AK493" i="1"/>
  <c r="AP493" i="1"/>
  <c r="AR493" i="1"/>
  <c r="AY493" i="1"/>
  <c r="BE493" i="1"/>
  <c r="BF493" i="1"/>
  <c r="C494" i="1"/>
  <c r="D494" i="1"/>
  <c r="E494" i="1"/>
  <c r="F494" i="1"/>
  <c r="G494" i="1"/>
  <c r="H494" i="1"/>
  <c r="L494" i="1"/>
  <c r="M494" i="1"/>
  <c r="N494" i="1"/>
  <c r="O494" i="1"/>
  <c r="P494" i="1"/>
  <c r="Q494" i="1"/>
  <c r="R494" i="1"/>
  <c r="S494" i="1"/>
  <c r="T494" i="1"/>
  <c r="U494" i="1"/>
  <c r="V494" i="1"/>
  <c r="AD494" i="1"/>
  <c r="AE494" i="1"/>
  <c r="AI494" i="1"/>
  <c r="AJ494" i="1"/>
  <c r="AK494" i="1"/>
  <c r="AP494" i="1"/>
  <c r="AR494" i="1"/>
  <c r="AY494" i="1"/>
  <c r="BE494" i="1"/>
  <c r="BF494" i="1"/>
  <c r="C495" i="1"/>
  <c r="D495" i="1"/>
  <c r="E495" i="1"/>
  <c r="F495" i="1"/>
  <c r="G495" i="1"/>
  <c r="H495" i="1"/>
  <c r="L495" i="1"/>
  <c r="M495" i="1"/>
  <c r="N495" i="1"/>
  <c r="O495" i="1"/>
  <c r="P495" i="1"/>
  <c r="Q495" i="1"/>
  <c r="R495" i="1"/>
  <c r="S495" i="1"/>
  <c r="T495" i="1"/>
  <c r="U495" i="1"/>
  <c r="V495" i="1"/>
  <c r="AD495" i="1"/>
  <c r="AE495" i="1"/>
  <c r="AI495" i="1"/>
  <c r="AJ495" i="1"/>
  <c r="AK495" i="1"/>
  <c r="AP495" i="1"/>
  <c r="AR495" i="1"/>
  <c r="AY495" i="1"/>
  <c r="BE495" i="1"/>
  <c r="BF495" i="1"/>
  <c r="C496" i="1"/>
  <c r="D496" i="1"/>
  <c r="E496" i="1"/>
  <c r="F496" i="1"/>
  <c r="G496" i="1"/>
  <c r="H496" i="1"/>
  <c r="L496" i="1"/>
  <c r="M496" i="1"/>
  <c r="N496" i="1"/>
  <c r="O496" i="1"/>
  <c r="P496" i="1"/>
  <c r="Q496" i="1"/>
  <c r="R496" i="1"/>
  <c r="S496" i="1"/>
  <c r="T496" i="1"/>
  <c r="U496" i="1"/>
  <c r="V496" i="1"/>
  <c r="AD496" i="1"/>
  <c r="AE496" i="1"/>
  <c r="AI496" i="1"/>
  <c r="AJ496" i="1"/>
  <c r="AK496" i="1"/>
  <c r="AP496" i="1"/>
  <c r="AR496" i="1"/>
  <c r="AY496" i="1"/>
  <c r="BE496" i="1"/>
  <c r="BF496" i="1"/>
  <c r="C497" i="1"/>
  <c r="D497" i="1"/>
  <c r="E497" i="1"/>
  <c r="F497" i="1"/>
  <c r="G497" i="1"/>
  <c r="H497" i="1"/>
  <c r="L497" i="1"/>
  <c r="M497" i="1"/>
  <c r="N497" i="1"/>
  <c r="O497" i="1"/>
  <c r="P497" i="1"/>
  <c r="Q497" i="1"/>
  <c r="R497" i="1"/>
  <c r="S497" i="1"/>
  <c r="T497" i="1"/>
  <c r="U497" i="1"/>
  <c r="V497" i="1"/>
  <c r="AD497" i="1"/>
  <c r="AE497" i="1"/>
  <c r="AI497" i="1"/>
  <c r="AJ497" i="1"/>
  <c r="AK497" i="1"/>
  <c r="AP497" i="1"/>
  <c r="AR497" i="1"/>
  <c r="AY497" i="1"/>
  <c r="BE497" i="1"/>
  <c r="BF497" i="1"/>
  <c r="C498" i="1"/>
  <c r="D498" i="1"/>
  <c r="E498" i="1"/>
  <c r="F498" i="1"/>
  <c r="G498" i="1"/>
  <c r="H498" i="1"/>
  <c r="L498" i="1"/>
  <c r="M498" i="1"/>
  <c r="N498" i="1"/>
  <c r="O498" i="1"/>
  <c r="P498" i="1"/>
  <c r="Q498" i="1"/>
  <c r="R498" i="1"/>
  <c r="S498" i="1"/>
  <c r="T498" i="1"/>
  <c r="U498" i="1"/>
  <c r="V498" i="1"/>
  <c r="AD498" i="1"/>
  <c r="AE498" i="1"/>
  <c r="AI498" i="1"/>
  <c r="AJ498" i="1"/>
  <c r="AK498" i="1"/>
  <c r="AP498" i="1"/>
  <c r="AR498" i="1"/>
  <c r="AY498" i="1"/>
  <c r="BE498" i="1"/>
  <c r="BF498" i="1"/>
  <c r="C499" i="1"/>
  <c r="D499" i="1"/>
  <c r="E499" i="1"/>
  <c r="F499" i="1"/>
  <c r="G499" i="1"/>
  <c r="H499" i="1"/>
  <c r="L499" i="1"/>
  <c r="M499" i="1"/>
  <c r="N499" i="1"/>
  <c r="O499" i="1"/>
  <c r="P499" i="1"/>
  <c r="Q499" i="1"/>
  <c r="R499" i="1"/>
  <c r="S499" i="1"/>
  <c r="T499" i="1"/>
  <c r="U499" i="1"/>
  <c r="V499" i="1"/>
  <c r="AD499" i="1"/>
  <c r="AE499" i="1"/>
  <c r="AI499" i="1"/>
  <c r="AJ499" i="1"/>
  <c r="AK499" i="1"/>
  <c r="AP499" i="1"/>
  <c r="AR499" i="1"/>
  <c r="AY499" i="1"/>
  <c r="BE499" i="1"/>
  <c r="BF499" i="1"/>
  <c r="C500" i="1"/>
  <c r="D500" i="1"/>
  <c r="E500" i="1"/>
  <c r="F500" i="1"/>
  <c r="G500" i="1"/>
  <c r="H500" i="1"/>
  <c r="L500" i="1"/>
  <c r="M500" i="1"/>
  <c r="N500" i="1"/>
  <c r="O500" i="1"/>
  <c r="P500" i="1"/>
  <c r="Q500" i="1"/>
  <c r="R500" i="1"/>
  <c r="S500" i="1"/>
  <c r="T500" i="1"/>
  <c r="U500" i="1"/>
  <c r="V500" i="1"/>
  <c r="AD500" i="1"/>
  <c r="AE500" i="1"/>
  <c r="AI500" i="1"/>
  <c r="AJ500" i="1"/>
  <c r="AK500" i="1"/>
  <c r="AP500" i="1"/>
  <c r="AR500" i="1"/>
  <c r="AY500" i="1"/>
  <c r="BE500" i="1"/>
  <c r="BF500" i="1"/>
  <c r="C501" i="1"/>
  <c r="D501" i="1"/>
  <c r="E501" i="1"/>
  <c r="F501" i="1"/>
  <c r="G501" i="1"/>
  <c r="H501" i="1"/>
  <c r="L501" i="1"/>
  <c r="M501" i="1"/>
  <c r="N501" i="1"/>
  <c r="O501" i="1"/>
  <c r="P501" i="1"/>
  <c r="Q501" i="1"/>
  <c r="R501" i="1"/>
  <c r="S501" i="1"/>
  <c r="T501" i="1"/>
  <c r="U501" i="1"/>
  <c r="V501" i="1"/>
  <c r="AD501" i="1"/>
  <c r="AE501" i="1"/>
  <c r="AI501" i="1"/>
  <c r="AJ501" i="1"/>
  <c r="AK501" i="1"/>
  <c r="AP501" i="1"/>
  <c r="AR501" i="1"/>
  <c r="AY501" i="1"/>
  <c r="BE501" i="1"/>
  <c r="BF501" i="1"/>
  <c r="C267" i="1"/>
  <c r="D267" i="1"/>
  <c r="E267" i="1"/>
  <c r="F267" i="1"/>
  <c r="G267" i="1"/>
  <c r="H267" i="1"/>
  <c r="L267" i="1"/>
  <c r="M267" i="1"/>
  <c r="N267" i="1"/>
  <c r="O267" i="1"/>
  <c r="P267" i="1"/>
  <c r="Q267" i="1"/>
  <c r="R267" i="1"/>
  <c r="S267" i="1"/>
  <c r="T267" i="1"/>
  <c r="U267" i="1"/>
  <c r="V267" i="1"/>
  <c r="AI267" i="1"/>
  <c r="AJ267" i="1"/>
  <c r="AK267" i="1"/>
  <c r="AP267" i="1"/>
  <c r="AR267" i="1"/>
  <c r="AY267" i="1"/>
  <c r="BE267" i="1"/>
  <c r="BF267" i="1"/>
  <c r="C268" i="1"/>
  <c r="D268" i="1"/>
  <c r="E268" i="1"/>
  <c r="F268" i="1"/>
  <c r="G268" i="1"/>
  <c r="H268" i="1"/>
  <c r="L268" i="1"/>
  <c r="M268" i="1"/>
  <c r="N268" i="1"/>
  <c r="O268" i="1"/>
  <c r="P268" i="1"/>
  <c r="Q268" i="1"/>
  <c r="R268" i="1"/>
  <c r="S268" i="1"/>
  <c r="T268" i="1"/>
  <c r="U268" i="1"/>
  <c r="V268" i="1"/>
  <c r="AI268" i="1"/>
  <c r="AJ268" i="1"/>
  <c r="AK268" i="1"/>
  <c r="AP268" i="1"/>
  <c r="AR268" i="1"/>
  <c r="AY268" i="1"/>
  <c r="BE268" i="1"/>
  <c r="BF268" i="1"/>
  <c r="C269" i="1"/>
  <c r="D269" i="1"/>
  <c r="E269" i="1"/>
  <c r="F269" i="1"/>
  <c r="G269" i="1"/>
  <c r="H269" i="1"/>
  <c r="L269" i="1"/>
  <c r="M269" i="1"/>
  <c r="N269" i="1"/>
  <c r="O269" i="1"/>
  <c r="P269" i="1"/>
  <c r="Q269" i="1"/>
  <c r="R269" i="1"/>
  <c r="S269" i="1"/>
  <c r="T269" i="1"/>
  <c r="U269" i="1"/>
  <c r="V269" i="1"/>
  <c r="AI269" i="1"/>
  <c r="AJ269" i="1"/>
  <c r="AK269" i="1"/>
  <c r="AP269" i="1"/>
  <c r="AR269" i="1"/>
  <c r="AY269" i="1"/>
  <c r="BE269" i="1"/>
  <c r="BF269" i="1"/>
  <c r="C270" i="1"/>
  <c r="D270" i="1"/>
  <c r="E270" i="1"/>
  <c r="F270" i="1"/>
  <c r="G270" i="1"/>
  <c r="H270" i="1"/>
  <c r="L270" i="1"/>
  <c r="M270" i="1"/>
  <c r="N270" i="1"/>
  <c r="O270" i="1"/>
  <c r="P270" i="1"/>
  <c r="Q270" i="1"/>
  <c r="R270" i="1"/>
  <c r="S270" i="1"/>
  <c r="T270" i="1"/>
  <c r="U270" i="1"/>
  <c r="V270" i="1"/>
  <c r="AI270" i="1"/>
  <c r="AJ270" i="1"/>
  <c r="AK270" i="1"/>
  <c r="AP270" i="1"/>
  <c r="AR270" i="1"/>
  <c r="AY270" i="1"/>
  <c r="BE270" i="1"/>
  <c r="BF270" i="1"/>
  <c r="C271" i="1"/>
  <c r="D271" i="1"/>
  <c r="E271" i="1"/>
  <c r="F271" i="1"/>
  <c r="G271" i="1"/>
  <c r="H271" i="1"/>
  <c r="L271" i="1"/>
  <c r="M271" i="1"/>
  <c r="N271" i="1"/>
  <c r="O271" i="1"/>
  <c r="P271" i="1"/>
  <c r="Q271" i="1"/>
  <c r="R271" i="1"/>
  <c r="S271" i="1"/>
  <c r="T271" i="1"/>
  <c r="U271" i="1"/>
  <c r="V271" i="1"/>
  <c r="AI271" i="1"/>
  <c r="AJ271" i="1"/>
  <c r="AK271" i="1"/>
  <c r="AP271" i="1"/>
  <c r="AR271" i="1"/>
  <c r="AY271" i="1"/>
  <c r="BE271" i="1"/>
  <c r="BF271" i="1"/>
  <c r="C272" i="1"/>
  <c r="D272" i="1"/>
  <c r="E272" i="1"/>
  <c r="F272" i="1"/>
  <c r="G272" i="1"/>
  <c r="H272" i="1"/>
  <c r="L272" i="1"/>
  <c r="M272" i="1"/>
  <c r="N272" i="1"/>
  <c r="O272" i="1"/>
  <c r="P272" i="1"/>
  <c r="Q272" i="1"/>
  <c r="R272" i="1"/>
  <c r="S272" i="1"/>
  <c r="T272" i="1"/>
  <c r="U272" i="1"/>
  <c r="V272" i="1"/>
  <c r="AI272" i="1"/>
  <c r="AJ272" i="1"/>
  <c r="AK272" i="1"/>
  <c r="AP272" i="1"/>
  <c r="AR272" i="1"/>
  <c r="AY272" i="1"/>
  <c r="BE272" i="1"/>
  <c r="BF272" i="1"/>
  <c r="C502" i="1"/>
  <c r="D502" i="1"/>
  <c r="E502" i="1"/>
  <c r="F502" i="1"/>
  <c r="G502" i="1"/>
  <c r="H502" i="1"/>
  <c r="L502" i="1"/>
  <c r="M502" i="1"/>
  <c r="N502" i="1"/>
  <c r="O502" i="1"/>
  <c r="P502" i="1"/>
  <c r="Q502" i="1"/>
  <c r="R502" i="1"/>
  <c r="S502" i="1"/>
  <c r="T502" i="1"/>
  <c r="U502" i="1"/>
  <c r="V502" i="1"/>
  <c r="AB502" i="1"/>
  <c r="AI502" i="1"/>
  <c r="AJ502" i="1"/>
  <c r="AK502" i="1"/>
  <c r="AP502" i="1"/>
  <c r="AR502" i="1"/>
  <c r="AY502" i="1"/>
  <c r="BE502" i="1"/>
  <c r="BF502" i="1"/>
  <c r="C503" i="1"/>
  <c r="D503" i="1"/>
  <c r="E503" i="1"/>
  <c r="F503" i="1"/>
  <c r="G503" i="1"/>
  <c r="H503" i="1"/>
  <c r="L503" i="1"/>
  <c r="M503" i="1"/>
  <c r="N503" i="1"/>
  <c r="O503" i="1"/>
  <c r="P503" i="1"/>
  <c r="Q503" i="1"/>
  <c r="R503" i="1"/>
  <c r="S503" i="1"/>
  <c r="T503" i="1"/>
  <c r="U503" i="1"/>
  <c r="V503" i="1"/>
  <c r="AB503" i="1"/>
  <c r="AI503" i="1"/>
  <c r="AJ503" i="1"/>
  <c r="AK503" i="1"/>
  <c r="AP503" i="1"/>
  <c r="AR503" i="1"/>
  <c r="AY503" i="1"/>
  <c r="BE503" i="1"/>
  <c r="BF503" i="1"/>
  <c r="C504" i="1"/>
  <c r="D504" i="1"/>
  <c r="E504" i="1"/>
  <c r="F504" i="1"/>
  <c r="G504" i="1"/>
  <c r="H504" i="1"/>
  <c r="L504" i="1"/>
  <c r="M504" i="1"/>
  <c r="N504" i="1"/>
  <c r="O504" i="1"/>
  <c r="P504" i="1"/>
  <c r="Q504" i="1"/>
  <c r="R504" i="1"/>
  <c r="S504" i="1"/>
  <c r="T504" i="1"/>
  <c r="U504" i="1"/>
  <c r="V504" i="1"/>
  <c r="AB504" i="1"/>
  <c r="AI504" i="1"/>
  <c r="AJ504" i="1"/>
  <c r="AK504" i="1"/>
  <c r="AP504" i="1"/>
  <c r="AR504" i="1"/>
  <c r="AY504" i="1"/>
  <c r="BE504" i="1"/>
  <c r="BF504" i="1"/>
  <c r="C505" i="1"/>
  <c r="D505" i="1"/>
  <c r="E505" i="1"/>
  <c r="F505" i="1"/>
  <c r="G505" i="1"/>
  <c r="H505" i="1"/>
  <c r="L505" i="1"/>
  <c r="M505" i="1"/>
  <c r="N505" i="1"/>
  <c r="O505" i="1"/>
  <c r="P505" i="1"/>
  <c r="Q505" i="1"/>
  <c r="R505" i="1"/>
  <c r="S505" i="1"/>
  <c r="T505" i="1"/>
  <c r="U505" i="1"/>
  <c r="V505" i="1"/>
  <c r="AB505" i="1"/>
  <c r="AI505" i="1"/>
  <c r="AJ505" i="1"/>
  <c r="AK505" i="1"/>
  <c r="AP505" i="1"/>
  <c r="AR505" i="1"/>
  <c r="AY505" i="1"/>
  <c r="BE505" i="1"/>
  <c r="BF505" i="1"/>
  <c r="C506" i="1"/>
  <c r="D506" i="1"/>
  <c r="E506" i="1"/>
  <c r="F506" i="1"/>
  <c r="G506" i="1"/>
  <c r="H506" i="1"/>
  <c r="L506" i="1"/>
  <c r="M506" i="1"/>
  <c r="N506" i="1"/>
  <c r="O506" i="1"/>
  <c r="P506" i="1"/>
  <c r="Q506" i="1"/>
  <c r="R506" i="1"/>
  <c r="S506" i="1"/>
  <c r="T506" i="1"/>
  <c r="U506" i="1"/>
  <c r="V506" i="1"/>
  <c r="AB506" i="1"/>
  <c r="AI506" i="1"/>
  <c r="AJ506" i="1"/>
  <c r="AK506" i="1"/>
  <c r="AP506" i="1"/>
  <c r="AR506" i="1"/>
  <c r="AY506" i="1"/>
  <c r="BE506" i="1"/>
  <c r="BF506" i="1"/>
  <c r="C507" i="1"/>
  <c r="D507" i="1"/>
  <c r="E507" i="1"/>
  <c r="F507" i="1"/>
  <c r="G507" i="1"/>
  <c r="H507" i="1"/>
  <c r="L507" i="1"/>
  <c r="M507" i="1"/>
  <c r="N507" i="1"/>
  <c r="O507" i="1"/>
  <c r="P507" i="1"/>
  <c r="Q507" i="1"/>
  <c r="R507" i="1"/>
  <c r="S507" i="1"/>
  <c r="T507" i="1"/>
  <c r="U507" i="1"/>
  <c r="V507" i="1"/>
  <c r="AB507" i="1"/>
  <c r="AI507" i="1"/>
  <c r="AJ507" i="1"/>
  <c r="AK507" i="1"/>
  <c r="AP507" i="1"/>
  <c r="AR507" i="1"/>
  <c r="AY507" i="1"/>
  <c r="BE507" i="1"/>
  <c r="BF507" i="1"/>
  <c r="C508" i="1"/>
  <c r="D508" i="1"/>
  <c r="E508" i="1"/>
  <c r="F508" i="1"/>
  <c r="G508" i="1"/>
  <c r="H508" i="1"/>
  <c r="L508" i="1"/>
  <c r="M508" i="1"/>
  <c r="N508" i="1"/>
  <c r="O508" i="1"/>
  <c r="P508" i="1"/>
  <c r="Q508" i="1"/>
  <c r="R508" i="1"/>
  <c r="S508" i="1"/>
  <c r="T508" i="1"/>
  <c r="U508" i="1"/>
  <c r="V508" i="1"/>
  <c r="AB508" i="1"/>
  <c r="AI508" i="1"/>
  <c r="AJ508" i="1"/>
  <c r="AK508" i="1"/>
  <c r="AP508" i="1"/>
  <c r="AR508" i="1"/>
  <c r="AY508" i="1"/>
  <c r="BE508" i="1"/>
  <c r="BF508" i="1"/>
  <c r="C509" i="1"/>
  <c r="D509" i="1"/>
  <c r="E509" i="1"/>
  <c r="F509" i="1"/>
  <c r="G509" i="1"/>
  <c r="H509" i="1"/>
  <c r="L509" i="1"/>
  <c r="M509" i="1"/>
  <c r="N509" i="1"/>
  <c r="O509" i="1"/>
  <c r="P509" i="1"/>
  <c r="Q509" i="1"/>
  <c r="R509" i="1"/>
  <c r="S509" i="1"/>
  <c r="T509" i="1"/>
  <c r="U509" i="1"/>
  <c r="V509" i="1"/>
  <c r="AB509" i="1"/>
  <c r="AI509" i="1"/>
  <c r="AJ509" i="1"/>
  <c r="AK509" i="1"/>
  <c r="AP509" i="1"/>
  <c r="AR509" i="1"/>
  <c r="AY509" i="1"/>
  <c r="BE509" i="1"/>
  <c r="BF509" i="1"/>
  <c r="C510" i="1"/>
  <c r="D510" i="1"/>
  <c r="E510" i="1"/>
  <c r="F510" i="1"/>
  <c r="G510" i="1"/>
  <c r="H510" i="1"/>
  <c r="L510" i="1"/>
  <c r="M510" i="1"/>
  <c r="N510" i="1"/>
  <c r="O510" i="1"/>
  <c r="P510" i="1"/>
  <c r="Q510" i="1"/>
  <c r="R510" i="1"/>
  <c r="S510" i="1"/>
  <c r="T510" i="1"/>
  <c r="U510" i="1"/>
  <c r="V510" i="1"/>
  <c r="AB510" i="1"/>
  <c r="AI510" i="1"/>
  <c r="AJ510" i="1"/>
  <c r="AK510" i="1"/>
  <c r="AP510" i="1"/>
  <c r="AR510" i="1"/>
  <c r="AY510" i="1"/>
  <c r="BE510" i="1"/>
  <c r="BF510" i="1"/>
  <c r="C273" i="1"/>
  <c r="D273" i="1"/>
  <c r="E273" i="1"/>
  <c r="F273" i="1"/>
  <c r="G273" i="1"/>
  <c r="H273" i="1"/>
  <c r="L273" i="1"/>
  <c r="M273" i="1"/>
  <c r="N273" i="1"/>
  <c r="O273" i="1"/>
  <c r="P273" i="1"/>
  <c r="Q273" i="1"/>
  <c r="R273" i="1"/>
  <c r="S273" i="1"/>
  <c r="T273" i="1"/>
  <c r="U273" i="1"/>
  <c r="V273" i="1"/>
  <c r="AB273" i="1"/>
  <c r="AI273" i="1"/>
  <c r="AJ273" i="1"/>
  <c r="AK273" i="1"/>
  <c r="AP273" i="1"/>
  <c r="AR273" i="1"/>
  <c r="AY273" i="1"/>
  <c r="BE273" i="1"/>
  <c r="BF273" i="1"/>
  <c r="C511" i="1"/>
  <c r="D511" i="1"/>
  <c r="E511" i="1"/>
  <c r="F511" i="1"/>
  <c r="G511" i="1"/>
  <c r="H511" i="1"/>
  <c r="L511" i="1"/>
  <c r="M511" i="1"/>
  <c r="N511" i="1"/>
  <c r="O511" i="1"/>
  <c r="P511" i="1"/>
  <c r="Q511" i="1"/>
  <c r="R511" i="1"/>
  <c r="S511" i="1"/>
  <c r="T511" i="1"/>
  <c r="U511" i="1"/>
  <c r="V511" i="1"/>
  <c r="AB511" i="1"/>
  <c r="AI511" i="1"/>
  <c r="AJ511" i="1"/>
  <c r="AK511" i="1"/>
  <c r="AP511" i="1"/>
  <c r="AR511" i="1"/>
  <c r="AY511" i="1"/>
  <c r="BE511" i="1"/>
  <c r="BF511" i="1"/>
  <c r="C512" i="1"/>
  <c r="D512" i="1"/>
  <c r="E512" i="1"/>
  <c r="F512" i="1"/>
  <c r="G512" i="1"/>
  <c r="H512" i="1"/>
  <c r="L512" i="1"/>
  <c r="M512" i="1"/>
  <c r="N512" i="1"/>
  <c r="O512" i="1"/>
  <c r="P512" i="1"/>
  <c r="Q512" i="1"/>
  <c r="R512" i="1"/>
  <c r="S512" i="1"/>
  <c r="T512" i="1"/>
  <c r="U512" i="1"/>
  <c r="V512" i="1"/>
  <c r="AB512" i="1"/>
  <c r="AI512" i="1"/>
  <c r="AJ512" i="1"/>
  <c r="AK512" i="1"/>
  <c r="AP512" i="1"/>
  <c r="AR512" i="1"/>
  <c r="AY512" i="1"/>
  <c r="BE512" i="1"/>
  <c r="BF512" i="1"/>
  <c r="C513" i="1"/>
  <c r="D513" i="1"/>
  <c r="E513" i="1"/>
  <c r="F513" i="1"/>
  <c r="G513" i="1"/>
  <c r="H513" i="1"/>
  <c r="L513" i="1"/>
  <c r="M513" i="1"/>
  <c r="N513" i="1"/>
  <c r="O513" i="1"/>
  <c r="P513" i="1"/>
  <c r="Q513" i="1"/>
  <c r="R513" i="1"/>
  <c r="S513" i="1"/>
  <c r="T513" i="1"/>
  <c r="U513" i="1"/>
  <c r="V513" i="1"/>
  <c r="AB513" i="1"/>
  <c r="AI513" i="1"/>
  <c r="AJ513" i="1"/>
  <c r="AK513" i="1"/>
  <c r="AP513" i="1"/>
  <c r="AR513" i="1"/>
  <c r="AY513" i="1"/>
  <c r="BE513" i="1"/>
  <c r="BF513" i="1"/>
  <c r="C514" i="1"/>
  <c r="D514" i="1"/>
  <c r="E514" i="1"/>
  <c r="F514" i="1"/>
  <c r="G514" i="1"/>
  <c r="H514" i="1"/>
  <c r="L514" i="1"/>
  <c r="M514" i="1"/>
  <c r="N514" i="1"/>
  <c r="O514" i="1"/>
  <c r="P514" i="1"/>
  <c r="Q514" i="1"/>
  <c r="R514" i="1"/>
  <c r="S514" i="1"/>
  <c r="T514" i="1"/>
  <c r="U514" i="1"/>
  <c r="V514" i="1"/>
  <c r="AB514" i="1"/>
  <c r="AI514" i="1"/>
  <c r="AJ514" i="1"/>
  <c r="AK514" i="1"/>
  <c r="AP514" i="1"/>
  <c r="AR514" i="1"/>
  <c r="AY514" i="1"/>
  <c r="BE514" i="1"/>
  <c r="BF514" i="1"/>
  <c r="C515" i="1"/>
  <c r="D515" i="1"/>
  <c r="E515" i="1"/>
  <c r="F515" i="1"/>
  <c r="G515" i="1"/>
  <c r="H515" i="1"/>
  <c r="L515" i="1"/>
  <c r="M515" i="1"/>
  <c r="N515" i="1"/>
  <c r="O515" i="1"/>
  <c r="P515" i="1"/>
  <c r="Q515" i="1"/>
  <c r="R515" i="1"/>
  <c r="S515" i="1"/>
  <c r="T515" i="1"/>
  <c r="U515" i="1"/>
  <c r="V515" i="1"/>
  <c r="AB515" i="1"/>
  <c r="AI515" i="1"/>
  <c r="AJ515" i="1"/>
  <c r="AK515" i="1"/>
  <c r="AP515" i="1"/>
  <c r="AR515" i="1"/>
  <c r="AY515" i="1"/>
  <c r="BE515" i="1"/>
  <c r="BF515" i="1"/>
  <c r="C516" i="1"/>
  <c r="D516" i="1"/>
  <c r="E516" i="1"/>
  <c r="F516" i="1"/>
  <c r="G516" i="1"/>
  <c r="H516" i="1"/>
  <c r="L516" i="1"/>
  <c r="M516" i="1"/>
  <c r="N516" i="1"/>
  <c r="O516" i="1"/>
  <c r="P516" i="1"/>
  <c r="Q516" i="1"/>
  <c r="R516" i="1"/>
  <c r="S516" i="1"/>
  <c r="T516" i="1"/>
  <c r="U516" i="1"/>
  <c r="V516" i="1"/>
  <c r="AB516" i="1"/>
  <c r="AI516" i="1"/>
  <c r="AJ516" i="1"/>
  <c r="AK516" i="1"/>
  <c r="AP516" i="1"/>
  <c r="AR516" i="1"/>
  <c r="AY516" i="1"/>
  <c r="BE516" i="1"/>
  <c r="BF516" i="1"/>
  <c r="C517" i="1"/>
  <c r="D517" i="1"/>
  <c r="E517" i="1"/>
  <c r="F517" i="1"/>
  <c r="G517" i="1"/>
  <c r="H517" i="1"/>
  <c r="L517" i="1"/>
  <c r="M517" i="1"/>
  <c r="N517" i="1"/>
  <c r="O517" i="1"/>
  <c r="P517" i="1"/>
  <c r="Q517" i="1"/>
  <c r="R517" i="1"/>
  <c r="S517" i="1"/>
  <c r="T517" i="1"/>
  <c r="U517" i="1"/>
  <c r="V517" i="1"/>
  <c r="AB517" i="1"/>
  <c r="AI517" i="1"/>
  <c r="AJ517" i="1"/>
  <c r="AK517" i="1"/>
  <c r="AP517" i="1"/>
  <c r="AR517" i="1"/>
  <c r="AY517" i="1"/>
  <c r="BE517" i="1"/>
  <c r="BF517" i="1"/>
  <c r="C518" i="1"/>
  <c r="D518" i="1"/>
  <c r="E518" i="1"/>
  <c r="F518" i="1"/>
  <c r="G518" i="1"/>
  <c r="H518" i="1"/>
  <c r="L518" i="1"/>
  <c r="M518" i="1"/>
  <c r="N518" i="1"/>
  <c r="O518" i="1"/>
  <c r="P518" i="1"/>
  <c r="Q518" i="1"/>
  <c r="R518" i="1"/>
  <c r="S518" i="1"/>
  <c r="T518" i="1"/>
  <c r="U518" i="1"/>
  <c r="V518" i="1"/>
  <c r="AB518" i="1"/>
  <c r="AI518" i="1"/>
  <c r="AJ518" i="1"/>
  <c r="AK518" i="1"/>
  <c r="AP518" i="1"/>
  <c r="AR518" i="1"/>
  <c r="AY518" i="1"/>
  <c r="BE518" i="1"/>
  <c r="BF518" i="1"/>
  <c r="C519" i="1"/>
  <c r="D519" i="1"/>
  <c r="E519" i="1"/>
  <c r="F519" i="1"/>
  <c r="G519" i="1"/>
  <c r="H519" i="1"/>
  <c r="L519" i="1"/>
  <c r="M519" i="1"/>
  <c r="N519" i="1"/>
  <c r="O519" i="1"/>
  <c r="P519" i="1"/>
  <c r="Q519" i="1"/>
  <c r="R519" i="1"/>
  <c r="S519" i="1"/>
  <c r="T519" i="1"/>
  <c r="U519" i="1"/>
  <c r="V519" i="1"/>
  <c r="AB519" i="1"/>
  <c r="AI519" i="1"/>
  <c r="AJ519" i="1"/>
  <c r="AK519" i="1"/>
  <c r="AP519" i="1"/>
  <c r="AR519" i="1"/>
  <c r="AY519" i="1"/>
  <c r="BE519" i="1"/>
  <c r="BF519" i="1"/>
  <c r="C520" i="1"/>
  <c r="D520" i="1"/>
  <c r="E520" i="1"/>
  <c r="F520" i="1"/>
  <c r="G520" i="1"/>
  <c r="H520" i="1"/>
  <c r="L520" i="1"/>
  <c r="M520" i="1"/>
  <c r="N520" i="1"/>
  <c r="O520" i="1"/>
  <c r="P520" i="1"/>
  <c r="Q520" i="1"/>
  <c r="R520" i="1"/>
  <c r="S520" i="1"/>
  <c r="T520" i="1"/>
  <c r="U520" i="1"/>
  <c r="V520" i="1"/>
  <c r="AB520" i="1"/>
  <c r="AI520" i="1"/>
  <c r="AJ520" i="1"/>
  <c r="AK520" i="1"/>
  <c r="AP520" i="1"/>
  <c r="AR520" i="1"/>
  <c r="AY520" i="1"/>
  <c r="BE520" i="1"/>
  <c r="BF520" i="1"/>
  <c r="C274" i="1"/>
  <c r="D274" i="1"/>
  <c r="E274" i="1"/>
  <c r="F274" i="1"/>
  <c r="G274" i="1"/>
  <c r="H274" i="1"/>
  <c r="L274" i="1"/>
  <c r="M274" i="1"/>
  <c r="N274" i="1"/>
  <c r="O274" i="1"/>
  <c r="P274" i="1"/>
  <c r="Q274" i="1"/>
  <c r="R274" i="1"/>
  <c r="S274" i="1"/>
  <c r="T274" i="1"/>
  <c r="U274" i="1"/>
  <c r="V274" i="1"/>
  <c r="AB274" i="1"/>
  <c r="AI274" i="1"/>
  <c r="AJ274" i="1"/>
  <c r="AK274" i="1"/>
  <c r="AP274" i="1"/>
  <c r="AR274" i="1"/>
  <c r="AY274" i="1"/>
  <c r="BE274" i="1"/>
  <c r="BF274" i="1"/>
  <c r="C275" i="1"/>
  <c r="D275" i="1"/>
  <c r="E275" i="1"/>
  <c r="F275" i="1"/>
  <c r="G275" i="1"/>
  <c r="H275" i="1"/>
  <c r="L275" i="1"/>
  <c r="M275" i="1"/>
  <c r="N275" i="1"/>
  <c r="O275" i="1"/>
  <c r="P275" i="1"/>
  <c r="Q275" i="1"/>
  <c r="R275" i="1"/>
  <c r="S275" i="1"/>
  <c r="T275" i="1"/>
  <c r="U275" i="1"/>
  <c r="V275" i="1"/>
  <c r="AB275" i="1"/>
  <c r="AI275" i="1"/>
  <c r="AJ275" i="1"/>
  <c r="AK275" i="1"/>
  <c r="AP275" i="1"/>
  <c r="AR275" i="1"/>
  <c r="AY275" i="1"/>
  <c r="BE275" i="1"/>
  <c r="BF275" i="1"/>
  <c r="C276" i="1"/>
  <c r="D276" i="1"/>
  <c r="E276" i="1"/>
  <c r="F276" i="1"/>
  <c r="G276" i="1"/>
  <c r="H276" i="1"/>
  <c r="L276" i="1"/>
  <c r="M276" i="1"/>
  <c r="N276" i="1"/>
  <c r="O276" i="1"/>
  <c r="P276" i="1"/>
  <c r="Q276" i="1"/>
  <c r="R276" i="1"/>
  <c r="S276" i="1"/>
  <c r="T276" i="1"/>
  <c r="U276" i="1"/>
  <c r="V276" i="1"/>
  <c r="AB276" i="1"/>
  <c r="AI276" i="1"/>
  <c r="AJ276" i="1"/>
  <c r="AK276" i="1"/>
  <c r="AP276" i="1"/>
  <c r="AR276" i="1"/>
  <c r="AY276" i="1"/>
  <c r="BE276" i="1"/>
  <c r="BF276" i="1"/>
  <c r="C277" i="1"/>
  <c r="D277" i="1"/>
  <c r="E277" i="1"/>
  <c r="F277" i="1"/>
  <c r="G277" i="1"/>
  <c r="H277" i="1"/>
  <c r="L277" i="1"/>
  <c r="M277" i="1"/>
  <c r="N277" i="1"/>
  <c r="O277" i="1"/>
  <c r="P277" i="1"/>
  <c r="Q277" i="1"/>
  <c r="R277" i="1"/>
  <c r="S277" i="1"/>
  <c r="T277" i="1"/>
  <c r="U277" i="1"/>
  <c r="V277" i="1"/>
  <c r="AB277" i="1"/>
  <c r="AI277" i="1"/>
  <c r="AJ277" i="1"/>
  <c r="AK277" i="1"/>
  <c r="AP277" i="1"/>
  <c r="AR277" i="1"/>
  <c r="AY277" i="1"/>
  <c r="BE277" i="1"/>
  <c r="BF277" i="1"/>
  <c r="C278" i="1"/>
  <c r="D278" i="1"/>
  <c r="E278" i="1"/>
  <c r="F278" i="1"/>
  <c r="G278" i="1"/>
  <c r="H278" i="1"/>
  <c r="L278" i="1"/>
  <c r="M278" i="1"/>
  <c r="N278" i="1"/>
  <c r="O278" i="1"/>
  <c r="P278" i="1"/>
  <c r="Q278" i="1"/>
  <c r="R278" i="1"/>
  <c r="S278" i="1"/>
  <c r="T278" i="1"/>
  <c r="U278" i="1"/>
  <c r="V278" i="1"/>
  <c r="AB278" i="1"/>
  <c r="AI278" i="1"/>
  <c r="AJ278" i="1"/>
  <c r="AK278" i="1"/>
  <c r="AP278" i="1"/>
  <c r="AR278" i="1"/>
  <c r="AY278" i="1"/>
  <c r="BE278" i="1"/>
  <c r="BF278" i="1"/>
  <c r="C521" i="1"/>
  <c r="D521" i="1"/>
  <c r="E521" i="1"/>
  <c r="F521" i="1"/>
  <c r="G521" i="1"/>
  <c r="H521" i="1"/>
  <c r="L521" i="1"/>
  <c r="M521" i="1"/>
  <c r="N521" i="1"/>
  <c r="O521" i="1"/>
  <c r="P521" i="1"/>
  <c r="Q521" i="1"/>
  <c r="R521" i="1"/>
  <c r="S521" i="1"/>
  <c r="T521" i="1"/>
  <c r="U521" i="1"/>
  <c r="V521" i="1"/>
  <c r="AB521" i="1"/>
  <c r="AI521" i="1"/>
  <c r="AJ521" i="1"/>
  <c r="AK521" i="1"/>
  <c r="AP521" i="1"/>
  <c r="AR521" i="1"/>
  <c r="AY521" i="1"/>
  <c r="BE521" i="1"/>
  <c r="BF521" i="1"/>
  <c r="C522" i="1"/>
  <c r="D522" i="1"/>
  <c r="E522" i="1"/>
  <c r="F522" i="1"/>
  <c r="G522" i="1"/>
  <c r="H522" i="1"/>
  <c r="L522" i="1"/>
  <c r="M522" i="1"/>
  <c r="N522" i="1"/>
  <c r="O522" i="1"/>
  <c r="P522" i="1"/>
  <c r="Q522" i="1"/>
  <c r="R522" i="1"/>
  <c r="S522" i="1"/>
  <c r="T522" i="1"/>
  <c r="U522" i="1"/>
  <c r="V522" i="1"/>
  <c r="AB522" i="1"/>
  <c r="AI522" i="1"/>
  <c r="AJ522" i="1"/>
  <c r="AK522" i="1"/>
  <c r="AP522" i="1"/>
  <c r="AR522" i="1"/>
  <c r="AY522" i="1"/>
  <c r="BE522" i="1"/>
  <c r="BF522" i="1"/>
  <c r="C523" i="1"/>
  <c r="D523" i="1"/>
  <c r="E523" i="1"/>
  <c r="F523" i="1"/>
  <c r="G523" i="1"/>
  <c r="H523" i="1"/>
  <c r="L523" i="1"/>
  <c r="M523" i="1"/>
  <c r="N523" i="1"/>
  <c r="O523" i="1"/>
  <c r="P523" i="1"/>
  <c r="Q523" i="1"/>
  <c r="R523" i="1"/>
  <c r="S523" i="1"/>
  <c r="T523" i="1"/>
  <c r="U523" i="1"/>
  <c r="V523" i="1"/>
  <c r="AB523" i="1"/>
  <c r="AI523" i="1"/>
  <c r="AJ523" i="1"/>
  <c r="AK523" i="1"/>
  <c r="AP523" i="1"/>
  <c r="AR523" i="1"/>
  <c r="AY523" i="1"/>
  <c r="BE523" i="1"/>
  <c r="BF523" i="1"/>
  <c r="C524" i="1"/>
  <c r="D524" i="1"/>
  <c r="E524" i="1"/>
  <c r="F524" i="1"/>
  <c r="G524" i="1"/>
  <c r="H524" i="1"/>
  <c r="L524" i="1"/>
  <c r="M524" i="1"/>
  <c r="N524" i="1"/>
  <c r="O524" i="1"/>
  <c r="P524" i="1"/>
  <c r="Q524" i="1"/>
  <c r="R524" i="1"/>
  <c r="S524" i="1"/>
  <c r="T524" i="1"/>
  <c r="U524" i="1"/>
  <c r="V524" i="1"/>
  <c r="AB524" i="1"/>
  <c r="AI524" i="1"/>
  <c r="AJ524" i="1"/>
  <c r="AK524" i="1"/>
  <c r="AP524" i="1"/>
  <c r="AR524" i="1"/>
  <c r="AY524" i="1"/>
  <c r="BE524" i="1"/>
  <c r="BF524" i="1"/>
  <c r="C525" i="1"/>
  <c r="D525" i="1"/>
  <c r="E525" i="1"/>
  <c r="F525" i="1"/>
  <c r="G525" i="1"/>
  <c r="H525" i="1"/>
  <c r="L525" i="1"/>
  <c r="M525" i="1"/>
  <c r="N525" i="1"/>
  <c r="O525" i="1"/>
  <c r="P525" i="1"/>
  <c r="Q525" i="1"/>
  <c r="R525" i="1"/>
  <c r="S525" i="1"/>
  <c r="T525" i="1"/>
  <c r="U525" i="1"/>
  <c r="V525" i="1"/>
  <c r="AB525" i="1"/>
  <c r="AI525" i="1"/>
  <c r="AJ525" i="1"/>
  <c r="AK525" i="1"/>
  <c r="AP525" i="1"/>
  <c r="AR525" i="1"/>
  <c r="AY525" i="1"/>
  <c r="BE525" i="1"/>
  <c r="BF525" i="1"/>
  <c r="C526" i="1"/>
  <c r="D526" i="1"/>
  <c r="E526" i="1"/>
  <c r="F526" i="1"/>
  <c r="G526" i="1"/>
  <c r="H526" i="1"/>
  <c r="L526" i="1"/>
  <c r="M526" i="1"/>
  <c r="N526" i="1"/>
  <c r="O526" i="1"/>
  <c r="P526" i="1"/>
  <c r="Q526" i="1"/>
  <c r="R526" i="1"/>
  <c r="S526" i="1"/>
  <c r="T526" i="1"/>
  <c r="U526" i="1"/>
  <c r="V526" i="1"/>
  <c r="AB526" i="1"/>
  <c r="AI526" i="1"/>
  <c r="AJ526" i="1"/>
  <c r="AK526" i="1"/>
  <c r="AP526" i="1"/>
  <c r="AR526" i="1"/>
  <c r="AY526" i="1"/>
  <c r="BE526" i="1"/>
  <c r="BF526" i="1"/>
  <c r="C527" i="1"/>
  <c r="D527" i="1"/>
  <c r="E527" i="1"/>
  <c r="F527" i="1"/>
  <c r="G527" i="1"/>
  <c r="H527" i="1"/>
  <c r="L527" i="1"/>
  <c r="M527" i="1"/>
  <c r="N527" i="1"/>
  <c r="O527" i="1"/>
  <c r="P527" i="1"/>
  <c r="Q527" i="1"/>
  <c r="R527" i="1"/>
  <c r="S527" i="1"/>
  <c r="T527" i="1"/>
  <c r="U527" i="1"/>
  <c r="V527" i="1"/>
  <c r="AB527" i="1"/>
  <c r="AI527" i="1"/>
  <c r="AJ527" i="1"/>
  <c r="AK527" i="1"/>
  <c r="AP527" i="1"/>
  <c r="AR527" i="1"/>
  <c r="AY527" i="1"/>
  <c r="BE527" i="1"/>
  <c r="BF527" i="1"/>
  <c r="C528" i="1"/>
  <c r="D528" i="1"/>
  <c r="E528" i="1"/>
  <c r="F528" i="1"/>
  <c r="G528" i="1"/>
  <c r="H528" i="1"/>
  <c r="L528" i="1"/>
  <c r="M528" i="1"/>
  <c r="N528" i="1"/>
  <c r="O528" i="1"/>
  <c r="P528" i="1"/>
  <c r="Q528" i="1"/>
  <c r="R528" i="1"/>
  <c r="S528" i="1"/>
  <c r="T528" i="1"/>
  <c r="U528" i="1"/>
  <c r="V528" i="1"/>
  <c r="AB528" i="1"/>
  <c r="AI528" i="1"/>
  <c r="AJ528" i="1"/>
  <c r="AK528" i="1"/>
  <c r="AP528" i="1"/>
  <c r="AR528" i="1"/>
  <c r="AY528" i="1"/>
  <c r="BE528" i="1"/>
  <c r="BF528" i="1"/>
  <c r="C529" i="1"/>
  <c r="D529" i="1"/>
  <c r="E529" i="1"/>
  <c r="F529" i="1"/>
  <c r="G529" i="1"/>
  <c r="H529" i="1"/>
  <c r="L529" i="1"/>
  <c r="M529" i="1"/>
  <c r="N529" i="1"/>
  <c r="O529" i="1"/>
  <c r="P529" i="1"/>
  <c r="Q529" i="1"/>
  <c r="R529" i="1"/>
  <c r="S529" i="1"/>
  <c r="T529" i="1"/>
  <c r="U529" i="1"/>
  <c r="V529" i="1"/>
  <c r="AB529" i="1"/>
  <c r="AI529" i="1"/>
  <c r="AJ529" i="1"/>
  <c r="AK529" i="1"/>
  <c r="AP529" i="1"/>
  <c r="AR529" i="1"/>
  <c r="AY529" i="1"/>
  <c r="BE529" i="1"/>
  <c r="BF529" i="1"/>
  <c r="C530" i="1"/>
  <c r="D530" i="1"/>
  <c r="E530" i="1"/>
  <c r="F530" i="1"/>
  <c r="G530" i="1"/>
  <c r="H530" i="1"/>
  <c r="L530" i="1"/>
  <c r="M530" i="1"/>
  <c r="N530" i="1"/>
  <c r="O530" i="1"/>
  <c r="P530" i="1"/>
  <c r="Q530" i="1"/>
  <c r="R530" i="1"/>
  <c r="S530" i="1"/>
  <c r="T530" i="1"/>
  <c r="U530" i="1"/>
  <c r="V530" i="1"/>
  <c r="AB530" i="1"/>
  <c r="AI530" i="1"/>
  <c r="AJ530" i="1"/>
  <c r="AK530" i="1"/>
  <c r="AP530" i="1"/>
  <c r="AR530" i="1"/>
  <c r="AY530" i="1"/>
  <c r="BE530" i="1"/>
  <c r="BF530" i="1"/>
  <c r="C531" i="1"/>
  <c r="D531" i="1"/>
  <c r="E531" i="1"/>
  <c r="F531" i="1"/>
  <c r="G531" i="1"/>
  <c r="H531" i="1"/>
  <c r="L531" i="1"/>
  <c r="M531" i="1"/>
  <c r="N531" i="1"/>
  <c r="O531" i="1"/>
  <c r="P531" i="1"/>
  <c r="Q531" i="1"/>
  <c r="R531" i="1"/>
  <c r="S531" i="1"/>
  <c r="T531" i="1"/>
  <c r="U531" i="1"/>
  <c r="V531" i="1"/>
  <c r="AB531" i="1"/>
  <c r="AI531" i="1"/>
  <c r="AJ531" i="1"/>
  <c r="AK531" i="1"/>
  <c r="AP531" i="1"/>
  <c r="AR531" i="1"/>
  <c r="AY531" i="1"/>
  <c r="BE531" i="1"/>
  <c r="BF531" i="1"/>
  <c r="C532" i="1"/>
  <c r="D532" i="1"/>
  <c r="E532" i="1"/>
  <c r="F532" i="1"/>
  <c r="G532" i="1"/>
  <c r="H532" i="1"/>
  <c r="L532" i="1"/>
  <c r="M532" i="1"/>
  <c r="N532" i="1"/>
  <c r="O532" i="1"/>
  <c r="P532" i="1"/>
  <c r="Q532" i="1"/>
  <c r="R532" i="1"/>
  <c r="S532" i="1"/>
  <c r="T532" i="1"/>
  <c r="U532" i="1"/>
  <c r="V532" i="1"/>
  <c r="AB532" i="1"/>
  <c r="AI532" i="1"/>
  <c r="AJ532" i="1"/>
  <c r="AK532" i="1"/>
  <c r="AP532" i="1"/>
  <c r="AR532" i="1"/>
  <c r="AY532" i="1"/>
  <c r="BE532" i="1"/>
  <c r="BF532" i="1"/>
  <c r="C533" i="1"/>
  <c r="D533" i="1"/>
  <c r="E533" i="1"/>
  <c r="F533" i="1"/>
  <c r="G533" i="1"/>
  <c r="H533" i="1"/>
  <c r="L533" i="1"/>
  <c r="M533" i="1"/>
  <c r="N533" i="1"/>
  <c r="O533" i="1"/>
  <c r="P533" i="1"/>
  <c r="Q533" i="1"/>
  <c r="R533" i="1"/>
  <c r="S533" i="1"/>
  <c r="T533" i="1"/>
  <c r="U533" i="1"/>
  <c r="V533" i="1"/>
  <c r="AB533" i="1"/>
  <c r="AI533" i="1"/>
  <c r="AJ533" i="1"/>
  <c r="AK533" i="1"/>
  <c r="AP533" i="1"/>
  <c r="AR533" i="1"/>
  <c r="AY533" i="1"/>
  <c r="BE533" i="1"/>
  <c r="BF533" i="1"/>
  <c r="C534" i="1"/>
  <c r="D534" i="1"/>
  <c r="E534" i="1"/>
  <c r="F534" i="1"/>
  <c r="G534" i="1"/>
  <c r="H534" i="1"/>
  <c r="L534" i="1"/>
  <c r="M534" i="1"/>
  <c r="N534" i="1"/>
  <c r="O534" i="1"/>
  <c r="P534" i="1"/>
  <c r="Q534" i="1"/>
  <c r="R534" i="1"/>
  <c r="S534" i="1"/>
  <c r="T534" i="1"/>
  <c r="U534" i="1"/>
  <c r="V534" i="1"/>
  <c r="AB534" i="1"/>
  <c r="AI534" i="1"/>
  <c r="AJ534" i="1"/>
  <c r="AK534" i="1"/>
  <c r="AP534" i="1"/>
  <c r="AR534" i="1"/>
  <c r="AY534" i="1"/>
  <c r="BE534" i="1"/>
  <c r="BF534" i="1"/>
  <c r="C535" i="1"/>
  <c r="D535" i="1"/>
  <c r="E535" i="1"/>
  <c r="F535" i="1"/>
  <c r="G535" i="1"/>
  <c r="H535" i="1"/>
  <c r="L535" i="1"/>
  <c r="M535" i="1"/>
  <c r="N535" i="1"/>
  <c r="O535" i="1"/>
  <c r="P535" i="1"/>
  <c r="Q535" i="1"/>
  <c r="R535" i="1"/>
  <c r="S535" i="1"/>
  <c r="T535" i="1"/>
  <c r="U535" i="1"/>
  <c r="V535" i="1"/>
  <c r="AB535" i="1"/>
  <c r="AI535" i="1"/>
  <c r="AJ535" i="1"/>
  <c r="AK535" i="1"/>
  <c r="AP535" i="1"/>
  <c r="AR535" i="1"/>
  <c r="AY535" i="1"/>
  <c r="BE535" i="1"/>
  <c r="BF535" i="1"/>
  <c r="C536" i="1"/>
  <c r="D536" i="1"/>
  <c r="E536" i="1"/>
  <c r="F536" i="1"/>
  <c r="G536" i="1"/>
  <c r="H536" i="1"/>
  <c r="L536" i="1"/>
  <c r="M536" i="1"/>
  <c r="N536" i="1"/>
  <c r="O536" i="1"/>
  <c r="P536" i="1"/>
  <c r="Q536" i="1"/>
  <c r="R536" i="1"/>
  <c r="S536" i="1"/>
  <c r="T536" i="1"/>
  <c r="U536" i="1"/>
  <c r="V536" i="1"/>
  <c r="AB536" i="1"/>
  <c r="AI536" i="1"/>
  <c r="AJ536" i="1"/>
  <c r="AK536" i="1"/>
  <c r="AP536" i="1"/>
  <c r="AR536" i="1"/>
  <c r="AY536" i="1"/>
  <c r="BE536" i="1"/>
  <c r="BF536" i="1"/>
  <c r="C537" i="1"/>
  <c r="D537" i="1"/>
  <c r="E537" i="1"/>
  <c r="F537" i="1"/>
  <c r="G537" i="1"/>
  <c r="H537" i="1"/>
  <c r="L537" i="1"/>
  <c r="M537" i="1"/>
  <c r="N537" i="1"/>
  <c r="O537" i="1"/>
  <c r="P537" i="1"/>
  <c r="Q537" i="1"/>
  <c r="R537" i="1"/>
  <c r="S537" i="1"/>
  <c r="T537" i="1"/>
  <c r="U537" i="1"/>
  <c r="V537" i="1"/>
  <c r="AB537" i="1"/>
  <c r="AI537" i="1"/>
  <c r="AJ537" i="1"/>
  <c r="AK537" i="1"/>
  <c r="AP537" i="1"/>
  <c r="AR537" i="1"/>
  <c r="AY537" i="1"/>
  <c r="BE537" i="1"/>
  <c r="BF537" i="1"/>
  <c r="C538" i="1"/>
  <c r="D538" i="1"/>
  <c r="E538" i="1"/>
  <c r="F538" i="1"/>
  <c r="G538" i="1"/>
  <c r="H538" i="1"/>
  <c r="L538" i="1"/>
  <c r="M538" i="1"/>
  <c r="N538" i="1"/>
  <c r="O538" i="1"/>
  <c r="P538" i="1"/>
  <c r="Q538" i="1"/>
  <c r="R538" i="1"/>
  <c r="S538" i="1"/>
  <c r="T538" i="1"/>
  <c r="U538" i="1"/>
  <c r="V538" i="1"/>
  <c r="AB538" i="1"/>
  <c r="AI538" i="1"/>
  <c r="AJ538" i="1"/>
  <c r="AK538" i="1"/>
  <c r="AP538" i="1"/>
  <c r="AR538" i="1"/>
  <c r="AY538" i="1"/>
  <c r="BE538" i="1"/>
  <c r="BF538" i="1"/>
  <c r="C539" i="1"/>
  <c r="D539" i="1"/>
  <c r="E539" i="1"/>
  <c r="F539" i="1"/>
  <c r="G539" i="1"/>
  <c r="H539" i="1"/>
  <c r="L539" i="1"/>
  <c r="M539" i="1"/>
  <c r="N539" i="1"/>
  <c r="O539" i="1"/>
  <c r="P539" i="1"/>
  <c r="Q539" i="1"/>
  <c r="R539" i="1"/>
  <c r="S539" i="1"/>
  <c r="T539" i="1"/>
  <c r="U539" i="1"/>
  <c r="V539" i="1"/>
  <c r="AB539" i="1"/>
  <c r="AI539" i="1"/>
  <c r="AJ539" i="1"/>
  <c r="AK539" i="1"/>
  <c r="AP539" i="1"/>
  <c r="AR539" i="1"/>
  <c r="AY539" i="1"/>
  <c r="BE539" i="1"/>
  <c r="BF539" i="1"/>
  <c r="C540" i="1"/>
  <c r="D540" i="1"/>
  <c r="E540" i="1"/>
  <c r="F540" i="1"/>
  <c r="G540" i="1"/>
  <c r="H540" i="1"/>
  <c r="L540" i="1"/>
  <c r="M540" i="1"/>
  <c r="N540" i="1"/>
  <c r="O540" i="1"/>
  <c r="P540" i="1"/>
  <c r="Q540" i="1"/>
  <c r="R540" i="1"/>
  <c r="S540" i="1"/>
  <c r="T540" i="1"/>
  <c r="U540" i="1"/>
  <c r="V540" i="1"/>
  <c r="AB540" i="1"/>
  <c r="AI540" i="1"/>
  <c r="AJ540" i="1"/>
  <c r="AK540" i="1"/>
  <c r="AP540" i="1"/>
  <c r="AR540" i="1"/>
  <c r="AY540" i="1"/>
  <c r="BE540" i="1"/>
  <c r="BF540" i="1"/>
  <c r="C541" i="1"/>
  <c r="D541" i="1"/>
  <c r="E541" i="1"/>
  <c r="F541" i="1"/>
  <c r="G541" i="1"/>
  <c r="H541" i="1"/>
  <c r="L541" i="1"/>
  <c r="M541" i="1"/>
  <c r="N541" i="1"/>
  <c r="O541" i="1"/>
  <c r="P541" i="1"/>
  <c r="Q541" i="1"/>
  <c r="R541" i="1"/>
  <c r="S541" i="1"/>
  <c r="T541" i="1"/>
  <c r="U541" i="1"/>
  <c r="V541" i="1"/>
  <c r="AB541" i="1"/>
  <c r="AI541" i="1"/>
  <c r="AJ541" i="1"/>
  <c r="AK541" i="1"/>
  <c r="AP541" i="1"/>
  <c r="AR541" i="1"/>
  <c r="AY541" i="1"/>
  <c r="BE541" i="1"/>
  <c r="BF541" i="1"/>
  <c r="C542" i="1"/>
  <c r="D542" i="1"/>
  <c r="E542" i="1"/>
  <c r="F542" i="1"/>
  <c r="G542" i="1"/>
  <c r="H542" i="1"/>
  <c r="L542" i="1"/>
  <c r="M542" i="1"/>
  <c r="N542" i="1"/>
  <c r="O542" i="1"/>
  <c r="P542" i="1"/>
  <c r="Q542" i="1"/>
  <c r="R542" i="1"/>
  <c r="S542" i="1"/>
  <c r="T542" i="1"/>
  <c r="U542" i="1"/>
  <c r="V542" i="1"/>
  <c r="AB542" i="1"/>
  <c r="AI542" i="1"/>
  <c r="AJ542" i="1"/>
  <c r="AK542" i="1"/>
  <c r="AP542" i="1"/>
  <c r="AR542" i="1"/>
  <c r="AY542" i="1"/>
  <c r="BE542" i="1"/>
  <c r="BF542" i="1"/>
  <c r="C543" i="1"/>
  <c r="D543" i="1"/>
  <c r="E543" i="1"/>
  <c r="F543" i="1"/>
  <c r="G543" i="1"/>
  <c r="H543" i="1"/>
  <c r="L543" i="1"/>
  <c r="M543" i="1"/>
  <c r="N543" i="1"/>
  <c r="O543" i="1"/>
  <c r="P543" i="1"/>
  <c r="Q543" i="1"/>
  <c r="R543" i="1"/>
  <c r="S543" i="1"/>
  <c r="T543" i="1"/>
  <c r="U543" i="1"/>
  <c r="V543" i="1"/>
  <c r="AB543" i="1"/>
  <c r="AI543" i="1"/>
  <c r="AJ543" i="1"/>
  <c r="AK543" i="1"/>
  <c r="AP543" i="1"/>
  <c r="AR543" i="1"/>
  <c r="AY543" i="1"/>
  <c r="BE543" i="1"/>
  <c r="BF543" i="1"/>
  <c r="C544" i="1"/>
  <c r="D544" i="1"/>
  <c r="E544" i="1"/>
  <c r="F544" i="1"/>
  <c r="G544" i="1"/>
  <c r="H544" i="1"/>
  <c r="L544" i="1"/>
  <c r="M544" i="1"/>
  <c r="N544" i="1"/>
  <c r="O544" i="1"/>
  <c r="P544" i="1"/>
  <c r="Q544" i="1"/>
  <c r="R544" i="1"/>
  <c r="S544" i="1"/>
  <c r="T544" i="1"/>
  <c r="U544" i="1"/>
  <c r="V544" i="1"/>
  <c r="AB544" i="1"/>
  <c r="AI544" i="1"/>
  <c r="AJ544" i="1"/>
  <c r="AK544" i="1"/>
  <c r="AP544" i="1"/>
  <c r="AR544" i="1"/>
  <c r="AY544" i="1"/>
  <c r="BE544" i="1"/>
  <c r="BF544" i="1"/>
  <c r="C545" i="1"/>
  <c r="D545" i="1"/>
  <c r="E545" i="1"/>
  <c r="F545" i="1"/>
  <c r="G545" i="1"/>
  <c r="H545" i="1"/>
  <c r="L545" i="1"/>
  <c r="M545" i="1"/>
  <c r="N545" i="1"/>
  <c r="O545" i="1"/>
  <c r="P545" i="1"/>
  <c r="Q545" i="1"/>
  <c r="R545" i="1"/>
  <c r="S545" i="1"/>
  <c r="T545" i="1"/>
  <c r="U545" i="1"/>
  <c r="V545" i="1"/>
  <c r="AB545" i="1"/>
  <c r="AI545" i="1"/>
  <c r="AJ545" i="1"/>
  <c r="AK545" i="1"/>
  <c r="AP545" i="1"/>
  <c r="AR545" i="1"/>
  <c r="AY545" i="1"/>
  <c r="BE545" i="1"/>
  <c r="BF545" i="1"/>
  <c r="C546" i="1"/>
  <c r="D546" i="1"/>
  <c r="E546" i="1"/>
  <c r="F546" i="1"/>
  <c r="G546" i="1"/>
  <c r="H546" i="1"/>
  <c r="L546" i="1"/>
  <c r="M546" i="1"/>
  <c r="N546" i="1"/>
  <c r="O546" i="1"/>
  <c r="P546" i="1"/>
  <c r="Q546" i="1"/>
  <c r="R546" i="1"/>
  <c r="S546" i="1"/>
  <c r="T546" i="1"/>
  <c r="U546" i="1"/>
  <c r="V546" i="1"/>
  <c r="AB546" i="1"/>
  <c r="AI546" i="1"/>
  <c r="AJ546" i="1"/>
  <c r="AK546" i="1"/>
  <c r="AP546" i="1"/>
  <c r="AR546" i="1"/>
  <c r="AY546" i="1"/>
  <c r="BE546" i="1"/>
  <c r="BF546" i="1"/>
  <c r="C547" i="1"/>
  <c r="D547" i="1"/>
  <c r="E547" i="1"/>
  <c r="F547" i="1"/>
  <c r="G547" i="1"/>
  <c r="H547" i="1"/>
  <c r="L547" i="1"/>
  <c r="M547" i="1"/>
  <c r="N547" i="1"/>
  <c r="O547" i="1"/>
  <c r="P547" i="1"/>
  <c r="Q547" i="1"/>
  <c r="R547" i="1"/>
  <c r="S547" i="1"/>
  <c r="T547" i="1"/>
  <c r="U547" i="1"/>
  <c r="V547" i="1"/>
  <c r="AB547" i="1"/>
  <c r="AI547" i="1"/>
  <c r="AJ547" i="1"/>
  <c r="AK547" i="1"/>
  <c r="AP547" i="1"/>
  <c r="AR547" i="1"/>
  <c r="AY547" i="1"/>
  <c r="BE547" i="1"/>
  <c r="BF547" i="1"/>
  <c r="C279" i="1"/>
  <c r="D279" i="1"/>
  <c r="E279" i="1"/>
  <c r="F279" i="1"/>
  <c r="G279" i="1"/>
  <c r="H279" i="1"/>
  <c r="L279" i="1"/>
  <c r="M279" i="1"/>
  <c r="N279" i="1"/>
  <c r="O279" i="1"/>
  <c r="P279" i="1"/>
  <c r="Q279" i="1"/>
  <c r="R279" i="1"/>
  <c r="S279" i="1"/>
  <c r="T279" i="1"/>
  <c r="U279" i="1"/>
  <c r="V279" i="1"/>
  <c r="AB279" i="1"/>
  <c r="AI279" i="1"/>
  <c r="AJ279" i="1"/>
  <c r="AK279" i="1"/>
  <c r="AP279" i="1"/>
  <c r="AR279" i="1"/>
  <c r="AY279" i="1"/>
  <c r="BE279" i="1"/>
  <c r="BF279" i="1"/>
  <c r="C280" i="1"/>
  <c r="D280" i="1"/>
  <c r="E280" i="1"/>
  <c r="F280" i="1"/>
  <c r="G280" i="1"/>
  <c r="H280" i="1"/>
  <c r="L280" i="1"/>
  <c r="M280" i="1"/>
  <c r="N280" i="1"/>
  <c r="O280" i="1"/>
  <c r="P280" i="1"/>
  <c r="Q280" i="1"/>
  <c r="R280" i="1"/>
  <c r="S280" i="1"/>
  <c r="T280" i="1"/>
  <c r="U280" i="1"/>
  <c r="V280" i="1"/>
  <c r="AB280" i="1"/>
  <c r="AI280" i="1"/>
  <c r="AJ280" i="1"/>
  <c r="AK280" i="1"/>
  <c r="AP280" i="1"/>
  <c r="AR280" i="1"/>
  <c r="AY280" i="1"/>
  <c r="BE280" i="1"/>
  <c r="BF280" i="1"/>
  <c r="C281" i="1"/>
  <c r="D281" i="1"/>
  <c r="E281" i="1"/>
  <c r="F281" i="1"/>
  <c r="G281" i="1"/>
  <c r="H281" i="1"/>
  <c r="L281" i="1"/>
  <c r="M281" i="1"/>
  <c r="N281" i="1"/>
  <c r="O281" i="1"/>
  <c r="P281" i="1"/>
  <c r="Q281" i="1"/>
  <c r="R281" i="1"/>
  <c r="S281" i="1"/>
  <c r="T281" i="1"/>
  <c r="U281" i="1"/>
  <c r="V281" i="1"/>
  <c r="AB281" i="1"/>
  <c r="AI281" i="1"/>
  <c r="AJ281" i="1"/>
  <c r="AK281" i="1"/>
  <c r="AP281" i="1"/>
  <c r="AR281" i="1"/>
  <c r="AY281" i="1"/>
  <c r="BE281" i="1"/>
  <c r="BF281" i="1"/>
  <c r="C282" i="1"/>
  <c r="D282" i="1"/>
  <c r="E282" i="1"/>
  <c r="F282" i="1"/>
  <c r="G282" i="1"/>
  <c r="H282" i="1"/>
  <c r="L282" i="1"/>
  <c r="M282" i="1"/>
  <c r="N282" i="1"/>
  <c r="O282" i="1"/>
  <c r="P282" i="1"/>
  <c r="Q282" i="1"/>
  <c r="R282" i="1"/>
  <c r="S282" i="1"/>
  <c r="T282" i="1"/>
  <c r="U282" i="1"/>
  <c r="V282" i="1"/>
  <c r="AB282" i="1"/>
  <c r="AI282" i="1"/>
  <c r="AJ282" i="1"/>
  <c r="AK282" i="1"/>
  <c r="AP282" i="1"/>
  <c r="AR282" i="1"/>
  <c r="AY282" i="1"/>
  <c r="BE282" i="1"/>
  <c r="BF282" i="1"/>
  <c r="C283" i="1"/>
  <c r="D283" i="1"/>
  <c r="E283" i="1"/>
  <c r="F283" i="1"/>
  <c r="G283" i="1"/>
  <c r="H283" i="1"/>
  <c r="L283" i="1"/>
  <c r="M283" i="1"/>
  <c r="N283" i="1"/>
  <c r="O283" i="1"/>
  <c r="P283" i="1"/>
  <c r="Q283" i="1"/>
  <c r="R283" i="1"/>
  <c r="S283" i="1"/>
  <c r="T283" i="1"/>
  <c r="U283" i="1"/>
  <c r="V283" i="1"/>
  <c r="AB283" i="1"/>
  <c r="AI283" i="1"/>
  <c r="AJ283" i="1"/>
  <c r="AK283" i="1"/>
  <c r="AP283" i="1"/>
  <c r="AR283" i="1"/>
  <c r="AY283" i="1"/>
  <c r="BE283" i="1"/>
  <c r="BF283" i="1"/>
  <c r="C284" i="1"/>
  <c r="D284" i="1"/>
  <c r="E284" i="1"/>
  <c r="F284" i="1"/>
  <c r="G284" i="1"/>
  <c r="H284" i="1"/>
  <c r="L284" i="1"/>
  <c r="M284" i="1"/>
  <c r="N284" i="1"/>
  <c r="O284" i="1"/>
  <c r="P284" i="1"/>
  <c r="Q284" i="1"/>
  <c r="R284" i="1"/>
  <c r="S284" i="1"/>
  <c r="T284" i="1"/>
  <c r="U284" i="1"/>
  <c r="V284" i="1"/>
  <c r="AB284" i="1"/>
  <c r="AI284" i="1"/>
  <c r="AJ284" i="1"/>
  <c r="AK284" i="1"/>
  <c r="AP284" i="1"/>
  <c r="AR284" i="1"/>
  <c r="AY284" i="1"/>
  <c r="BE284" i="1"/>
  <c r="BF284" i="1"/>
  <c r="C285" i="1"/>
  <c r="D285" i="1"/>
  <c r="E285" i="1"/>
  <c r="F285" i="1"/>
  <c r="G285" i="1"/>
  <c r="H285" i="1"/>
  <c r="L285" i="1"/>
  <c r="M285" i="1"/>
  <c r="N285" i="1"/>
  <c r="O285" i="1"/>
  <c r="P285" i="1"/>
  <c r="Q285" i="1"/>
  <c r="R285" i="1"/>
  <c r="S285" i="1"/>
  <c r="T285" i="1"/>
  <c r="U285" i="1"/>
  <c r="V285" i="1"/>
  <c r="AB285" i="1"/>
  <c r="AI285" i="1"/>
  <c r="AJ285" i="1"/>
  <c r="AK285" i="1"/>
  <c r="AP285" i="1"/>
  <c r="AR285" i="1"/>
  <c r="AY285" i="1"/>
  <c r="BE285" i="1"/>
  <c r="BF285" i="1"/>
  <c r="C286" i="1"/>
  <c r="D286" i="1"/>
  <c r="E286" i="1"/>
  <c r="F286" i="1"/>
  <c r="G286" i="1"/>
  <c r="H286" i="1"/>
  <c r="L286" i="1"/>
  <c r="M286" i="1"/>
  <c r="N286" i="1"/>
  <c r="O286" i="1"/>
  <c r="P286" i="1"/>
  <c r="Q286" i="1"/>
  <c r="R286" i="1"/>
  <c r="S286" i="1"/>
  <c r="T286" i="1"/>
  <c r="U286" i="1"/>
  <c r="V286" i="1"/>
  <c r="AB286" i="1"/>
  <c r="AI286" i="1"/>
  <c r="AJ286" i="1"/>
  <c r="AK286" i="1"/>
  <c r="AP286" i="1"/>
  <c r="AR286" i="1"/>
  <c r="AY286" i="1"/>
  <c r="BE286" i="1"/>
  <c r="BF286" i="1"/>
  <c r="C287" i="1"/>
  <c r="D287" i="1"/>
  <c r="E287" i="1"/>
  <c r="F287" i="1"/>
  <c r="G287" i="1"/>
  <c r="H287" i="1"/>
  <c r="L287" i="1"/>
  <c r="M287" i="1"/>
  <c r="N287" i="1"/>
  <c r="O287" i="1"/>
  <c r="P287" i="1"/>
  <c r="Q287" i="1"/>
  <c r="R287" i="1"/>
  <c r="S287" i="1"/>
  <c r="T287" i="1"/>
  <c r="U287" i="1"/>
  <c r="V287" i="1"/>
  <c r="AB287" i="1"/>
  <c r="AI287" i="1"/>
  <c r="AJ287" i="1"/>
  <c r="AK287" i="1"/>
  <c r="AP287" i="1"/>
  <c r="AR287" i="1"/>
  <c r="AY287" i="1"/>
  <c r="BE287" i="1"/>
  <c r="BF287" i="1"/>
  <c r="C288" i="1"/>
  <c r="D288" i="1"/>
  <c r="E288" i="1"/>
  <c r="F288" i="1"/>
  <c r="G288" i="1"/>
  <c r="H288" i="1"/>
  <c r="L288" i="1"/>
  <c r="M288" i="1"/>
  <c r="N288" i="1"/>
  <c r="O288" i="1"/>
  <c r="P288" i="1"/>
  <c r="Q288" i="1"/>
  <c r="R288" i="1"/>
  <c r="S288" i="1"/>
  <c r="T288" i="1"/>
  <c r="U288" i="1"/>
  <c r="V288" i="1"/>
  <c r="AB288" i="1"/>
  <c r="AI288" i="1"/>
  <c r="AJ288" i="1"/>
  <c r="AK288" i="1"/>
  <c r="AP288" i="1"/>
  <c r="AR288" i="1"/>
  <c r="AY288" i="1"/>
  <c r="BE288" i="1"/>
  <c r="BF288" i="1"/>
  <c r="C289" i="1"/>
  <c r="D289" i="1"/>
  <c r="E289" i="1"/>
  <c r="F289" i="1"/>
  <c r="G289" i="1"/>
  <c r="H289" i="1"/>
  <c r="L289" i="1"/>
  <c r="M289" i="1"/>
  <c r="N289" i="1"/>
  <c r="O289" i="1"/>
  <c r="P289" i="1"/>
  <c r="Q289" i="1"/>
  <c r="R289" i="1"/>
  <c r="S289" i="1"/>
  <c r="T289" i="1"/>
  <c r="U289" i="1"/>
  <c r="V289" i="1"/>
  <c r="AB289" i="1"/>
  <c r="AI289" i="1"/>
  <c r="AJ289" i="1"/>
  <c r="AK289" i="1"/>
  <c r="AP289" i="1"/>
  <c r="AR289" i="1"/>
  <c r="AY289" i="1"/>
  <c r="BE289" i="1"/>
  <c r="BF289" i="1"/>
  <c r="C290" i="1"/>
  <c r="D290" i="1"/>
  <c r="E290" i="1"/>
  <c r="F290" i="1"/>
  <c r="G290" i="1"/>
  <c r="H290" i="1"/>
  <c r="L290" i="1"/>
  <c r="M290" i="1"/>
  <c r="N290" i="1"/>
  <c r="O290" i="1"/>
  <c r="P290" i="1"/>
  <c r="Q290" i="1"/>
  <c r="R290" i="1"/>
  <c r="S290" i="1"/>
  <c r="T290" i="1"/>
  <c r="U290" i="1"/>
  <c r="V290" i="1"/>
  <c r="AB290" i="1"/>
  <c r="AI290" i="1"/>
  <c r="AJ290" i="1"/>
  <c r="AK290" i="1"/>
  <c r="AP290" i="1"/>
  <c r="AR290" i="1"/>
  <c r="AY290" i="1"/>
  <c r="BE290" i="1"/>
  <c r="BF290" i="1"/>
  <c r="C291" i="1"/>
  <c r="D291" i="1"/>
  <c r="E291" i="1"/>
  <c r="F291" i="1"/>
  <c r="G291" i="1"/>
  <c r="H291" i="1"/>
  <c r="L291" i="1"/>
  <c r="M291" i="1"/>
  <c r="N291" i="1"/>
  <c r="O291" i="1"/>
  <c r="P291" i="1"/>
  <c r="Q291" i="1"/>
  <c r="R291" i="1"/>
  <c r="S291" i="1"/>
  <c r="T291" i="1"/>
  <c r="U291" i="1"/>
  <c r="V291" i="1"/>
  <c r="AB291" i="1"/>
  <c r="AI291" i="1"/>
  <c r="AJ291" i="1"/>
  <c r="AK291" i="1"/>
  <c r="AP291" i="1"/>
  <c r="AR291" i="1"/>
  <c r="AY291" i="1"/>
  <c r="BE291" i="1"/>
  <c r="BF291" i="1"/>
  <c r="C292" i="1"/>
  <c r="D292" i="1"/>
  <c r="E292" i="1"/>
  <c r="F292" i="1"/>
  <c r="G292" i="1"/>
  <c r="H292" i="1"/>
  <c r="L292" i="1"/>
  <c r="M292" i="1"/>
  <c r="N292" i="1"/>
  <c r="O292" i="1"/>
  <c r="P292" i="1"/>
  <c r="Q292" i="1"/>
  <c r="R292" i="1"/>
  <c r="S292" i="1"/>
  <c r="T292" i="1"/>
  <c r="U292" i="1"/>
  <c r="V292" i="1"/>
  <c r="AB292" i="1"/>
  <c r="AI292" i="1"/>
  <c r="AJ292" i="1"/>
  <c r="AK292" i="1"/>
  <c r="AP292" i="1"/>
  <c r="AR292" i="1"/>
  <c r="AY292" i="1"/>
  <c r="BE292" i="1"/>
  <c r="BF292" i="1"/>
  <c r="C293" i="1"/>
  <c r="D293" i="1"/>
  <c r="E293" i="1"/>
  <c r="F293" i="1"/>
  <c r="G293" i="1"/>
  <c r="H293" i="1"/>
  <c r="L293" i="1"/>
  <c r="M293" i="1"/>
  <c r="N293" i="1"/>
  <c r="O293" i="1"/>
  <c r="P293" i="1"/>
  <c r="Q293" i="1"/>
  <c r="R293" i="1"/>
  <c r="S293" i="1"/>
  <c r="T293" i="1"/>
  <c r="U293" i="1"/>
  <c r="V293" i="1"/>
  <c r="AB293" i="1"/>
  <c r="AI293" i="1"/>
  <c r="AJ293" i="1"/>
  <c r="AK293" i="1"/>
  <c r="AP293" i="1"/>
  <c r="AR293" i="1"/>
  <c r="AY293" i="1"/>
  <c r="BE293" i="1"/>
  <c r="BF293" i="1"/>
  <c r="C294" i="1"/>
  <c r="D294" i="1"/>
  <c r="E294" i="1"/>
  <c r="F294" i="1"/>
  <c r="G294" i="1"/>
  <c r="H294" i="1"/>
  <c r="L294" i="1"/>
  <c r="M294" i="1"/>
  <c r="N294" i="1"/>
  <c r="O294" i="1"/>
  <c r="P294" i="1"/>
  <c r="Q294" i="1"/>
  <c r="R294" i="1"/>
  <c r="S294" i="1"/>
  <c r="T294" i="1"/>
  <c r="U294" i="1"/>
  <c r="V294" i="1"/>
  <c r="AB294" i="1"/>
  <c r="AI294" i="1"/>
  <c r="AJ294" i="1"/>
  <c r="AK294" i="1"/>
  <c r="AP294" i="1"/>
  <c r="AR294" i="1"/>
  <c r="AY294" i="1"/>
  <c r="BE294" i="1"/>
  <c r="BF294" i="1"/>
  <c r="C295" i="1"/>
  <c r="D295" i="1"/>
  <c r="E295" i="1"/>
  <c r="F295" i="1"/>
  <c r="G295" i="1"/>
  <c r="H295" i="1"/>
  <c r="L295" i="1"/>
  <c r="M295" i="1"/>
  <c r="N295" i="1"/>
  <c r="O295" i="1"/>
  <c r="P295" i="1"/>
  <c r="Q295" i="1"/>
  <c r="R295" i="1"/>
  <c r="S295" i="1"/>
  <c r="T295" i="1"/>
  <c r="U295" i="1"/>
  <c r="V295" i="1"/>
  <c r="AB295" i="1"/>
  <c r="AI295" i="1"/>
  <c r="AJ295" i="1"/>
  <c r="AK295" i="1"/>
  <c r="AP295" i="1"/>
  <c r="AR295" i="1"/>
  <c r="AY295" i="1"/>
  <c r="BE295" i="1"/>
  <c r="BF295" i="1"/>
  <c r="C296" i="1"/>
  <c r="D296" i="1"/>
  <c r="E296" i="1"/>
  <c r="F296" i="1"/>
  <c r="G296" i="1"/>
  <c r="H296" i="1"/>
  <c r="L296" i="1"/>
  <c r="M296" i="1"/>
  <c r="N296" i="1"/>
  <c r="O296" i="1"/>
  <c r="P296" i="1"/>
  <c r="Q296" i="1"/>
  <c r="R296" i="1"/>
  <c r="S296" i="1"/>
  <c r="T296" i="1"/>
  <c r="U296" i="1"/>
  <c r="V296" i="1"/>
  <c r="AB296" i="1"/>
  <c r="AI296" i="1"/>
  <c r="AJ296" i="1"/>
  <c r="AK296" i="1"/>
  <c r="AP296" i="1"/>
  <c r="AR296" i="1"/>
  <c r="AY296" i="1"/>
  <c r="BE296" i="1"/>
  <c r="BF296" i="1"/>
  <c r="C297" i="1"/>
  <c r="D297" i="1"/>
  <c r="E297" i="1"/>
  <c r="F297" i="1"/>
  <c r="G297" i="1"/>
  <c r="H297" i="1"/>
  <c r="L297" i="1"/>
  <c r="M297" i="1"/>
  <c r="N297" i="1"/>
  <c r="O297" i="1"/>
  <c r="P297" i="1"/>
  <c r="Q297" i="1"/>
  <c r="R297" i="1"/>
  <c r="S297" i="1"/>
  <c r="T297" i="1"/>
  <c r="U297" i="1"/>
  <c r="V297" i="1"/>
  <c r="AB297" i="1"/>
  <c r="AI297" i="1"/>
  <c r="AJ297" i="1"/>
  <c r="AK297" i="1"/>
  <c r="AP297" i="1"/>
  <c r="AR297" i="1"/>
  <c r="AY297" i="1"/>
  <c r="BE297" i="1"/>
  <c r="BF297" i="1"/>
  <c r="C298" i="1"/>
  <c r="D298" i="1"/>
  <c r="E298" i="1"/>
  <c r="F298" i="1"/>
  <c r="G298" i="1"/>
  <c r="H298" i="1"/>
  <c r="L298" i="1"/>
  <c r="M298" i="1"/>
  <c r="N298" i="1"/>
  <c r="O298" i="1"/>
  <c r="P298" i="1"/>
  <c r="Q298" i="1"/>
  <c r="R298" i="1"/>
  <c r="S298" i="1"/>
  <c r="T298" i="1"/>
  <c r="U298" i="1"/>
  <c r="V298" i="1"/>
  <c r="AB298" i="1"/>
  <c r="AI298" i="1"/>
  <c r="AJ298" i="1"/>
  <c r="AK298" i="1"/>
  <c r="AP298" i="1"/>
  <c r="AR298" i="1"/>
  <c r="AY298" i="1"/>
  <c r="BE298" i="1"/>
  <c r="BF298" i="1"/>
  <c r="C548" i="1"/>
  <c r="D548" i="1"/>
  <c r="E548" i="1"/>
  <c r="F548" i="1"/>
  <c r="G548" i="1"/>
  <c r="H548" i="1"/>
  <c r="L548" i="1"/>
  <c r="M548" i="1"/>
  <c r="N548" i="1"/>
  <c r="O548" i="1"/>
  <c r="P548" i="1"/>
  <c r="Q548" i="1"/>
  <c r="R548" i="1"/>
  <c r="S548" i="1"/>
  <c r="T548" i="1"/>
  <c r="U548" i="1"/>
  <c r="V548" i="1"/>
  <c r="AB548" i="1"/>
  <c r="AI548" i="1"/>
  <c r="AJ548" i="1"/>
  <c r="AK548" i="1"/>
  <c r="AP548" i="1"/>
  <c r="AR548" i="1"/>
  <c r="AY548" i="1"/>
  <c r="BE548" i="1"/>
  <c r="BF548" i="1"/>
  <c r="C549" i="1"/>
  <c r="D549" i="1"/>
  <c r="E549" i="1"/>
  <c r="F549" i="1"/>
  <c r="G549" i="1"/>
  <c r="H549" i="1"/>
  <c r="L549" i="1"/>
  <c r="M549" i="1"/>
  <c r="N549" i="1"/>
  <c r="O549" i="1"/>
  <c r="P549" i="1"/>
  <c r="Q549" i="1"/>
  <c r="R549" i="1"/>
  <c r="S549" i="1"/>
  <c r="T549" i="1"/>
  <c r="U549" i="1"/>
  <c r="V549" i="1"/>
  <c r="AI549" i="1"/>
  <c r="AJ549" i="1"/>
  <c r="AK549" i="1"/>
  <c r="AP549" i="1"/>
  <c r="AR549" i="1"/>
  <c r="AY549" i="1"/>
  <c r="BE549" i="1"/>
  <c r="BF549" i="1"/>
  <c r="C550" i="1"/>
  <c r="D550" i="1"/>
  <c r="E550" i="1"/>
  <c r="F550" i="1"/>
  <c r="G550" i="1"/>
  <c r="H550" i="1"/>
  <c r="L550" i="1"/>
  <c r="M550" i="1"/>
  <c r="N550" i="1"/>
  <c r="O550" i="1"/>
  <c r="P550" i="1"/>
  <c r="Q550" i="1"/>
  <c r="R550" i="1"/>
  <c r="S550" i="1"/>
  <c r="T550" i="1"/>
  <c r="U550" i="1"/>
  <c r="V550" i="1"/>
  <c r="AB550" i="1"/>
  <c r="AI550" i="1"/>
  <c r="AJ550" i="1"/>
  <c r="AK550" i="1"/>
  <c r="AP550" i="1"/>
  <c r="AR550" i="1"/>
  <c r="AY550" i="1"/>
  <c r="BE550" i="1"/>
  <c r="BF550" i="1"/>
  <c r="C551" i="1"/>
  <c r="D551" i="1"/>
  <c r="E551" i="1"/>
  <c r="F551" i="1"/>
  <c r="G551" i="1"/>
  <c r="H551" i="1"/>
  <c r="L551" i="1"/>
  <c r="M551" i="1"/>
  <c r="N551" i="1"/>
  <c r="O551" i="1"/>
  <c r="P551" i="1"/>
  <c r="Q551" i="1"/>
  <c r="R551" i="1"/>
  <c r="S551" i="1"/>
  <c r="T551" i="1"/>
  <c r="U551" i="1"/>
  <c r="V551" i="1"/>
  <c r="AI551" i="1"/>
  <c r="AJ551" i="1"/>
  <c r="AK551" i="1"/>
  <c r="AP551" i="1"/>
  <c r="AR551" i="1"/>
  <c r="AY551" i="1"/>
  <c r="BE551" i="1"/>
  <c r="BF551" i="1"/>
  <c r="C552" i="1"/>
  <c r="D552" i="1"/>
  <c r="E552" i="1"/>
  <c r="F552" i="1"/>
  <c r="G552" i="1"/>
  <c r="H552" i="1"/>
  <c r="L552" i="1"/>
  <c r="M552" i="1"/>
  <c r="N552" i="1"/>
  <c r="O552" i="1"/>
  <c r="P552" i="1"/>
  <c r="Q552" i="1"/>
  <c r="R552" i="1"/>
  <c r="S552" i="1"/>
  <c r="T552" i="1"/>
  <c r="U552" i="1"/>
  <c r="V552" i="1"/>
  <c r="AI552" i="1"/>
  <c r="AJ552" i="1"/>
  <c r="AK552" i="1"/>
  <c r="AP552" i="1"/>
  <c r="AR552" i="1"/>
  <c r="AY552" i="1"/>
  <c r="BE552" i="1"/>
  <c r="BF552" i="1"/>
  <c r="C553" i="1"/>
  <c r="D553" i="1"/>
  <c r="E553" i="1"/>
  <c r="F553" i="1"/>
  <c r="G553" i="1"/>
  <c r="H553" i="1"/>
  <c r="L553" i="1"/>
  <c r="M553" i="1"/>
  <c r="N553" i="1"/>
  <c r="O553" i="1"/>
  <c r="P553" i="1"/>
  <c r="Q553" i="1"/>
  <c r="R553" i="1"/>
  <c r="S553" i="1"/>
  <c r="T553" i="1"/>
  <c r="U553" i="1"/>
  <c r="V553" i="1"/>
  <c r="AI553" i="1"/>
  <c r="AJ553" i="1"/>
  <c r="AK553" i="1"/>
  <c r="AP553" i="1"/>
  <c r="AR553" i="1"/>
  <c r="AY553" i="1"/>
  <c r="BE553" i="1"/>
  <c r="BF553" i="1"/>
</calcChain>
</file>

<file path=xl/sharedStrings.xml><?xml version="1.0" encoding="utf-8"?>
<sst xmlns="http://schemas.openxmlformats.org/spreadsheetml/2006/main" count="1097" uniqueCount="299">
  <si>
    <t>Codice Riservato</t>
  </si>
  <si>
    <t>Codice Cella</t>
  </si>
  <si>
    <t>Codice Articolo</t>
  </si>
  <si>
    <t>Numero pallet</t>
  </si>
  <si>
    <t>Lotto</t>
  </si>
  <si>
    <t>Descrizione mf</t>
  </si>
  <si>
    <t>Descrizione ml</t>
  </si>
  <si>
    <t>Variante</t>
  </si>
  <si>
    <t>Data Scadenza</t>
  </si>
  <si>
    <t>Quantità</t>
  </si>
  <si>
    <t>Societa</t>
  </si>
  <si>
    <t>Scaffale</t>
  </si>
  <si>
    <t>Posizione</t>
  </si>
  <si>
    <t>Piano</t>
  </si>
  <si>
    <t>Scaffale/Corsia</t>
  </si>
  <si>
    <t>P/R/S</t>
  </si>
  <si>
    <t>Magazzino Fisico</t>
  </si>
  <si>
    <t>Magazzino Logico</t>
  </si>
  <si>
    <t>Bloccato</t>
  </si>
  <si>
    <t>Disponibile</t>
  </si>
  <si>
    <t>UDM</t>
  </si>
  <si>
    <t>Confezione</t>
  </si>
  <si>
    <t>Identificativo</t>
  </si>
  <si>
    <t>Pallet Intero</t>
  </si>
  <si>
    <t>Quantità UM2</t>
  </si>
  <si>
    <t>Quantità Tecnica</t>
  </si>
  <si>
    <t>Gruppo Stoccaggio</t>
  </si>
  <si>
    <t>Sottogruppo Stoccaggio</t>
  </si>
  <si>
    <t>Codice Fornitore</t>
  </si>
  <si>
    <t>Ragione sociale 1</t>
  </si>
  <si>
    <t>Riferimento Fornitore</t>
  </si>
  <si>
    <t>Peso Pallet</t>
  </si>
  <si>
    <t>Valore</t>
  </si>
  <si>
    <t>Utente</t>
  </si>
  <si>
    <t>Articolo Secondario</t>
  </si>
  <si>
    <t>U.M.</t>
  </si>
  <si>
    <t>Descr. Extra1</t>
  </si>
  <si>
    <t>Descr. Extra2</t>
  </si>
  <si>
    <t>Tipo Pallettizzazione</t>
  </si>
  <si>
    <t>Pezzi per Confez.</t>
  </si>
  <si>
    <t>Blocco Generico</t>
  </si>
  <si>
    <t>Tipo Materiale</t>
  </si>
  <si>
    <t>Modello</t>
  </si>
  <si>
    <t>Colore</t>
  </si>
  <si>
    <t>Taglia</t>
  </si>
  <si>
    <t>Tipo Prodotto</t>
  </si>
  <si>
    <t>Gruppo Omogeneo</t>
  </si>
  <si>
    <t>Data Produzione</t>
  </si>
  <si>
    <t>Codice Qualità</t>
  </si>
  <si>
    <t>Cat. Merceologica</t>
  </si>
  <si>
    <t>Peso pallet Teorico in giacenza</t>
  </si>
  <si>
    <t>Altezza</t>
  </si>
  <si>
    <t>Lunghezza</t>
  </si>
  <si>
    <t>Profondità</t>
  </si>
  <si>
    <t>Spessore</t>
  </si>
  <si>
    <t>Descrizione 2</t>
  </si>
  <si>
    <t>Descr. Società</t>
  </si>
  <si>
    <t>Data Scadenza Prorogata</t>
  </si>
  <si>
    <t>Descr. Qualità</t>
  </si>
  <si>
    <t>Descr. Blocco</t>
  </si>
  <si>
    <t>Magazzino Riservato</t>
  </si>
  <si>
    <t>Num Bolla</t>
  </si>
  <si>
    <t>Numero Verbale</t>
  </si>
  <si>
    <t>Note</t>
  </si>
  <si>
    <t>Peso Netto</t>
  </si>
  <si>
    <t>Numero Pelli</t>
  </si>
  <si>
    <t>Numero confezioni campionate</t>
  </si>
  <si>
    <t>Articolo Base</t>
  </si>
  <si>
    <t>paia</t>
  </si>
  <si>
    <t>CHANT4221S5/Y1B</t>
  </si>
  <si>
    <t>DARFO7327S6/MH1</t>
  </si>
  <si>
    <t>DARFW7328S6/MH1</t>
  </si>
  <si>
    <t>DECOR4237S7/C1</t>
  </si>
  <si>
    <t>DYON4154S7/C1</t>
  </si>
  <si>
    <t>DYON4154S7/C1A</t>
  </si>
  <si>
    <t>DYON4154S7E/C2</t>
  </si>
  <si>
    <t>DYON4190S7/C1</t>
  </si>
  <si>
    <t>DYON4191S7/C1</t>
  </si>
  <si>
    <t>EBONY4175S7/Y2</t>
  </si>
  <si>
    <t>ECROK4196S7/Y1</t>
  </si>
  <si>
    <t>ECROK4197S7/Y1</t>
  </si>
  <si>
    <t>EDWIN9068S7/L1</t>
  </si>
  <si>
    <t>EGADI4229S7/Y1</t>
  </si>
  <si>
    <t>EGEO4169S7/Y1</t>
  </si>
  <si>
    <t>EGLE4009S7/MH1</t>
  </si>
  <si>
    <t>EGLE4009S7/NH1</t>
  </si>
  <si>
    <t>ELCOR4059S7/MH1</t>
  </si>
  <si>
    <t>ELCOR4059S7/TH1</t>
  </si>
  <si>
    <t>ELDEW7198S7/Y1</t>
  </si>
  <si>
    <t>ELDEW7198S7E/Y2</t>
  </si>
  <si>
    <t>ELIDE4142S7/T1</t>
  </si>
  <si>
    <t>ETNA4094S7/Y1</t>
  </si>
  <si>
    <t>ETNA4094S7/Y3</t>
  </si>
  <si>
    <t>ETTOR2166S7/G1</t>
  </si>
  <si>
    <t>EVALD8208S7E/S2</t>
  </si>
  <si>
    <t>GALAD4120S7/CY1</t>
  </si>
  <si>
    <t>GALAD4120S7/SY1</t>
  </si>
  <si>
    <t>GALAD4122S7/SY1</t>
  </si>
  <si>
    <t>GALAD4123S7/CY1</t>
  </si>
  <si>
    <t>GALAD4123S7/CY2</t>
  </si>
  <si>
    <t>GALAD4149S6/TY2A</t>
  </si>
  <si>
    <t>GALAD4149S6/Y1A</t>
  </si>
  <si>
    <t>GALAD4184S7/CY1</t>
  </si>
  <si>
    <t>GALAD4185S7/CY1</t>
  </si>
  <si>
    <t>GALAN4105S7/TY1</t>
  </si>
  <si>
    <t>GALAN4105S7E/TY2</t>
  </si>
  <si>
    <t>GALAN4106S7/YT1</t>
  </si>
  <si>
    <t>GALAN4107S7/CL1</t>
  </si>
  <si>
    <t>GALAN4107S7/TY1</t>
  </si>
  <si>
    <t>GALAN4108S7/TY1</t>
  </si>
  <si>
    <t>GALAN4182S7/CY1</t>
  </si>
  <si>
    <t>GALAN4183S7/CY1</t>
  </si>
  <si>
    <t>GYNN4238S7/C1</t>
  </si>
  <si>
    <t>GYNN4238S7/T1</t>
  </si>
  <si>
    <t>GYNN4239S7/C1</t>
  </si>
  <si>
    <t>GYNNA4240S7/C1</t>
  </si>
  <si>
    <t>GYNNA4240S7/T1</t>
  </si>
  <si>
    <t>GYNNA4244S7/C1</t>
  </si>
  <si>
    <t>MARCS4137S7/C1</t>
  </si>
  <si>
    <t>MARCS4137S7/C1A</t>
  </si>
  <si>
    <t>MARCS4137S7E/C2</t>
  </si>
  <si>
    <t>MARCS4194S7/C1</t>
  </si>
  <si>
    <t>MELL4117S7/G1</t>
  </si>
  <si>
    <t>NOBIK4210S6/MH2</t>
  </si>
  <si>
    <t>NOBIL4044S6/NH1A</t>
  </si>
  <si>
    <t>NOBIL4090S7/NH1</t>
  </si>
  <si>
    <t>NOBIL4090S7E/CH2</t>
  </si>
  <si>
    <t>NOBIL4090S7E/NH2</t>
  </si>
  <si>
    <t>NOBIL4192S7/CH1</t>
  </si>
  <si>
    <t>NOBIL4241S7/CH2</t>
  </si>
  <si>
    <t>NOBIW4132S7/NH1</t>
  </si>
  <si>
    <t>NOBIW4193S7/CH1</t>
  </si>
  <si>
    <t>NOBIW4197S6/NH1A</t>
  </si>
  <si>
    <t>NOBIW4243S7/CH2</t>
  </si>
  <si>
    <t>RUMBA4187S7/C1</t>
  </si>
  <si>
    <t>RUMBO4186S7/C1</t>
  </si>
  <si>
    <t>SOLAD4188S7/C1</t>
  </si>
  <si>
    <t>SOLAN4189S7/C1</t>
  </si>
  <si>
    <t>TABRY4145S7/MY1</t>
  </si>
  <si>
    <t>TAREK4158S7/MH1</t>
  </si>
  <si>
    <t>TAREK4159S7/M1</t>
  </si>
  <si>
    <t>TAREW4086S7/MY1</t>
  </si>
  <si>
    <t>TOMAS4026S7/L1</t>
  </si>
  <si>
    <t>TOMAS4026S7E/S2</t>
  </si>
  <si>
    <t>TOSCA4062W7/L1</t>
  </si>
  <si>
    <t>TOSCA4062W7/S1</t>
  </si>
  <si>
    <t>TOSCA4064W7/S1</t>
  </si>
  <si>
    <t>TRIXY4155S7/YL1</t>
  </si>
  <si>
    <t>VAIAK4119S7/G1</t>
  </si>
  <si>
    <t>VAIAN4207S7/G1</t>
  </si>
  <si>
    <t>VAIAN4209S7/G1</t>
  </si>
  <si>
    <t>VAIAN4210S7/G1</t>
  </si>
  <si>
    <t>Totale complessivo</t>
  </si>
  <si>
    <t>RED</t>
  </si>
  <si>
    <t>CHANT4221S5/Y1B Totale</t>
  </si>
  <si>
    <t>WHI-GRE</t>
  </si>
  <si>
    <t>DARFO7327S6/MH1 Totale</t>
  </si>
  <si>
    <t>DARFW7328S6/MH1 Totale</t>
  </si>
  <si>
    <t>BLK</t>
  </si>
  <si>
    <t>DKBL</t>
  </si>
  <si>
    <t>GREY</t>
  </si>
  <si>
    <t>WHI</t>
  </si>
  <si>
    <t>DECOR4237S7/C1 Totale</t>
  </si>
  <si>
    <t>DYON4154S7/C1 Totale</t>
  </si>
  <si>
    <t>DYON4154S7/C1A Totale</t>
  </si>
  <si>
    <t>DYON4154S7E/C2 Totale</t>
  </si>
  <si>
    <t>AVIO</t>
  </si>
  <si>
    <t>FUX</t>
  </si>
  <si>
    <t>DYON4190S7/C1 Totale</t>
  </si>
  <si>
    <t>DYON4191S7/C1 Totale</t>
  </si>
  <si>
    <t>SIL</t>
  </si>
  <si>
    <t>SKBL</t>
  </si>
  <si>
    <t>EBONY4175S7/Y2 Totale</t>
  </si>
  <si>
    <t>ECROK4196S7/Y1 Totale</t>
  </si>
  <si>
    <t>ECROK4197S7/Y1 Totale</t>
  </si>
  <si>
    <t>BRW</t>
  </si>
  <si>
    <t>EDWIN9068S7/L1 Totale</t>
  </si>
  <si>
    <t>EGADI4229S7/Y1 Totale</t>
  </si>
  <si>
    <t>EGEO4169S7/Y1 Totale</t>
  </si>
  <si>
    <t>LIBL</t>
  </si>
  <si>
    <t>EGLE4009S7/MH1 Totale</t>
  </si>
  <si>
    <t>GOLD</t>
  </si>
  <si>
    <t>MILG</t>
  </si>
  <si>
    <t>EGLE4009S7/NH1 Totale</t>
  </si>
  <si>
    <t>ELCOR4059S7/MH1 Totale</t>
  </si>
  <si>
    <t>BLU</t>
  </si>
  <si>
    <t>ELCOR4059S7/TH1 Totale</t>
  </si>
  <si>
    <t>WHI-GOLD</t>
  </si>
  <si>
    <t>ELDEW7198S7/Y1 Totale</t>
  </si>
  <si>
    <t>ELDEW7198S7E/Y2 Totale</t>
  </si>
  <si>
    <t>ORA</t>
  </si>
  <si>
    <t>ELIDE4142S7/T1 Totale</t>
  </si>
  <si>
    <t>ETNA4094S7/Y1 Totale</t>
  </si>
  <si>
    <t>ETNA4094S7/Y3 Totale</t>
  </si>
  <si>
    <t>ETTOR2166S7/G1 Totale</t>
  </si>
  <si>
    <t>EVALD8208S7E/S2 Totale</t>
  </si>
  <si>
    <t>BEI</t>
  </si>
  <si>
    <t>GALAD4120S7/CY1 Totale</t>
  </si>
  <si>
    <t>GALAD4120S7/SY1 Totale</t>
  </si>
  <si>
    <t>GALAD4122S7/SY1 Totale</t>
  </si>
  <si>
    <t>GALAD4123S7/CY1 Totale</t>
  </si>
  <si>
    <t>GALAD4123S7/CY2 Totale</t>
  </si>
  <si>
    <t>IVORY</t>
  </si>
  <si>
    <t>GALAD4149S6/TY2A Totale</t>
  </si>
  <si>
    <t>BRON</t>
  </si>
  <si>
    <t>PLAT</t>
  </si>
  <si>
    <t>GALAD4149S6/Y1A Totale</t>
  </si>
  <si>
    <t>BLUE</t>
  </si>
  <si>
    <t>GALAD4184S7/CY1 Totale</t>
  </si>
  <si>
    <t>GALAD4185S7/CY1 Totale</t>
  </si>
  <si>
    <t>GALAN4105S7/TY1 Totale</t>
  </si>
  <si>
    <t>JEANS</t>
  </si>
  <si>
    <t>GALAN4105S7E/TY2 Totale</t>
  </si>
  <si>
    <t>GALAN4106S7/YT1 Totale</t>
  </si>
  <si>
    <t>GRE</t>
  </si>
  <si>
    <t>GALAN4107S7/CL1 Totale</t>
  </si>
  <si>
    <t>GALAN4107S7/TY1 Totale</t>
  </si>
  <si>
    <t>NAVY</t>
  </si>
  <si>
    <t>GALAN4108S7/TY1 Totale</t>
  </si>
  <si>
    <t>GALAN4182S7/CY1 Totale</t>
  </si>
  <si>
    <t>GALAN4183S7/CY1 Totale</t>
  </si>
  <si>
    <t>GYNN4238S7/C1 Totale</t>
  </si>
  <si>
    <t>GYNN4238S7/T1 Totale</t>
  </si>
  <si>
    <t>GYNN4239S7/C1 Totale</t>
  </si>
  <si>
    <t>PINK</t>
  </si>
  <si>
    <t>GYNNA4240S7/C1 Totale</t>
  </si>
  <si>
    <t>GYNNA4240S7/T1 Totale</t>
  </si>
  <si>
    <t>GYNNA4244S7/C1 Totale</t>
  </si>
  <si>
    <t>MARCS4137S7/C1 Totale</t>
  </si>
  <si>
    <t>MARCS4137S7/C1A Totale</t>
  </si>
  <si>
    <t>MARCS4137S7E/C2 Totale</t>
  </si>
  <si>
    <t>MARCS4194S7/C1 Totale</t>
  </si>
  <si>
    <t>MELL4117S7/G1 Totale</t>
  </si>
  <si>
    <t>WHI-BLU</t>
  </si>
  <si>
    <t>NOBIK4210S6/MH2 Totale</t>
  </si>
  <si>
    <t>NOBIL4044S6/NH1A Totale</t>
  </si>
  <si>
    <t>NOBIL4090S7/NH1 Totale</t>
  </si>
  <si>
    <t>NOBIL4090S7E/CH2 Totale</t>
  </si>
  <si>
    <t>NOBIL4090S7E/NH2 Totale</t>
  </si>
  <si>
    <t>NOBIL4192S7/CH1 Totale</t>
  </si>
  <si>
    <t>NOBIL4241S7/CH2 Totale</t>
  </si>
  <si>
    <t>NOBIW4132S7/NH1 Totale</t>
  </si>
  <si>
    <t>NOBIW4193S7/CH1 Totale</t>
  </si>
  <si>
    <t>NOBIW4197S6/NH1A Totale</t>
  </si>
  <si>
    <t>NOBIW4243S7/CH2 Totale</t>
  </si>
  <si>
    <t>RUMBA4187S7/C1 Totale</t>
  </si>
  <si>
    <t>RUMBO4186S7/C1 Totale</t>
  </si>
  <si>
    <t>SOLAD4188S7/C1 Totale</t>
  </si>
  <si>
    <t>SOLAN4189S7/C1 Totale</t>
  </si>
  <si>
    <t>TABRY4145S7/MY1 Totale</t>
  </si>
  <si>
    <t>TAREK4158S7/MH1 Totale</t>
  </si>
  <si>
    <t>TAREK4159S7/M1 Totale</t>
  </si>
  <si>
    <t>TAREW4086S7/MY1 Totale</t>
  </si>
  <si>
    <t>TOMAS4026S7/L1 Totale</t>
  </si>
  <si>
    <t>TAU</t>
  </si>
  <si>
    <t>TOMAS4026S7E/S2 Totale</t>
  </si>
  <si>
    <t>DKBR</t>
  </si>
  <si>
    <t>TOSCA4062W7/L1 Totale</t>
  </si>
  <si>
    <t>BRICK</t>
  </si>
  <si>
    <t>TOSCA4062W7/S1 Totale</t>
  </si>
  <si>
    <t>TOSCA4064W7/S1 Totale</t>
  </si>
  <si>
    <t>TRIXY4155S7/YL1 Totale</t>
  </si>
  <si>
    <t>VAIAK4119S7/G1 Totale</t>
  </si>
  <si>
    <t>RED-DKBL</t>
  </si>
  <si>
    <t>VAIAN4207S7/G1 Totale</t>
  </si>
  <si>
    <t>YEL</t>
  </si>
  <si>
    <t>VAIAN4209S7/G1 Totale</t>
  </si>
  <si>
    <t>VAIAN4210S7/G1 Totale</t>
  </si>
  <si>
    <t>R12 USPA</t>
  </si>
  <si>
    <t>C12 USPA</t>
  </si>
  <si>
    <t>36</t>
  </si>
  <si>
    <t>37</t>
  </si>
  <si>
    <t>38</t>
  </si>
  <si>
    <t>D12 USPA</t>
  </si>
  <si>
    <t>39</t>
  </si>
  <si>
    <t>40</t>
  </si>
  <si>
    <t>41</t>
  </si>
  <si>
    <t>28</t>
  </si>
  <si>
    <t>29</t>
  </si>
  <si>
    <t>30</t>
  </si>
  <si>
    <t>31</t>
  </si>
  <si>
    <t>32</t>
  </si>
  <si>
    <t>33</t>
  </si>
  <si>
    <t>34</t>
  </si>
  <si>
    <t>35</t>
  </si>
  <si>
    <t>Q12 USPA</t>
  </si>
  <si>
    <t>43</t>
  </si>
  <si>
    <t>A8 USPA</t>
  </si>
  <si>
    <t>K8 USPA</t>
  </si>
  <si>
    <t>E8 USPA</t>
  </si>
  <si>
    <t>42</t>
  </si>
  <si>
    <t>44</t>
  </si>
  <si>
    <t>45</t>
  </si>
  <si>
    <t>X12 USPA</t>
  </si>
  <si>
    <t>46</t>
  </si>
  <si>
    <t>Totale</t>
  </si>
  <si>
    <t>Somma di paia</t>
  </si>
  <si>
    <t>IMMAGINE</t>
  </si>
  <si>
    <t>US POLO SUMMER SEASON- MEN AND WOMEN COLLECTION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</si>
</sst>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NumberFormat="1" applyFont="1" applyFill="1" applyBorder="1" applyAlignment="1" applyProtection="1"/>
    <xf numFmtId="0" fontId="0" fillId="0" borderId="2" xfId="0" applyBorder="1"/>
    <xf numFmtId="0" fontId="0" fillId="0" borderId="3" xfId="0" applyNumberFormat="1" applyBorder="1"/>
    <xf numFmtId="0" fontId="0" fillId="0" borderId="0" xfId="0" applyBorder="1"/>
    <xf numFmtId="0" fontId="0" fillId="0" borderId="4" xfId="0" applyNumberFormat="1" applyBorder="1"/>
    <xf numFmtId="0" fontId="0" fillId="0" borderId="6" xfId="0" applyBorder="1"/>
    <xf numFmtId="0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10" xfId="0" applyNumberForma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3" fillId="0" borderId="0" xfId="0" applyFont="1" applyBorder="1" applyAlignment="1">
      <alignment horizontal="center"/>
    </xf>
    <xf numFmtId="0" fontId="2" fillId="2" borderId="1" xfId="0" applyFont="1" applyFill="1" applyBorder="1"/>
    <xf numFmtId="0" fontId="0" fillId="0" borderId="2" xfId="0" pivotButton="1" applyBorder="1"/>
    <xf numFmtId="0" fontId="0" fillId="0" borderId="3" xfId="0" applyBorder="1"/>
    <xf numFmtId="0" fontId="2" fillId="2" borderId="5" xfId="0" applyFont="1" applyFill="1" applyBorder="1"/>
    <xf numFmtId="0" fontId="0" fillId="0" borderId="6" xfId="0" pivotButton="1" applyBorder="1"/>
    <xf numFmtId="0" fontId="0" fillId="0" borderId="7" xfId="0" applyBorder="1"/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</cellXfs>
  <cellStyles count="1">
    <cellStyle name="Normal" xfId="0" builtinId="0"/>
  </cellStyles>
  <dxfs count="282"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6" Type="http://schemas.openxmlformats.org/officeDocument/2006/relationships/image" Target="../media/image76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97" Type="http://schemas.openxmlformats.org/officeDocument/2006/relationships/image" Target="../media/image97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57150</xdr:rowOff>
    </xdr:from>
    <xdr:to>
      <xdr:col>0</xdr:col>
      <xdr:colOff>1809750</xdr:colOff>
      <xdr:row>9</xdr:row>
      <xdr:rowOff>38100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1915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11</xdr:row>
      <xdr:rowOff>104775</xdr:rowOff>
    </xdr:from>
    <xdr:to>
      <xdr:col>0</xdr:col>
      <xdr:colOff>1857375</xdr:colOff>
      <xdr:row>13</xdr:row>
      <xdr:rowOff>9525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26860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1704975</xdr:colOff>
      <xdr:row>42</xdr:row>
      <xdr:rowOff>1419225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20140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41</xdr:row>
      <xdr:rowOff>133350</xdr:rowOff>
    </xdr:from>
    <xdr:to>
      <xdr:col>0</xdr:col>
      <xdr:colOff>1762125</xdr:colOff>
      <xdr:row>41</xdr:row>
      <xdr:rowOff>1552575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925830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1704975</xdr:colOff>
      <xdr:row>106</xdr:row>
      <xdr:rowOff>1419225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57079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142</xdr:row>
      <xdr:rowOff>171450</xdr:rowOff>
    </xdr:from>
    <xdr:to>
      <xdr:col>0</xdr:col>
      <xdr:colOff>1800225</xdr:colOff>
      <xdr:row>144</xdr:row>
      <xdr:rowOff>9525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35728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140</xdr:row>
      <xdr:rowOff>228600</xdr:rowOff>
    </xdr:from>
    <xdr:to>
      <xdr:col>0</xdr:col>
      <xdr:colOff>1914525</xdr:colOff>
      <xdr:row>140</xdr:row>
      <xdr:rowOff>1647825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" y="3380422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1704975</xdr:colOff>
      <xdr:row>148</xdr:row>
      <xdr:rowOff>38100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890010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154</xdr:row>
      <xdr:rowOff>95250</xdr:rowOff>
    </xdr:from>
    <xdr:to>
      <xdr:col>0</xdr:col>
      <xdr:colOff>1933575</xdr:colOff>
      <xdr:row>155</xdr:row>
      <xdr:rowOff>1323975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600" y="4271010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151</xdr:row>
      <xdr:rowOff>152400</xdr:rowOff>
    </xdr:from>
    <xdr:to>
      <xdr:col>0</xdr:col>
      <xdr:colOff>1752600</xdr:colOff>
      <xdr:row>153</xdr:row>
      <xdr:rowOff>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4100512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1704975</xdr:colOff>
      <xdr:row>157</xdr:row>
      <xdr:rowOff>38100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441864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163</xdr:row>
      <xdr:rowOff>1323975</xdr:rowOff>
    </xdr:from>
    <xdr:to>
      <xdr:col>0</xdr:col>
      <xdr:colOff>1866900</xdr:colOff>
      <xdr:row>165</xdr:row>
      <xdr:rowOff>85725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1925" y="4772025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159</xdr:row>
      <xdr:rowOff>76200</xdr:rowOff>
    </xdr:from>
    <xdr:to>
      <xdr:col>0</xdr:col>
      <xdr:colOff>1857375</xdr:colOff>
      <xdr:row>160</xdr:row>
      <xdr:rowOff>1304925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2400" y="457104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34</xdr:row>
      <xdr:rowOff>161925</xdr:rowOff>
    </xdr:from>
    <xdr:to>
      <xdr:col>0</xdr:col>
      <xdr:colOff>1857375</xdr:colOff>
      <xdr:row>34</xdr:row>
      <xdr:rowOff>1276350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2400" y="79533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16</xdr:row>
      <xdr:rowOff>152400</xdr:rowOff>
    </xdr:from>
    <xdr:to>
      <xdr:col>0</xdr:col>
      <xdr:colOff>1819275</xdr:colOff>
      <xdr:row>16</xdr:row>
      <xdr:rowOff>1266825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4300" y="45148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28</xdr:row>
      <xdr:rowOff>228600</xdr:rowOff>
    </xdr:from>
    <xdr:to>
      <xdr:col>0</xdr:col>
      <xdr:colOff>1752600</xdr:colOff>
      <xdr:row>29</xdr:row>
      <xdr:rowOff>9525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80200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22</xdr:row>
      <xdr:rowOff>85725</xdr:rowOff>
    </xdr:from>
    <xdr:to>
      <xdr:col>0</xdr:col>
      <xdr:colOff>1838325</xdr:colOff>
      <xdr:row>22</xdr:row>
      <xdr:rowOff>1200150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3350" y="67341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44</xdr:row>
      <xdr:rowOff>142875</xdr:rowOff>
    </xdr:from>
    <xdr:to>
      <xdr:col>0</xdr:col>
      <xdr:colOff>1800225</xdr:colOff>
      <xdr:row>44</xdr:row>
      <xdr:rowOff>1257300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1748790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116</xdr:row>
      <xdr:rowOff>47625</xdr:rowOff>
    </xdr:from>
    <xdr:to>
      <xdr:col>1</xdr:col>
      <xdr:colOff>9525</xdr:colOff>
      <xdr:row>117</xdr:row>
      <xdr:rowOff>1276350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66700" y="3445192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1704975</xdr:colOff>
      <xdr:row>129</xdr:row>
      <xdr:rowOff>85725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783330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144</xdr:row>
      <xdr:rowOff>133350</xdr:rowOff>
    </xdr:from>
    <xdr:to>
      <xdr:col>0</xdr:col>
      <xdr:colOff>1809750</xdr:colOff>
      <xdr:row>145</xdr:row>
      <xdr:rowOff>1362075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75" y="4495800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1704975</xdr:colOff>
      <xdr:row>167</xdr:row>
      <xdr:rowOff>85725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572547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1704975</xdr:colOff>
      <xdr:row>169</xdr:row>
      <xdr:rowOff>85725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587787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172</xdr:row>
      <xdr:rowOff>142875</xdr:rowOff>
    </xdr:from>
    <xdr:to>
      <xdr:col>0</xdr:col>
      <xdr:colOff>1847850</xdr:colOff>
      <xdr:row>172</xdr:row>
      <xdr:rowOff>1257300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42875" y="619696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181</xdr:row>
      <xdr:rowOff>0</xdr:rowOff>
    </xdr:from>
    <xdr:to>
      <xdr:col>0</xdr:col>
      <xdr:colOff>1828800</xdr:colOff>
      <xdr:row>182</xdr:row>
      <xdr:rowOff>85725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3825" y="63541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219075</xdr:colOff>
      <xdr:row>188</xdr:row>
      <xdr:rowOff>161925</xdr:rowOff>
    </xdr:from>
    <xdr:to>
      <xdr:col>0</xdr:col>
      <xdr:colOff>1924050</xdr:colOff>
      <xdr:row>190</xdr:row>
      <xdr:rowOff>57150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9075" y="6617970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223</xdr:row>
      <xdr:rowOff>123825</xdr:rowOff>
    </xdr:from>
    <xdr:to>
      <xdr:col>0</xdr:col>
      <xdr:colOff>1885950</xdr:colOff>
      <xdr:row>223</xdr:row>
      <xdr:rowOff>1238250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0975" y="7395210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224</xdr:row>
      <xdr:rowOff>180975</xdr:rowOff>
    </xdr:from>
    <xdr:to>
      <xdr:col>0</xdr:col>
      <xdr:colOff>1914525</xdr:colOff>
      <xdr:row>224</xdr:row>
      <xdr:rowOff>1295400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9550" y="753427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226</xdr:row>
      <xdr:rowOff>123825</xdr:rowOff>
    </xdr:from>
    <xdr:to>
      <xdr:col>0</xdr:col>
      <xdr:colOff>1847850</xdr:colOff>
      <xdr:row>226</xdr:row>
      <xdr:rowOff>1238250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2875" y="7680960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227</xdr:row>
      <xdr:rowOff>114300</xdr:rowOff>
    </xdr:from>
    <xdr:to>
      <xdr:col>0</xdr:col>
      <xdr:colOff>1771650</xdr:colOff>
      <xdr:row>227</xdr:row>
      <xdr:rowOff>1228725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6675" y="781335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276</xdr:row>
      <xdr:rowOff>76200</xdr:rowOff>
    </xdr:from>
    <xdr:to>
      <xdr:col>0</xdr:col>
      <xdr:colOff>1809750</xdr:colOff>
      <xdr:row>276</xdr:row>
      <xdr:rowOff>1190625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775" y="885729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286</xdr:row>
      <xdr:rowOff>104775</xdr:rowOff>
    </xdr:from>
    <xdr:to>
      <xdr:col>0</xdr:col>
      <xdr:colOff>1885950</xdr:colOff>
      <xdr:row>288</xdr:row>
      <xdr:rowOff>0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0975" y="9164955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295</xdr:row>
      <xdr:rowOff>28575</xdr:rowOff>
    </xdr:from>
    <xdr:to>
      <xdr:col>0</xdr:col>
      <xdr:colOff>1828800</xdr:colOff>
      <xdr:row>295</xdr:row>
      <xdr:rowOff>1143000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3825" y="944308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1704975</xdr:colOff>
      <xdr:row>299</xdr:row>
      <xdr:rowOff>85725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961167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300</xdr:row>
      <xdr:rowOff>0</xdr:rowOff>
    </xdr:from>
    <xdr:to>
      <xdr:col>1</xdr:col>
      <xdr:colOff>0</xdr:colOff>
      <xdr:row>301</xdr:row>
      <xdr:rowOff>1228725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57175" y="976407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308</xdr:row>
      <xdr:rowOff>19050</xdr:rowOff>
    </xdr:from>
    <xdr:to>
      <xdr:col>0</xdr:col>
      <xdr:colOff>1809750</xdr:colOff>
      <xdr:row>309</xdr:row>
      <xdr:rowOff>104775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4775" y="10146982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305</xdr:row>
      <xdr:rowOff>142875</xdr:rowOff>
    </xdr:from>
    <xdr:to>
      <xdr:col>0</xdr:col>
      <xdr:colOff>1866900</xdr:colOff>
      <xdr:row>307</xdr:row>
      <xdr:rowOff>38100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61925" y="9987915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307</xdr:row>
      <xdr:rowOff>0</xdr:rowOff>
    </xdr:from>
    <xdr:to>
      <xdr:col>0</xdr:col>
      <xdr:colOff>1933575</xdr:colOff>
      <xdr:row>308</xdr:row>
      <xdr:rowOff>85725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28600" y="101260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311</xdr:row>
      <xdr:rowOff>76200</xdr:rowOff>
    </xdr:from>
    <xdr:to>
      <xdr:col>0</xdr:col>
      <xdr:colOff>1790700</xdr:colOff>
      <xdr:row>312</xdr:row>
      <xdr:rowOff>1304925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5725" y="1043844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312</xdr:row>
      <xdr:rowOff>1181100</xdr:rowOff>
    </xdr:from>
    <xdr:to>
      <xdr:col>0</xdr:col>
      <xdr:colOff>1905000</xdr:colOff>
      <xdr:row>313</xdr:row>
      <xdr:rowOff>1266825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00025" y="1056798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331</xdr:row>
      <xdr:rowOff>76200</xdr:rowOff>
    </xdr:from>
    <xdr:to>
      <xdr:col>0</xdr:col>
      <xdr:colOff>1790700</xdr:colOff>
      <xdr:row>331</xdr:row>
      <xdr:rowOff>1190625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5725" y="1104804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325</xdr:row>
      <xdr:rowOff>180975</xdr:rowOff>
    </xdr:from>
    <xdr:to>
      <xdr:col>0</xdr:col>
      <xdr:colOff>1885950</xdr:colOff>
      <xdr:row>326</xdr:row>
      <xdr:rowOff>1104900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" y="1094422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0</xdr:col>
      <xdr:colOff>1704975</xdr:colOff>
      <xdr:row>370</xdr:row>
      <xdr:rowOff>1114425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201197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378</xdr:row>
      <xdr:rowOff>142875</xdr:rowOff>
    </xdr:from>
    <xdr:to>
      <xdr:col>0</xdr:col>
      <xdr:colOff>1866900</xdr:colOff>
      <xdr:row>378</xdr:row>
      <xdr:rowOff>1257300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61925" y="1229296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0</xdr:col>
      <xdr:colOff>1704975</xdr:colOff>
      <xdr:row>373</xdr:row>
      <xdr:rowOff>1114425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218342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370</xdr:row>
      <xdr:rowOff>1304925</xdr:rowOff>
    </xdr:from>
    <xdr:to>
      <xdr:col>0</xdr:col>
      <xdr:colOff>1819275</xdr:colOff>
      <xdr:row>371</xdr:row>
      <xdr:rowOff>1085850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4300" y="12142470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1704975</xdr:colOff>
      <xdr:row>384</xdr:row>
      <xdr:rowOff>1114425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273587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390</xdr:row>
      <xdr:rowOff>114300</xdr:rowOff>
    </xdr:from>
    <xdr:to>
      <xdr:col>0</xdr:col>
      <xdr:colOff>1828800</xdr:colOff>
      <xdr:row>390</xdr:row>
      <xdr:rowOff>1228725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3825" y="1297590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396</xdr:row>
      <xdr:rowOff>85725</xdr:rowOff>
    </xdr:from>
    <xdr:to>
      <xdr:col>0</xdr:col>
      <xdr:colOff>1809750</xdr:colOff>
      <xdr:row>396</xdr:row>
      <xdr:rowOff>1200150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4775" y="13201650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403</xdr:row>
      <xdr:rowOff>133350</xdr:rowOff>
    </xdr:from>
    <xdr:to>
      <xdr:col>0</xdr:col>
      <xdr:colOff>1790700</xdr:colOff>
      <xdr:row>403</xdr:row>
      <xdr:rowOff>1247775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5725" y="13454062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397</xdr:row>
      <xdr:rowOff>114300</xdr:rowOff>
    </xdr:from>
    <xdr:to>
      <xdr:col>0</xdr:col>
      <xdr:colOff>1781175</xdr:colOff>
      <xdr:row>397</xdr:row>
      <xdr:rowOff>1228725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6200" y="1333785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408</xdr:row>
      <xdr:rowOff>180975</xdr:rowOff>
    </xdr:from>
    <xdr:to>
      <xdr:col>0</xdr:col>
      <xdr:colOff>1800225</xdr:colOff>
      <xdr:row>409</xdr:row>
      <xdr:rowOff>1104900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0" y="1378267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412</xdr:row>
      <xdr:rowOff>133350</xdr:rowOff>
    </xdr:from>
    <xdr:to>
      <xdr:col>0</xdr:col>
      <xdr:colOff>1809750</xdr:colOff>
      <xdr:row>412</xdr:row>
      <xdr:rowOff>1247775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4775" y="13968412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414</xdr:row>
      <xdr:rowOff>95250</xdr:rowOff>
    </xdr:from>
    <xdr:to>
      <xdr:col>0</xdr:col>
      <xdr:colOff>1819275</xdr:colOff>
      <xdr:row>415</xdr:row>
      <xdr:rowOff>1323975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4300" y="14117002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0</xdr:col>
      <xdr:colOff>1704975</xdr:colOff>
      <xdr:row>427</xdr:row>
      <xdr:rowOff>1114425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446942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417</xdr:row>
      <xdr:rowOff>114300</xdr:rowOff>
    </xdr:from>
    <xdr:to>
      <xdr:col>0</xdr:col>
      <xdr:colOff>1828800</xdr:colOff>
      <xdr:row>417</xdr:row>
      <xdr:rowOff>1228725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3825" y="1429035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422</xdr:row>
      <xdr:rowOff>76200</xdr:rowOff>
    </xdr:from>
    <xdr:to>
      <xdr:col>0</xdr:col>
      <xdr:colOff>1819275</xdr:colOff>
      <xdr:row>422</xdr:row>
      <xdr:rowOff>1190625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4300" y="1449609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436</xdr:row>
      <xdr:rowOff>104775</xdr:rowOff>
    </xdr:from>
    <xdr:to>
      <xdr:col>0</xdr:col>
      <xdr:colOff>1762125</xdr:colOff>
      <xdr:row>436</xdr:row>
      <xdr:rowOff>1219200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150" y="1499425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432</xdr:row>
      <xdr:rowOff>104775</xdr:rowOff>
    </xdr:from>
    <xdr:to>
      <xdr:col>0</xdr:col>
      <xdr:colOff>1781175</xdr:colOff>
      <xdr:row>432</xdr:row>
      <xdr:rowOff>1219200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6200" y="1491805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434</xdr:row>
      <xdr:rowOff>66675</xdr:rowOff>
    </xdr:from>
    <xdr:to>
      <xdr:col>0</xdr:col>
      <xdr:colOff>1847850</xdr:colOff>
      <xdr:row>434</xdr:row>
      <xdr:rowOff>1181100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2875" y="1506664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0</xdr:col>
      <xdr:colOff>1704975</xdr:colOff>
      <xdr:row>433</xdr:row>
      <xdr:rowOff>1114425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1504092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0</xdr:col>
      <xdr:colOff>1704975</xdr:colOff>
      <xdr:row>460</xdr:row>
      <xdr:rowOff>85725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158791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0</xdr:col>
      <xdr:colOff>1704975</xdr:colOff>
      <xdr:row>466</xdr:row>
      <xdr:rowOff>85725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161077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467</xdr:row>
      <xdr:rowOff>228600</xdr:rowOff>
    </xdr:from>
    <xdr:to>
      <xdr:col>0</xdr:col>
      <xdr:colOff>1790700</xdr:colOff>
      <xdr:row>468</xdr:row>
      <xdr:rowOff>9525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5725" y="1628298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468</xdr:row>
      <xdr:rowOff>57150</xdr:rowOff>
    </xdr:from>
    <xdr:to>
      <xdr:col>0</xdr:col>
      <xdr:colOff>1838325</xdr:colOff>
      <xdr:row>469</xdr:row>
      <xdr:rowOff>1285875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33350" y="16399192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474</xdr:row>
      <xdr:rowOff>161925</xdr:rowOff>
    </xdr:from>
    <xdr:to>
      <xdr:col>0</xdr:col>
      <xdr:colOff>1885950</xdr:colOff>
      <xdr:row>474</xdr:row>
      <xdr:rowOff>1276350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0975" y="16638270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489</xdr:row>
      <xdr:rowOff>95250</xdr:rowOff>
    </xdr:from>
    <xdr:to>
      <xdr:col>0</xdr:col>
      <xdr:colOff>1743075</xdr:colOff>
      <xdr:row>489</xdr:row>
      <xdr:rowOff>1209675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8100" y="17031652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486</xdr:row>
      <xdr:rowOff>57150</xdr:rowOff>
    </xdr:from>
    <xdr:to>
      <xdr:col>0</xdr:col>
      <xdr:colOff>1866900</xdr:colOff>
      <xdr:row>486</xdr:row>
      <xdr:rowOff>1171575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61925" y="16970692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0</xdr:col>
      <xdr:colOff>1704975</xdr:colOff>
      <xdr:row>493</xdr:row>
      <xdr:rowOff>85725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1730787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497</xdr:row>
      <xdr:rowOff>85725</xdr:rowOff>
    </xdr:from>
    <xdr:to>
      <xdr:col>0</xdr:col>
      <xdr:colOff>1743075</xdr:colOff>
      <xdr:row>498</xdr:row>
      <xdr:rowOff>1314450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8100" y="17526000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219075</xdr:colOff>
      <xdr:row>522</xdr:row>
      <xdr:rowOff>190500</xdr:rowOff>
    </xdr:from>
    <xdr:to>
      <xdr:col>0</xdr:col>
      <xdr:colOff>1924050</xdr:colOff>
      <xdr:row>522</xdr:row>
      <xdr:rowOff>1304925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9075" y="1824132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517</xdr:row>
      <xdr:rowOff>0</xdr:rowOff>
    </xdr:from>
    <xdr:to>
      <xdr:col>0</xdr:col>
      <xdr:colOff>1704975</xdr:colOff>
      <xdr:row>517</xdr:row>
      <xdr:rowOff>1114425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1812702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0</xdr:col>
      <xdr:colOff>1704975</xdr:colOff>
      <xdr:row>514</xdr:row>
      <xdr:rowOff>1114425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1795557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528</xdr:row>
      <xdr:rowOff>133350</xdr:rowOff>
    </xdr:from>
    <xdr:to>
      <xdr:col>0</xdr:col>
      <xdr:colOff>1819275</xdr:colOff>
      <xdr:row>528</xdr:row>
      <xdr:rowOff>1247775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14300" y="18578512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524</xdr:row>
      <xdr:rowOff>76200</xdr:rowOff>
    </xdr:from>
    <xdr:to>
      <xdr:col>0</xdr:col>
      <xdr:colOff>1828800</xdr:colOff>
      <xdr:row>524</xdr:row>
      <xdr:rowOff>1190625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23825" y="1849659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548</xdr:row>
      <xdr:rowOff>209550</xdr:rowOff>
    </xdr:from>
    <xdr:to>
      <xdr:col>0</xdr:col>
      <xdr:colOff>1762125</xdr:colOff>
      <xdr:row>548</xdr:row>
      <xdr:rowOff>1323975</xdr:rowOff>
    </xdr:to>
    <xdr:pic>
      <xdr:nvPicPr>
        <xdr:cNvPr id="110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7150" y="19195732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0</xdr:col>
      <xdr:colOff>1704975</xdr:colOff>
      <xdr:row>535</xdr:row>
      <xdr:rowOff>1114425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1892712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553</xdr:row>
      <xdr:rowOff>104775</xdr:rowOff>
    </xdr:from>
    <xdr:to>
      <xdr:col>0</xdr:col>
      <xdr:colOff>1714500</xdr:colOff>
      <xdr:row>553</xdr:row>
      <xdr:rowOff>1219200</xdr:rowOff>
    </xdr:to>
    <xdr:pic>
      <xdr:nvPicPr>
        <xdr:cNvPr id="110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" y="196234050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595</xdr:row>
      <xdr:rowOff>57150</xdr:rowOff>
    </xdr:from>
    <xdr:to>
      <xdr:col>0</xdr:col>
      <xdr:colOff>1724025</xdr:colOff>
      <xdr:row>595</xdr:row>
      <xdr:rowOff>1171575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9050" y="20647342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0</xdr:col>
      <xdr:colOff>1704975</xdr:colOff>
      <xdr:row>573</xdr:row>
      <xdr:rowOff>1114425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20108227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599</xdr:row>
      <xdr:rowOff>133350</xdr:rowOff>
    </xdr:from>
    <xdr:to>
      <xdr:col>0</xdr:col>
      <xdr:colOff>1809750</xdr:colOff>
      <xdr:row>599</xdr:row>
      <xdr:rowOff>1247775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04775" y="208454625"/>
          <a:ext cx="17049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632</xdr:row>
      <xdr:rowOff>0</xdr:rowOff>
    </xdr:from>
    <xdr:to>
      <xdr:col>0</xdr:col>
      <xdr:colOff>1704975</xdr:colOff>
      <xdr:row>633</xdr:row>
      <xdr:rowOff>85725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2157507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626</xdr:row>
      <xdr:rowOff>171450</xdr:rowOff>
    </xdr:from>
    <xdr:to>
      <xdr:col>0</xdr:col>
      <xdr:colOff>1847850</xdr:colOff>
      <xdr:row>628</xdr:row>
      <xdr:rowOff>1209675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42875" y="21477922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629</xdr:row>
      <xdr:rowOff>0</xdr:rowOff>
    </xdr:from>
    <xdr:to>
      <xdr:col>0</xdr:col>
      <xdr:colOff>1704975</xdr:colOff>
      <xdr:row>630</xdr:row>
      <xdr:rowOff>85725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216322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633</xdr:row>
      <xdr:rowOff>85725</xdr:rowOff>
    </xdr:from>
    <xdr:to>
      <xdr:col>0</xdr:col>
      <xdr:colOff>1781175</xdr:colOff>
      <xdr:row>634</xdr:row>
      <xdr:rowOff>1314450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6200" y="21945600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0</xdr:col>
      <xdr:colOff>1704975</xdr:colOff>
      <xdr:row>644</xdr:row>
      <xdr:rowOff>85725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222418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659</xdr:row>
      <xdr:rowOff>0</xdr:rowOff>
    </xdr:from>
    <xdr:to>
      <xdr:col>0</xdr:col>
      <xdr:colOff>1704975</xdr:colOff>
      <xdr:row>660</xdr:row>
      <xdr:rowOff>85725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226609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661</xdr:row>
      <xdr:rowOff>0</xdr:rowOff>
    </xdr:from>
    <xdr:to>
      <xdr:col>0</xdr:col>
      <xdr:colOff>1704975</xdr:colOff>
      <xdr:row>662</xdr:row>
      <xdr:rowOff>85725</xdr:rowOff>
    </xdr:to>
    <xdr:pic>
      <xdr:nvPicPr>
        <xdr:cNvPr id="1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28133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672</xdr:row>
      <xdr:rowOff>0</xdr:rowOff>
    </xdr:from>
    <xdr:to>
      <xdr:col>0</xdr:col>
      <xdr:colOff>1704975</xdr:colOff>
      <xdr:row>673</xdr:row>
      <xdr:rowOff>85725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2313717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669</xdr:row>
      <xdr:rowOff>123825</xdr:rowOff>
    </xdr:from>
    <xdr:to>
      <xdr:col>0</xdr:col>
      <xdr:colOff>1762125</xdr:colOff>
      <xdr:row>671</xdr:row>
      <xdr:rowOff>1162050</xdr:rowOff>
    </xdr:to>
    <xdr:pic>
      <xdr:nvPicPr>
        <xdr:cNvPr id="1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7150" y="23092410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683</xdr:row>
      <xdr:rowOff>0</xdr:rowOff>
    </xdr:from>
    <xdr:to>
      <xdr:col>0</xdr:col>
      <xdr:colOff>1704975</xdr:colOff>
      <xdr:row>684</xdr:row>
      <xdr:rowOff>85725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235753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679</xdr:row>
      <xdr:rowOff>0</xdr:rowOff>
    </xdr:from>
    <xdr:to>
      <xdr:col>0</xdr:col>
      <xdr:colOff>1704975</xdr:colOff>
      <xdr:row>680</xdr:row>
      <xdr:rowOff>85725</xdr:rowOff>
    </xdr:to>
    <xdr:pic>
      <xdr:nvPicPr>
        <xdr:cNvPr id="11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234991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689</xdr:row>
      <xdr:rowOff>0</xdr:rowOff>
    </xdr:from>
    <xdr:to>
      <xdr:col>0</xdr:col>
      <xdr:colOff>1704975</xdr:colOff>
      <xdr:row>690</xdr:row>
      <xdr:rowOff>85725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239182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695</xdr:row>
      <xdr:rowOff>1314450</xdr:rowOff>
    </xdr:from>
    <xdr:to>
      <xdr:col>0</xdr:col>
      <xdr:colOff>1790700</xdr:colOff>
      <xdr:row>697</xdr:row>
      <xdr:rowOff>1209675</xdr:rowOff>
    </xdr:to>
    <xdr:pic>
      <xdr:nvPicPr>
        <xdr:cNvPr id="111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85725" y="24278272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695</xdr:row>
      <xdr:rowOff>0</xdr:rowOff>
    </xdr:from>
    <xdr:to>
      <xdr:col>0</xdr:col>
      <xdr:colOff>1704975</xdr:colOff>
      <xdr:row>696</xdr:row>
      <xdr:rowOff>85725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241468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740</xdr:row>
      <xdr:rowOff>0</xdr:rowOff>
    </xdr:from>
    <xdr:to>
      <xdr:col>0</xdr:col>
      <xdr:colOff>1704975</xdr:colOff>
      <xdr:row>741</xdr:row>
      <xdr:rowOff>85725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2523267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716</xdr:row>
      <xdr:rowOff>0</xdr:rowOff>
    </xdr:from>
    <xdr:to>
      <xdr:col>0</xdr:col>
      <xdr:colOff>1704975</xdr:colOff>
      <xdr:row>717</xdr:row>
      <xdr:rowOff>85725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2477547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726</xdr:row>
      <xdr:rowOff>0</xdr:rowOff>
    </xdr:from>
    <xdr:to>
      <xdr:col>0</xdr:col>
      <xdr:colOff>1704975</xdr:colOff>
      <xdr:row>727</xdr:row>
      <xdr:rowOff>85725</xdr:rowOff>
    </xdr:to>
    <xdr:pic>
      <xdr:nvPicPr>
        <xdr:cNvPr id="112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2508027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743</xdr:row>
      <xdr:rowOff>0</xdr:rowOff>
    </xdr:from>
    <xdr:to>
      <xdr:col>0</xdr:col>
      <xdr:colOff>1704975</xdr:colOff>
      <xdr:row>744</xdr:row>
      <xdr:rowOff>85725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256327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705</xdr:row>
      <xdr:rowOff>0</xdr:rowOff>
    </xdr:from>
    <xdr:to>
      <xdr:col>0</xdr:col>
      <xdr:colOff>1704975</xdr:colOff>
      <xdr:row>706</xdr:row>
      <xdr:rowOff>85725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2456592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733</xdr:row>
      <xdr:rowOff>47625</xdr:rowOff>
    </xdr:from>
    <xdr:to>
      <xdr:col>0</xdr:col>
      <xdr:colOff>1809750</xdr:colOff>
      <xdr:row>734</xdr:row>
      <xdr:rowOff>1276350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4775" y="254469900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750</xdr:row>
      <xdr:rowOff>0</xdr:rowOff>
    </xdr:from>
    <xdr:to>
      <xdr:col>0</xdr:col>
      <xdr:colOff>1704975</xdr:colOff>
      <xdr:row>751</xdr:row>
      <xdr:rowOff>85725</xdr:rowOff>
    </xdr:to>
    <xdr:pic>
      <xdr:nvPicPr>
        <xdr:cNvPr id="112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261089775"/>
          <a:ext cx="1704975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1704975</xdr:colOff>
      <xdr:row>48</xdr:row>
      <xdr:rowOff>114300</xdr:rowOff>
    </xdr:to>
    <xdr:pic>
      <xdr:nvPicPr>
        <xdr:cNvPr id="10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19059525"/>
          <a:ext cx="1704975" cy="1114425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icola.toscan" refreshedDate="43105.708003472224" createdVersion="3" refreshedVersion="3" minRefreshableVersion="3" recordCount="2158">
  <cacheSource type="worksheet">
    <worksheetSource ref="A1:BR2159" sheet="Foglio1"/>
  </cacheSource>
  <cacheFields count="70">
    <cacheField name="Codice Riservato" numFmtId="0">
      <sharedItems containsNonDate="0" containsString="0" containsBlank="1"/>
    </cacheField>
    <cacheField name="Codice Cella" numFmtId="0">
      <sharedItems containsSemiMixedTypes="0" containsString="0" containsNumber="1" containsInteger="1" minValue="1732" maxValue="2572"/>
    </cacheField>
    <cacheField name="Codice Articolo" numFmtId="0">
      <sharedItems count="83">
        <s v="SOLAN4189S7/C1"/>
        <s v="NOBIW4193S7/CH1"/>
        <s v="GALAN4108S7/TY1"/>
        <s v="GALAN4106S7/YT1"/>
        <s v="GALAN4107S7/TY1"/>
        <s v="GALAD4123S7/CY1"/>
        <s v="TRIXY4155S7/YL1"/>
        <s v="NOBIK4210S6/MH2"/>
        <s v="MARCS4137S7/C1"/>
        <s v="ELCOR4059S7/TH1"/>
        <s v="TABRY4145S7/MY1"/>
        <s v="GALAN4107S7/CL1"/>
        <s v="MARCS4137S7E/C2"/>
        <s v="NOBIL4090S7E/CH2"/>
        <s v="NOBIL4090S7E/NH2"/>
        <s v="TAREW4086S7/MY1"/>
        <s v="CHANT4221S5/Y1B"/>
        <s v="EGADI4229S7/Y1"/>
        <s v="ELIDE4142S7/T1"/>
        <s v="ETNA4094S7/Y1"/>
        <s v="ETNA4094S7/Y3"/>
        <s v="VAIAN4209S7/G1"/>
        <s v="ELCOR4059S7/MH1"/>
        <s v="EGLE4009S7/MH1"/>
        <s v="NOBIW4132S7/NH1"/>
        <s v="NOBIL4044S6/NH1A"/>
        <s v="GALAD4149S6/TY2A"/>
        <s v="GALAD4149S6/Y1A"/>
        <s v="DECOR4237S7/C1"/>
        <s v="TOMAS4026S7/L1"/>
        <s v="ELDEW7198S7/Y1"/>
        <s v="TOMAS4026S7E/S2"/>
        <s v="ELDEW7198S7E/Y2"/>
        <s v="TAREK4158S7/MH1"/>
        <s v="EGEO4169S7/Y1"/>
        <s v="GALAN4182S7/CY1"/>
        <s v="GALAN4183S7/CY1"/>
        <s v="SOLAD4188S7/C1"/>
        <s v="DYON4191S7/C1"/>
        <s v="GALAD4185S7/CY1"/>
        <s v="DYON4190S7/C1"/>
        <s v="GALAN4105S7/TY1"/>
        <s v="DARFW7328S6/MH1"/>
        <s v="DARFO7327S6/MH1"/>
        <s v="GALAD4120S7/CY1"/>
        <s v="GALAD4120S7/SY1"/>
        <s v="GALAD4122S7/SY1"/>
        <s v="GALAN4105S7E/TY2"/>
        <s v="VAIAN4207S7/G1"/>
        <s v="VAIAN4210S7/G1"/>
        <s v="TAREK4159S7/M1"/>
        <s v="ECROK4197S7/Y1"/>
        <s v="EGLE4009S7/NH1"/>
        <s v="DYON4154S7/C1"/>
        <s v="GALAD4123S7/CY2"/>
        <s v="TOSCA4062W7/L1"/>
        <s v="TOSCA4062W7/S1"/>
        <s v="TOSCA4064W7/S1"/>
        <s v="DYON4154S7E/C2"/>
        <s v="EVALD8208S7E/S2"/>
        <s v="ETTOR2166S7/G1"/>
        <s v="VAIAK4119S7/G1"/>
        <s v="MELL4117S7/G1"/>
        <s v="ECROK4196S7/Y1"/>
        <s v="EDWIN9068S7/L1"/>
        <s v="EBONY4175S7/Y2"/>
        <s v="GYNN4238S7/T1"/>
        <s v="GYNN4238S7/C1"/>
        <s v="GYNN4239S7/C1"/>
        <s v="GYNNA4240S7/C1"/>
        <s v="GYNNA4240S7/T1"/>
        <s v="NOBIW4243S7/CH2"/>
        <s v="NOBIW4197S6/NH1A"/>
        <s v="MARCS4137S7/C1A"/>
        <s v="DYON4154S7/C1A"/>
        <s v="NOBIL4241S7/CH2"/>
        <s v="GYNNA4244S7/C1"/>
        <s v="NOBIL4090S7/NH1"/>
        <s v="NOBIL4192S7/CH1"/>
        <s v="GALAD4184S7/CY1"/>
        <s v="RUMBO4186S7/C1"/>
        <s v="RUMBA4187S7/C1"/>
        <s v="MARCS4194S7/C1"/>
      </sharedItems>
    </cacheField>
    <cacheField name="Numero pallet" numFmtId="0">
      <sharedItems containsBlank="1"/>
    </cacheField>
    <cacheField name="Lotto" numFmtId="0">
      <sharedItems count="27">
        <s v="C12 USPA"/>
        <s v="D12 USPA"/>
        <s v="R12 USPA"/>
        <s v="Q12 USPA"/>
        <s v="A8 USPA"/>
        <s v="X12 USPA"/>
        <s v="K8 USPA"/>
        <s v="E8 USPA"/>
        <s v="44"/>
        <s v="43"/>
        <s v="28"/>
        <s v="29"/>
        <s v="30"/>
        <s v="34"/>
        <s v="36"/>
        <s v="37"/>
        <s v="38"/>
        <s v="39"/>
        <s v="40"/>
        <s v="41"/>
        <s v="42"/>
        <s v="45"/>
        <s v="35"/>
        <s v="32"/>
        <s v="31"/>
        <s v="33"/>
        <s v="46"/>
      </sharedItems>
    </cacheField>
    <cacheField name="Descrizione mf" numFmtId="0">
      <sharedItems/>
    </cacheField>
    <cacheField name="Descrizione ml" numFmtId="0">
      <sharedItems/>
    </cacheField>
    <cacheField name="Variante" numFmtId="0">
      <sharedItems count="32">
        <s v="BEI"/>
        <s v="AVIO"/>
        <s v="BLK"/>
        <s v="NAVY"/>
        <s v="WHI"/>
        <s v="WHI-BLU"/>
        <s v="GREY"/>
        <s v="BLU"/>
        <s v="RED"/>
        <s v="JEANS"/>
        <s v="DKBL"/>
        <s v="LIBL"/>
        <s v="SKBL"/>
        <s v="FUX"/>
        <s v="IVORY"/>
        <s v="BRON"/>
        <s v="PLAT"/>
        <s v="BRW"/>
        <s v="WHI-GOLD"/>
        <s v="TAU"/>
        <s v="SIL"/>
        <s v="BLUE"/>
        <s v="WHI-GRE"/>
        <s v="MILG"/>
        <s v="GRE"/>
        <s v="GOLD"/>
        <s v="DKBR"/>
        <s v="BRICK"/>
        <s v="RED-DKBL"/>
        <s v="ORA"/>
        <s v="PINK"/>
        <s v="YEL"/>
      </sharedItems>
    </cacheField>
    <cacheField name="Data Scadenza" numFmtId="0">
      <sharedItems containsNonDate="0" containsString="0" containsBlank="1"/>
    </cacheField>
    <cacheField name="Quantità" numFmtId="0">
      <sharedItems containsString="0" containsBlank="1" containsNumber="1" containsInteger="1" minValue="1" maxValue="1"/>
    </cacheField>
    <cacheField name="paia" numFmtId="0">
      <sharedItems containsSemiMixedTypes="0" containsString="0" containsNumber="1" containsInteger="1" minValue="1" maxValue="18"/>
    </cacheField>
    <cacheField name="Societa" numFmtId="0">
      <sharedItems/>
    </cacheField>
    <cacheField name="Scaffale" numFmtId="0">
      <sharedItems/>
    </cacheField>
    <cacheField name="Posizione" numFmtId="0">
      <sharedItems/>
    </cacheField>
    <cacheField name="Piano" numFmtId="0">
      <sharedItems/>
    </cacheField>
    <cacheField name="Scaffale/Corsia" numFmtId="0">
      <sharedItems/>
    </cacheField>
    <cacheField name="P/R/S" numFmtId="0">
      <sharedItems/>
    </cacheField>
    <cacheField name="Magazzino Fisico" numFmtId="0">
      <sharedItems/>
    </cacheField>
    <cacheField name="Magazzino Logico" numFmtId="0">
      <sharedItems/>
    </cacheField>
    <cacheField name="Bloccato" numFmtId="0">
      <sharedItems/>
    </cacheField>
    <cacheField name="Disponibile" numFmtId="0">
      <sharedItems/>
    </cacheField>
    <cacheField name="UDM" numFmtId="0">
      <sharedItems/>
    </cacheField>
    <cacheField name="Confezione" numFmtId="0">
      <sharedItems containsSemiMixedTypes="0" containsString="0" containsNumber="1" containsInteger="1" minValue="1" maxValue="1"/>
    </cacheField>
    <cacheField name="Identificativo" numFmtId="0">
      <sharedItems containsNonDate="0" containsString="0" containsBlank="1"/>
    </cacheField>
    <cacheField name="Pallet Intero" numFmtId="0">
      <sharedItems containsSemiMixedTypes="0" containsString="0" containsNumber="1" containsInteger="1" minValue="0" maxValue="0"/>
    </cacheField>
    <cacheField name="Quantità UM2" numFmtId="0">
      <sharedItems containsSemiMixedTypes="0" containsString="0" containsNumber="1" containsInteger="1" minValue="0" maxValue="0"/>
    </cacheField>
    <cacheField name="Quantità Tecnica" numFmtId="0">
      <sharedItems containsNonDate="0" containsString="0" containsBlank="1"/>
    </cacheField>
    <cacheField name="Gruppo Stoccaggio" numFmtId="0">
      <sharedItems containsBlank="1"/>
    </cacheField>
    <cacheField name="Sottogruppo Stoccaggio" numFmtId="0">
      <sharedItems containsNonDate="0" containsString="0" containsBlank="1"/>
    </cacheField>
    <cacheField name="Codice Fornitore" numFmtId="0">
      <sharedItems containsBlank="1"/>
    </cacheField>
    <cacheField name="Ragione sociale 1" numFmtId="0">
      <sharedItems containsBlank="1"/>
    </cacheField>
    <cacheField name="Riferimento Fornitore" numFmtId="0">
      <sharedItems containsNonDate="0" containsString="0" containsBlank="1"/>
    </cacheField>
    <cacheField name="Peso Pallet" numFmtId="0">
      <sharedItems containsString="0" containsBlank="1" containsNumber="1" containsInteger="1" minValue="0" maxValue="0"/>
    </cacheField>
    <cacheField name="Valore" numFmtId="0">
      <sharedItems containsString="0" containsBlank="1" containsNumber="1" containsInteger="1" minValue="0" maxValue="0"/>
    </cacheField>
    <cacheField name="Utente" numFmtId="0">
      <sharedItems/>
    </cacheField>
    <cacheField name="Articolo Secondario" numFmtId="0">
      <sharedItems/>
    </cacheField>
    <cacheField name="U.M." numFmtId="0">
      <sharedItems/>
    </cacheField>
    <cacheField name="Descr. Extra1" numFmtId="0">
      <sharedItems containsNonDate="0" containsString="0" containsBlank="1"/>
    </cacheField>
    <cacheField name="Descr. Extra2" numFmtId="0">
      <sharedItems containsNonDate="0" containsString="0" containsBlank="1"/>
    </cacheField>
    <cacheField name="Tipo Pallettizzazione" numFmtId="0">
      <sharedItems containsNonDate="0" containsString="0" containsBlank="1"/>
    </cacheField>
    <cacheField name="Pezzi per Confez." numFmtId="0">
      <sharedItems containsString="0" containsBlank="1" containsNumber="1" containsInteger="1" minValue="0" maxValue="0"/>
    </cacheField>
    <cacheField name="Blocco Generico" numFmtId="0">
      <sharedItems/>
    </cacheField>
    <cacheField name="Tipo Materiale" numFmtId="0">
      <sharedItems containsNonDate="0" containsString="0" containsBlank="1"/>
    </cacheField>
    <cacheField name="Modello" numFmtId="0">
      <sharedItems/>
    </cacheField>
    <cacheField name="Colore" numFmtId="0">
      <sharedItems containsNonDate="0" containsString="0" containsBlank="1"/>
    </cacheField>
    <cacheField name="Taglia" numFmtId="0">
      <sharedItems containsNonDate="0" containsString="0" containsBlank="1"/>
    </cacheField>
    <cacheField name="Tipo Prodotto" numFmtId="0">
      <sharedItems containsNonDate="0" containsString="0" containsBlank="1"/>
    </cacheField>
    <cacheField name="Gruppo Omogeneo" numFmtId="0">
      <sharedItems containsNonDate="0" containsString="0" containsBlank="1"/>
    </cacheField>
    <cacheField name="Data Produzione" numFmtId="0">
      <sharedItems containsNonDate="0" containsString="0" containsBlank="1"/>
    </cacheField>
    <cacheField name="Codice Qualità" numFmtId="0">
      <sharedItems containsNonDate="0" containsString="0" containsBlank="1"/>
    </cacheField>
    <cacheField name="Cat. Merceologica" numFmtId="0">
      <sharedItems/>
    </cacheField>
    <cacheField name="Peso pallet Teorico in giacenza" numFmtId="0">
      <sharedItems containsSemiMixedTypes="0" containsString="0" containsNumber="1" containsInteger="1" minValue="0" maxValue="0"/>
    </cacheField>
    <cacheField name="Altezza" numFmtId="0">
      <sharedItems containsSemiMixedTypes="0" containsString="0" containsNumber="1" containsInteger="1" minValue="0" maxValue="0"/>
    </cacheField>
    <cacheField name="Lunghezza" numFmtId="0">
      <sharedItems containsSemiMixedTypes="0" containsString="0" containsNumber="1" containsInteger="1" minValue="0" maxValue="0"/>
    </cacheField>
    <cacheField name="Profondità" numFmtId="0">
      <sharedItems containsSemiMixedTypes="0" containsString="0" containsNumber="1" containsInteger="1" minValue="0" maxValue="0"/>
    </cacheField>
    <cacheField name="Spessore" numFmtId="0">
      <sharedItems containsSemiMixedTypes="0" containsString="0" containsNumber="1" containsInteger="1" minValue="0" maxValue="0"/>
    </cacheField>
    <cacheField name="Descrizione 2" numFmtId="0">
      <sharedItems/>
    </cacheField>
    <cacheField name="Descr. Società" numFmtId="0">
      <sharedItems/>
    </cacheField>
    <cacheField name="Data Scadenza Prorogata" numFmtId="0">
      <sharedItems containsNonDate="0" containsString="0" containsBlank="1"/>
    </cacheField>
    <cacheField name="Descr. Qualità" numFmtId="0">
      <sharedItems containsNonDate="0" containsString="0" containsBlank="1"/>
    </cacheField>
    <cacheField name="Descr. Blocco" numFmtId="0">
      <sharedItems containsNonDate="0" containsString="0" containsBlank="1"/>
    </cacheField>
    <cacheField name="Magazzino Riservato" numFmtId="0">
      <sharedItems containsNonDate="0" containsString="0" containsBlank="1"/>
    </cacheField>
    <cacheField name="Num Bolla" numFmtId="0">
      <sharedItems containsNonDate="0" containsString="0" containsBlank="1"/>
    </cacheField>
    <cacheField name="Numero Verbale" numFmtId="0">
      <sharedItems containsNonDate="0" containsString="0" containsBlank="1"/>
    </cacheField>
    <cacheField name="Note" numFmtId="0">
      <sharedItems containsNonDate="0" containsString="0" containsBlank="1"/>
    </cacheField>
    <cacheField name="Variante2" numFmtId="0">
      <sharedItems containsNonDate="0" containsString="0" containsBlank="1"/>
    </cacheField>
    <cacheField name="Peso Netto" numFmtId="0">
      <sharedItems containsString="0" containsBlank="1" containsNumber="1" containsInteger="1" minValue="0" maxValue="0"/>
    </cacheField>
    <cacheField name="Numero Pelli" numFmtId="0">
      <sharedItems containsString="0" containsBlank="1" containsNumber="1" containsInteger="1" minValue="0" maxValue="0"/>
    </cacheField>
    <cacheField name="Numero confezioni campionate" numFmtId="0">
      <sharedItems containsString="0" containsBlank="1" containsNumber="1" containsInteger="1" minValue="0" maxValue="0"/>
    </cacheField>
    <cacheField name="Articolo Bas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58">
  <r>
    <m/>
    <n v="1743"/>
    <x v="0"/>
    <s v="ODA16N00177-1575"/>
    <x v="0"/>
    <s v="BONIS SPA"/>
    <s v="STOCK TERRA MP"/>
    <x v="0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107"/>
    <s v="DONG HUNG IND. JOINT COMPANY"/>
    <m/>
    <n v="0"/>
    <n v="0"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n v="0"/>
    <n v="0"/>
    <n v="0"/>
    <m/>
  </r>
  <r>
    <m/>
    <n v="1735"/>
    <x v="1"/>
    <s v="ODA16N00178-646"/>
    <x v="1"/>
    <s v="BONIS SPA"/>
    <s v="STOCK TERRA MP"/>
    <x v="1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s v="SMU"/>
    <m/>
    <s v="4520182"/>
    <s v="32 Joint Stock Company (Aseco)"/>
    <m/>
    <n v="0"/>
    <n v="0"/>
    <s v="F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n v="0"/>
    <n v="0"/>
    <n v="0"/>
    <m/>
  </r>
  <r>
    <m/>
    <n v="1739"/>
    <x v="2"/>
    <s v="ODA16N00240-1322"/>
    <x v="0"/>
    <s v="BONIS SPA"/>
    <s v="STOCK TERRA MP"/>
    <x v="2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+ ECO LEATHE"/>
    <s v="Bonis SpA"/>
    <m/>
    <m/>
    <m/>
    <m/>
    <m/>
    <m/>
    <m/>
    <m/>
    <n v="0"/>
    <n v="0"/>
    <n v="0"/>
    <m/>
  </r>
  <r>
    <m/>
    <n v="1739"/>
    <x v="2"/>
    <s v="ODA16N00240-1330"/>
    <x v="0"/>
    <s v="BONIS SPA"/>
    <s v="STOCK TERRA MP"/>
    <x v="2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+ ECO LEATHE"/>
    <s v="Bonis SpA"/>
    <m/>
    <m/>
    <m/>
    <m/>
    <m/>
    <m/>
    <m/>
    <m/>
    <n v="0"/>
    <n v="0"/>
    <n v="0"/>
    <m/>
  </r>
  <r>
    <m/>
    <n v="1739"/>
    <x v="2"/>
    <s v="ODA16N00240-1333"/>
    <x v="0"/>
    <s v="BONIS SPA"/>
    <s v="STOCK TERRA MP"/>
    <x v="2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+ ECO LEATHE"/>
    <s v="Bonis SpA"/>
    <m/>
    <m/>
    <m/>
    <m/>
    <m/>
    <m/>
    <m/>
    <m/>
    <n v="0"/>
    <n v="0"/>
    <n v="0"/>
    <m/>
  </r>
  <r>
    <m/>
    <n v="1735"/>
    <x v="2"/>
    <s v="ODA16N00240-1379"/>
    <x v="0"/>
    <s v="BONIS SPA"/>
    <s v="STOCK TERRA MP"/>
    <x v="3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+ ECO LEATHE"/>
    <s v="Bonis SpA"/>
    <m/>
    <m/>
    <m/>
    <m/>
    <m/>
    <m/>
    <m/>
    <m/>
    <n v="0"/>
    <n v="0"/>
    <n v="0"/>
    <m/>
  </r>
  <r>
    <m/>
    <n v="1739"/>
    <x v="3"/>
    <s v="ODA16N00240-449"/>
    <x v="0"/>
    <s v="BONIS SPA"/>
    <s v="STOCK TERRA MP"/>
    <x v="2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ECO LEATHER+TEXTILE"/>
    <s v="Bonis SpA"/>
    <m/>
    <m/>
    <m/>
    <m/>
    <m/>
    <m/>
    <m/>
    <m/>
    <n v="0"/>
    <n v="0"/>
    <n v="0"/>
    <m/>
  </r>
  <r>
    <m/>
    <n v="1739"/>
    <x v="3"/>
    <s v="ODA16N00240-461"/>
    <x v="0"/>
    <s v="BONIS SPA"/>
    <s v="STOCK TERRA MP"/>
    <x v="2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ECO LEATHER+TEXTILE"/>
    <s v="Bonis SpA"/>
    <m/>
    <m/>
    <m/>
    <m/>
    <m/>
    <m/>
    <m/>
    <m/>
    <n v="0"/>
    <n v="0"/>
    <n v="0"/>
    <m/>
  </r>
  <r>
    <m/>
    <n v="1739"/>
    <x v="3"/>
    <s v="ODA16N00240-464"/>
    <x v="0"/>
    <s v="BONIS SPA"/>
    <s v="STOCK TERRA MP"/>
    <x v="2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ECO LEATHER+TEXTILE"/>
    <s v="Bonis SpA"/>
    <m/>
    <m/>
    <m/>
    <m/>
    <m/>
    <m/>
    <m/>
    <m/>
    <n v="0"/>
    <n v="0"/>
    <n v="0"/>
    <m/>
  </r>
  <r>
    <m/>
    <n v="1739"/>
    <x v="3"/>
    <s v="ODA16N00240-487"/>
    <x v="0"/>
    <s v="BONIS SPA"/>
    <s v="STOCK TERRA MP"/>
    <x v="2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ECO LEATHER+TEXTILE"/>
    <s v="Bonis SpA"/>
    <m/>
    <m/>
    <m/>
    <m/>
    <m/>
    <m/>
    <m/>
    <m/>
    <n v="0"/>
    <n v="0"/>
    <n v="0"/>
    <m/>
  </r>
  <r>
    <m/>
    <n v="1738"/>
    <x v="4"/>
    <s v="ODA16N00240-780"/>
    <x v="0"/>
    <s v="BONIS SPA"/>
    <s v="STOCK TERRA MP"/>
    <x v="4"/>
    <m/>
    <n v="1"/>
    <n v="12"/>
    <s v="01"/>
    <s v="101"/>
    <s v="007"/>
    <s v="00"/>
    <s v="S"/>
    <s v="P"/>
    <s v="01"/>
    <s v="03"/>
    <s v="False"/>
    <s v="True"/>
    <s v="U00279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38"/>
    <x v="4"/>
    <s v="ODA16N00240-782"/>
    <x v="0"/>
    <s v="BONIS SPA"/>
    <s v="STOCK TERRA MP"/>
    <x v="4"/>
    <m/>
    <n v="1"/>
    <n v="12"/>
    <s v="01"/>
    <s v="101"/>
    <s v="007"/>
    <s v="00"/>
    <s v="S"/>
    <s v="P"/>
    <s v="01"/>
    <s v="03"/>
    <s v="False"/>
    <s v="True"/>
    <s v="U00279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38"/>
    <x v="4"/>
    <s v="ODA16N00240-783"/>
    <x v="0"/>
    <s v="BONIS SPA"/>
    <s v="STOCK TERRA MP"/>
    <x v="4"/>
    <m/>
    <n v="1"/>
    <n v="12"/>
    <s v="01"/>
    <s v="101"/>
    <s v="007"/>
    <s v="00"/>
    <s v="S"/>
    <s v="P"/>
    <s v="01"/>
    <s v="03"/>
    <s v="False"/>
    <s v="True"/>
    <s v="U00279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37"/>
    <x v="4"/>
    <s v="ODA16N00240-788"/>
    <x v="0"/>
    <s v="BONIS SPA"/>
    <s v="STOCK TERRA MP"/>
    <x v="4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38"/>
    <x v="4"/>
    <s v="ODA16N00240-817"/>
    <x v="0"/>
    <s v="BONIS SPA"/>
    <s v="STOCK TERRA MP"/>
    <x v="4"/>
    <m/>
    <n v="1"/>
    <n v="12"/>
    <s v="01"/>
    <s v="101"/>
    <s v="007"/>
    <s v="00"/>
    <s v="S"/>
    <s v="P"/>
    <s v="01"/>
    <s v="03"/>
    <s v="False"/>
    <s v="True"/>
    <s v="U00279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36"/>
    <x v="4"/>
    <s v="ODA16N00240-822"/>
    <x v="0"/>
    <s v="BONIS SPA"/>
    <s v="STOCK TERRA MP"/>
    <x v="4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37"/>
    <x v="4"/>
    <s v="ODA16N00240-823"/>
    <x v="0"/>
    <s v="BONIS SPA"/>
    <s v="STOCK TERRA MP"/>
    <x v="4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38"/>
    <x v="5"/>
    <s v="ODA16N00241-730"/>
    <x v="2"/>
    <s v="BONIS SPA"/>
    <s v="STOCK TERRA MP"/>
    <x v="4"/>
    <m/>
    <n v="1"/>
    <n v="12"/>
    <s v="01"/>
    <s v="101"/>
    <s v="007"/>
    <s v="00"/>
    <s v="S"/>
    <s v="P"/>
    <s v="01"/>
    <s v="03"/>
    <s v="False"/>
    <s v="True"/>
    <s v="U0027905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EXTILE+SYNTHETIC LEAT"/>
    <s v="Bonis SpA"/>
    <m/>
    <m/>
    <m/>
    <m/>
    <m/>
    <m/>
    <m/>
    <m/>
    <n v="0"/>
    <n v="0"/>
    <n v="0"/>
    <m/>
  </r>
  <r>
    <m/>
    <n v="1738"/>
    <x v="5"/>
    <s v="ODA16N00241-735"/>
    <x v="2"/>
    <s v="BONIS SPA"/>
    <s v="STOCK TERRA MP"/>
    <x v="4"/>
    <m/>
    <n v="1"/>
    <n v="12"/>
    <s v="01"/>
    <s v="101"/>
    <s v="007"/>
    <s v="00"/>
    <s v="S"/>
    <s v="P"/>
    <s v="01"/>
    <s v="03"/>
    <s v="False"/>
    <s v="True"/>
    <s v="U0027905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EXTILE+SYNTHETIC LEAT"/>
    <s v="Bonis SpA"/>
    <m/>
    <m/>
    <m/>
    <m/>
    <m/>
    <m/>
    <m/>
    <m/>
    <n v="0"/>
    <n v="0"/>
    <n v="0"/>
    <m/>
  </r>
  <r>
    <m/>
    <n v="1738"/>
    <x v="5"/>
    <s v="ODA16N00241-742"/>
    <x v="2"/>
    <s v="BONIS SPA"/>
    <s v="STOCK TERRA MP"/>
    <x v="4"/>
    <m/>
    <n v="1"/>
    <n v="12"/>
    <s v="01"/>
    <s v="101"/>
    <s v="007"/>
    <s v="00"/>
    <s v="S"/>
    <s v="P"/>
    <s v="01"/>
    <s v="03"/>
    <s v="False"/>
    <s v="True"/>
    <s v="U0027905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EXTILE+SYNTHETIC LEAT"/>
    <s v="Bonis SpA"/>
    <m/>
    <m/>
    <m/>
    <m/>
    <m/>
    <m/>
    <m/>
    <m/>
    <n v="0"/>
    <n v="0"/>
    <n v="0"/>
    <m/>
  </r>
  <r>
    <m/>
    <n v="1744"/>
    <x v="6"/>
    <s v="ODA16N00242-388"/>
    <x v="1"/>
    <s v="BONIS SPA"/>
    <s v="STOCK TERRA MP"/>
    <x v="4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n v="0"/>
    <n v="0"/>
    <n v="0"/>
    <m/>
  </r>
  <r>
    <m/>
    <n v="1744"/>
    <x v="6"/>
    <s v="ODA16N00242-407"/>
    <x v="1"/>
    <s v="BONIS SPA"/>
    <s v="STOCK TERRA MP"/>
    <x v="4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n v="0"/>
    <n v="0"/>
    <n v="0"/>
    <m/>
  </r>
  <r>
    <m/>
    <n v="1744"/>
    <x v="6"/>
    <s v="ODA16N00242-411"/>
    <x v="1"/>
    <s v="BONIS SPA"/>
    <s v="STOCK TERRA MP"/>
    <x v="4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n v="0"/>
    <n v="0"/>
    <n v="0"/>
    <m/>
  </r>
  <r>
    <m/>
    <n v="1744"/>
    <x v="6"/>
    <s v="ODA16N00242-412"/>
    <x v="1"/>
    <s v="BONIS SPA"/>
    <s v="STOCK TERRA MP"/>
    <x v="4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n v="0"/>
    <n v="0"/>
    <n v="0"/>
    <m/>
  </r>
  <r>
    <m/>
    <n v="1744"/>
    <x v="6"/>
    <s v="ODA16N00242-414"/>
    <x v="1"/>
    <s v="BONIS SPA"/>
    <s v="STOCK TERRA MP"/>
    <x v="4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n v="0"/>
    <n v="0"/>
    <n v="0"/>
    <m/>
  </r>
  <r>
    <m/>
    <n v="1737"/>
    <x v="7"/>
    <s v="ODA16N00243-268"/>
    <x v="3"/>
    <s v="BONIS SPA"/>
    <s v="STOCK TERRA MP"/>
    <x v="5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m/>
    <m/>
    <m/>
    <m/>
    <m/>
    <n v="0"/>
    <n v="0"/>
    <s v="F06"/>
    <s v="KID"/>
    <s v="PA"/>
    <m/>
    <m/>
    <m/>
    <m/>
    <s v="False"/>
    <m/>
    <s v="NOBIK"/>
    <m/>
    <m/>
    <m/>
    <m/>
    <m/>
    <m/>
    <s v="PF"/>
    <n v="0"/>
    <n v="0"/>
    <n v="0"/>
    <n v="0"/>
    <n v="0"/>
    <s v="UBBER FLAT MOL.MESH+MICROSUE"/>
    <s v="Bonis SpA"/>
    <m/>
    <m/>
    <m/>
    <m/>
    <m/>
    <m/>
    <m/>
    <m/>
    <n v="0"/>
    <n v="0"/>
    <n v="0"/>
    <m/>
  </r>
  <r>
    <m/>
    <n v="1735"/>
    <x v="8"/>
    <s v="ODA16N00245-306"/>
    <x v="0"/>
    <s v="BONIS SPA"/>
    <s v="STOCK TERRA MP"/>
    <x v="6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5"/>
    <x v="9"/>
    <s v="ODA16N00249-102"/>
    <x v="4"/>
    <s v="BONIS SPA"/>
    <s v="STOCK TERRA MP"/>
    <x v="7"/>
    <m/>
    <n v="1"/>
    <n v="8"/>
    <s v="01"/>
    <s v="101"/>
    <s v="004"/>
    <s v="00"/>
    <s v="S"/>
    <s v="P"/>
    <s v="01"/>
    <s v="03"/>
    <s v="False"/>
    <s v="True"/>
    <s v="U0028015"/>
    <n v="1"/>
    <m/>
    <n v="0"/>
    <n v="0"/>
    <m/>
    <m/>
    <m/>
    <s v="4520243"/>
    <s v="XIAMEN UNIBEST IMP. EXP. CO."/>
    <m/>
    <n v="0"/>
    <n v="0"/>
    <s v="F06"/>
    <s v="MAN"/>
    <s v="PA"/>
    <m/>
    <m/>
    <m/>
    <m/>
    <s v="False"/>
    <m/>
    <s v="ELCOR"/>
    <m/>
    <m/>
    <m/>
    <m/>
    <m/>
    <m/>
    <s v="PF"/>
    <n v="0"/>
    <n v="0"/>
    <n v="0"/>
    <n v="0"/>
    <n v="0"/>
    <s v="BBER CUTING (ELCOR) TEXTILE+MI"/>
    <s v="Bonis SpA"/>
    <m/>
    <m/>
    <m/>
    <m/>
    <m/>
    <m/>
    <m/>
    <m/>
    <n v="0"/>
    <n v="0"/>
    <n v="0"/>
    <m/>
  </r>
  <r>
    <m/>
    <n v="1743"/>
    <x v="10"/>
    <s v="ODA16N00250-127"/>
    <x v="4"/>
    <s v="BONIS SPA"/>
    <s v="STOCK TERRA MP"/>
    <x v="8"/>
    <m/>
    <n v="1"/>
    <n v="8"/>
    <s v="01"/>
    <s v="101"/>
    <s v="012"/>
    <s v="00"/>
    <s v="S"/>
    <s v="P"/>
    <s v="01"/>
    <s v="03"/>
    <s v="False"/>
    <s v="True"/>
    <s v="U0031318"/>
    <n v="1"/>
    <m/>
    <n v="0"/>
    <n v="0"/>
    <m/>
    <m/>
    <m/>
    <s v="4520243"/>
    <s v="XIAMEN UNIBEST IMP. EXP. CO."/>
    <m/>
    <n v="0"/>
    <n v="0"/>
    <s v="F06"/>
    <s v="MAN"/>
    <s v="PA"/>
    <m/>
    <m/>
    <m/>
    <m/>
    <s v="False"/>
    <m/>
    <s v="TABRY"/>
    <m/>
    <m/>
    <m/>
    <m/>
    <m/>
    <m/>
    <s v="PF"/>
    <n v="0"/>
    <n v="0"/>
    <n v="0"/>
    <n v="0"/>
    <n v="0"/>
    <s v="GOMMA-EVA MESH+PU+REAL SUEDE"/>
    <s v="Bonis SpA"/>
    <m/>
    <m/>
    <m/>
    <m/>
    <m/>
    <m/>
    <m/>
    <m/>
    <n v="0"/>
    <n v="0"/>
    <n v="0"/>
    <m/>
  </r>
  <r>
    <m/>
    <n v="1743"/>
    <x v="10"/>
    <s v="ODA16N00250-134"/>
    <x v="4"/>
    <s v="BONIS SPA"/>
    <s v="STOCK TERRA MP"/>
    <x v="8"/>
    <m/>
    <n v="1"/>
    <n v="8"/>
    <s v="01"/>
    <s v="101"/>
    <s v="012"/>
    <s v="00"/>
    <s v="S"/>
    <s v="P"/>
    <s v="01"/>
    <s v="03"/>
    <s v="False"/>
    <s v="True"/>
    <s v="U0031318"/>
    <n v="1"/>
    <m/>
    <n v="0"/>
    <n v="0"/>
    <m/>
    <m/>
    <m/>
    <s v="4520243"/>
    <s v="XIAMEN UNIBEST IMP. EXP. CO."/>
    <m/>
    <n v="0"/>
    <n v="0"/>
    <s v="F06"/>
    <s v="MAN"/>
    <s v="PA"/>
    <m/>
    <m/>
    <m/>
    <m/>
    <s v="False"/>
    <m/>
    <s v="TABRY"/>
    <m/>
    <m/>
    <m/>
    <m/>
    <m/>
    <m/>
    <s v="PF"/>
    <n v="0"/>
    <n v="0"/>
    <n v="0"/>
    <n v="0"/>
    <n v="0"/>
    <s v="GOMMA-EVA MESH+PU+REAL SUEDE"/>
    <s v="Bonis SpA"/>
    <m/>
    <m/>
    <m/>
    <m/>
    <m/>
    <m/>
    <m/>
    <m/>
    <n v="0"/>
    <n v="0"/>
    <n v="0"/>
    <m/>
  </r>
  <r>
    <m/>
    <n v="1743"/>
    <x v="10"/>
    <s v="ODA16N00250-136"/>
    <x v="4"/>
    <s v="BONIS SPA"/>
    <s v="STOCK TERRA MP"/>
    <x v="8"/>
    <m/>
    <n v="1"/>
    <n v="8"/>
    <s v="01"/>
    <s v="101"/>
    <s v="012"/>
    <s v="00"/>
    <s v="S"/>
    <s v="P"/>
    <s v="01"/>
    <s v="03"/>
    <s v="False"/>
    <s v="True"/>
    <s v="U0031318"/>
    <n v="1"/>
    <m/>
    <n v="0"/>
    <n v="0"/>
    <m/>
    <m/>
    <m/>
    <s v="4520243"/>
    <s v="XIAMEN UNIBEST IMP. EXP. CO."/>
    <m/>
    <n v="0"/>
    <n v="0"/>
    <s v="F06"/>
    <s v="MAN"/>
    <s v="PA"/>
    <m/>
    <m/>
    <m/>
    <m/>
    <s v="False"/>
    <m/>
    <s v="TABRY"/>
    <m/>
    <m/>
    <m/>
    <m/>
    <m/>
    <m/>
    <s v="PF"/>
    <n v="0"/>
    <n v="0"/>
    <n v="0"/>
    <n v="0"/>
    <n v="0"/>
    <s v="GOMMA-EVA MESH+PU+REAL SUEDE"/>
    <s v="Bonis SpA"/>
    <m/>
    <m/>
    <m/>
    <m/>
    <m/>
    <m/>
    <m/>
    <m/>
    <n v="0"/>
    <n v="0"/>
    <n v="0"/>
    <m/>
  </r>
  <r>
    <m/>
    <n v="1737"/>
    <x v="10"/>
    <s v="ODA16N00250-140"/>
    <x v="4"/>
    <s v="BONIS SPA"/>
    <s v="STOCK TERRA MP"/>
    <x v="8"/>
    <m/>
    <n v="1"/>
    <n v="8"/>
    <s v="01"/>
    <s v="101"/>
    <s v="006"/>
    <s v="00"/>
    <s v="S"/>
    <s v="P"/>
    <s v="01"/>
    <s v="03"/>
    <s v="False"/>
    <s v="True"/>
    <s v="U0024638"/>
    <n v="1"/>
    <m/>
    <n v="0"/>
    <n v="0"/>
    <m/>
    <m/>
    <m/>
    <s v="4520243"/>
    <s v="XIAMEN UNIBEST IMP. EXP. CO."/>
    <m/>
    <n v="0"/>
    <n v="0"/>
    <s v="F06"/>
    <s v="MAN"/>
    <s v="PA"/>
    <m/>
    <m/>
    <m/>
    <m/>
    <s v="False"/>
    <m/>
    <s v="TABRY"/>
    <m/>
    <m/>
    <m/>
    <m/>
    <m/>
    <m/>
    <s v="PF"/>
    <n v="0"/>
    <n v="0"/>
    <n v="0"/>
    <n v="0"/>
    <n v="0"/>
    <s v="GOMMA-EVA MESH+PU+REAL SUEDE"/>
    <s v="Bonis SpA"/>
    <m/>
    <m/>
    <m/>
    <m/>
    <m/>
    <m/>
    <m/>
    <m/>
    <n v="0"/>
    <n v="0"/>
    <n v="0"/>
    <m/>
  </r>
  <r>
    <m/>
    <n v="1734"/>
    <x v="4"/>
    <s v="ODA16N00255-011"/>
    <x v="4"/>
    <s v="BONIS SPA"/>
    <s v="STOCK TERRA MP"/>
    <x v="9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39"/>
    <x v="11"/>
    <s v="ODA16N00263-067"/>
    <x v="0"/>
    <s v="BONIS SPA"/>
    <s v="STOCK TERRA MP"/>
    <x v="8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 BATIK+LEATHER"/>
    <s v="Bonis SpA"/>
    <m/>
    <m/>
    <m/>
    <m/>
    <m/>
    <m/>
    <m/>
    <m/>
    <n v="0"/>
    <n v="0"/>
    <n v="0"/>
    <m/>
  </r>
  <r>
    <m/>
    <n v="1739"/>
    <x v="11"/>
    <s v="ODA16N00263-081"/>
    <x v="0"/>
    <s v="BONIS SPA"/>
    <s v="STOCK TERRA MP"/>
    <x v="8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 BATIK+LEATHER"/>
    <s v="Bonis SpA"/>
    <m/>
    <m/>
    <m/>
    <m/>
    <m/>
    <m/>
    <m/>
    <m/>
    <n v="0"/>
    <n v="0"/>
    <n v="0"/>
    <m/>
  </r>
  <r>
    <m/>
    <n v="1736"/>
    <x v="12"/>
    <s v="ODA16N00266-080"/>
    <x v="0"/>
    <s v="BONIS SPA"/>
    <s v="STOCK TERRA MP"/>
    <x v="2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6"/>
    <x v="12"/>
    <s v="ODA16N00266-082"/>
    <x v="0"/>
    <s v="BONIS SPA"/>
    <s v="STOCK TERRA MP"/>
    <x v="2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6"/>
    <x v="12"/>
    <s v="ODA16N00266-085"/>
    <x v="0"/>
    <s v="BONIS SPA"/>
    <s v="STOCK TERRA MP"/>
    <x v="2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6"/>
    <x v="12"/>
    <s v="ODA16N00266-086"/>
    <x v="0"/>
    <s v="BONIS SPA"/>
    <s v="STOCK TERRA MP"/>
    <x v="2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6"/>
    <x v="12"/>
    <s v="ODA16N00266-087"/>
    <x v="0"/>
    <s v="BONIS SPA"/>
    <s v="STOCK TERRA MP"/>
    <x v="2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6"/>
    <x v="12"/>
    <s v="ODA16N00266-088"/>
    <x v="0"/>
    <s v="BONIS SPA"/>
    <s v="STOCK TERRA MP"/>
    <x v="2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6"/>
    <x v="12"/>
    <s v="ODA16N00266-090"/>
    <x v="0"/>
    <s v="BONIS SPA"/>
    <s v="STOCK TERRA MP"/>
    <x v="2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6"/>
    <x v="12"/>
    <s v="ODA16N00266-092"/>
    <x v="0"/>
    <s v="BONIS SPA"/>
    <s v="STOCK TERRA MP"/>
    <x v="2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6"/>
    <x v="12"/>
    <s v="ODA16N00266-094"/>
    <x v="0"/>
    <s v="BONIS SPA"/>
    <s v="STOCK TERRA MP"/>
    <x v="2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7"/>
    <x v="12"/>
    <s v="ODA16N00266-101"/>
    <x v="0"/>
    <s v="BONIS SPA"/>
    <s v="STOCK TERRA MP"/>
    <x v="10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7"/>
    <x v="12"/>
    <s v="ODA16N00266-103"/>
    <x v="0"/>
    <s v="BONIS SPA"/>
    <s v="STOCK TERRA MP"/>
    <x v="10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7"/>
    <x v="12"/>
    <s v="ODA16N00266-108"/>
    <x v="0"/>
    <s v="BONIS SPA"/>
    <s v="STOCK TERRA MP"/>
    <x v="10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7"/>
    <x v="12"/>
    <s v="ODA16N00266-117"/>
    <x v="0"/>
    <s v="BONIS SPA"/>
    <s v="STOCK TERRA MP"/>
    <x v="10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7"/>
    <x v="12"/>
    <s v="ODA16N00266-140"/>
    <x v="0"/>
    <s v="BONIS SPA"/>
    <s v="STOCK TERRA MP"/>
    <x v="4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7"/>
    <x v="12"/>
    <s v="ODA16N00266-142"/>
    <x v="0"/>
    <s v="BONIS SPA"/>
    <s v="STOCK TERRA MP"/>
    <x v="4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7"/>
    <x v="12"/>
    <s v="ODA16N00266-144"/>
    <x v="0"/>
    <s v="BONIS SPA"/>
    <s v="STOCK TERRA MP"/>
    <x v="4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37"/>
    <x v="12"/>
    <s v="ODA16N00266-151"/>
    <x v="0"/>
    <s v="BONIS SPA"/>
    <s v="STOCK TERRA MP"/>
    <x v="4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40"/>
    <x v="13"/>
    <s v="ODA16N00266-353"/>
    <x v="5"/>
    <s v="BONIS SPA"/>
    <s v="STOCK TERRA MP"/>
    <x v="0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n v="0"/>
    <n v="0"/>
    <n v="0"/>
    <m/>
  </r>
  <r>
    <m/>
    <n v="1740"/>
    <x v="13"/>
    <s v="ODA16N00266-354"/>
    <x v="5"/>
    <s v="BONIS SPA"/>
    <s v="STOCK TERRA MP"/>
    <x v="0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n v="0"/>
    <n v="0"/>
    <n v="0"/>
    <m/>
  </r>
  <r>
    <m/>
    <n v="1740"/>
    <x v="14"/>
    <s v="ODA16N00266-402"/>
    <x v="0"/>
    <s v="BONIS SPA"/>
    <s v="STOCK TERRA MP"/>
    <x v="2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0"/>
    <x v="14"/>
    <s v="ODA16N00266-405"/>
    <x v="0"/>
    <s v="BONIS SPA"/>
    <s v="STOCK TERRA MP"/>
    <x v="2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0"/>
    <x v="14"/>
    <s v="ODA16N00266-406"/>
    <x v="0"/>
    <s v="BONIS SPA"/>
    <s v="STOCK TERRA MP"/>
    <x v="2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0"/>
    <x v="14"/>
    <s v="ODA16N00266-407"/>
    <x v="0"/>
    <s v="BONIS SPA"/>
    <s v="STOCK TERRA MP"/>
    <x v="2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0"/>
    <x v="14"/>
    <s v="ODA16N00266-408"/>
    <x v="0"/>
    <s v="BONIS SPA"/>
    <s v="STOCK TERRA MP"/>
    <x v="2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0"/>
    <x v="14"/>
    <s v="ODA16N00266-409"/>
    <x v="0"/>
    <s v="BONIS SPA"/>
    <s v="STOCK TERRA MP"/>
    <x v="2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0"/>
    <x v="14"/>
    <s v="ODA16N00266-410"/>
    <x v="0"/>
    <s v="BONIS SPA"/>
    <s v="STOCK TERRA MP"/>
    <x v="2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0"/>
    <x v="14"/>
    <s v="ODA16N00266-411"/>
    <x v="0"/>
    <s v="BONIS SPA"/>
    <s v="STOCK TERRA MP"/>
    <x v="2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0"/>
    <x v="14"/>
    <s v="ODA16N00266-419"/>
    <x v="0"/>
    <s v="BONIS SPA"/>
    <s v="STOCK TERRA MP"/>
    <x v="10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0"/>
    <x v="14"/>
    <s v="ODA16N00266-420"/>
    <x v="0"/>
    <s v="BONIS SPA"/>
    <s v="STOCK TERRA MP"/>
    <x v="10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0"/>
    <x v="14"/>
    <s v="ODA16N00266-425"/>
    <x v="0"/>
    <s v="BONIS SPA"/>
    <s v="STOCK TERRA MP"/>
    <x v="10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0"/>
    <x v="14"/>
    <s v="ODA16N00266-426"/>
    <x v="0"/>
    <s v="BONIS SPA"/>
    <s v="STOCK TERRA MP"/>
    <x v="10"/>
    <m/>
    <n v="1"/>
    <n v="12"/>
    <s v="01"/>
    <s v="101"/>
    <s v="009"/>
    <s v="00"/>
    <s v="S"/>
    <s v="P"/>
    <s v="01"/>
    <s v="03"/>
    <s v="False"/>
    <s v="True"/>
    <s v="U002430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2"/>
    <x v="15"/>
    <s v="ODA16N00275-049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m/>
    <m/>
    <s v="4520243"/>
    <s v="XIAMEN UNIBEST IMP. EXP. CO."/>
    <m/>
    <n v="0"/>
    <n v="0"/>
    <s v="F06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n v="0"/>
    <n v="0"/>
    <n v="0"/>
    <m/>
  </r>
  <r>
    <m/>
    <n v="1742"/>
    <x v="15"/>
    <s v="ODA16N00275-068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m/>
    <m/>
    <s v="4520243"/>
    <s v="XIAMEN UNIBEST IMP. EXP. CO."/>
    <m/>
    <n v="0"/>
    <n v="0"/>
    <s v="F06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n v="0"/>
    <n v="0"/>
    <n v="0"/>
    <m/>
  </r>
  <r>
    <m/>
    <n v="1742"/>
    <x v="15"/>
    <s v="ODA16N00275-237"/>
    <x v="2"/>
    <s v="BONIS SPA"/>
    <s v="STOCK TERRA MP"/>
    <x v="2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m/>
    <m/>
    <s v="4520243"/>
    <s v="XIAMEN UNIBEST IMP. EXP. CO."/>
    <m/>
    <n v="0"/>
    <n v="0"/>
    <s v="F06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n v="0"/>
    <n v="0"/>
    <n v="0"/>
    <m/>
  </r>
  <r>
    <m/>
    <n v="1733"/>
    <x v="16"/>
    <s v="ODA16N00288-344"/>
    <x v="2"/>
    <s v="BONIS SPA"/>
    <s v="STOCK TERRA MP"/>
    <x v="8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CHANT"/>
    <m/>
    <m/>
    <m/>
    <m/>
    <m/>
    <m/>
    <s v="PF"/>
    <n v="0"/>
    <n v="0"/>
    <n v="0"/>
    <n v="0"/>
    <n v="0"/>
    <s v="A+TOMAIA PU"/>
    <s v="Bonis SpA"/>
    <m/>
    <m/>
    <m/>
    <m/>
    <m/>
    <m/>
    <m/>
    <m/>
    <n v="0"/>
    <n v="0"/>
    <n v="0"/>
    <m/>
  </r>
  <r>
    <m/>
    <n v="1734"/>
    <x v="17"/>
    <s v="ODA16N00291-001"/>
    <x v="4"/>
    <s v="BONIS SPA"/>
    <s v="STOCK TERRA MP"/>
    <x v="4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SMU"/>
    <m/>
    <s v="4520271"/>
    <s v="FUZHOU KINGDOM SHOES CO., LTD"/>
    <m/>
    <n v="0"/>
    <n v="0"/>
    <s v="F06"/>
    <s v="UNISEX"/>
    <s v="PA"/>
    <m/>
    <m/>
    <m/>
    <m/>
    <s v="False"/>
    <m/>
    <s v="EGADI"/>
    <m/>
    <m/>
    <m/>
    <m/>
    <m/>
    <m/>
    <s v="PF"/>
    <n v="0"/>
    <n v="0"/>
    <n v="0"/>
    <n v="0"/>
    <n v="0"/>
    <s v="TOMAIA SYNTHETICO PU"/>
    <s v="Bonis SpA"/>
    <m/>
    <m/>
    <m/>
    <m/>
    <m/>
    <m/>
    <m/>
    <m/>
    <n v="0"/>
    <n v="0"/>
    <n v="0"/>
    <m/>
  </r>
  <r>
    <m/>
    <n v="1734"/>
    <x v="17"/>
    <s v="ODA16N00291-002"/>
    <x v="4"/>
    <s v="BONIS SPA"/>
    <s v="STOCK TERRA MP"/>
    <x v="4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SMU"/>
    <m/>
    <s v="4520271"/>
    <s v="FUZHOU KINGDOM SHOES CO., LTD"/>
    <m/>
    <n v="0"/>
    <n v="0"/>
    <s v="F06"/>
    <s v="UNISEX"/>
    <s v="PA"/>
    <m/>
    <m/>
    <m/>
    <m/>
    <s v="False"/>
    <m/>
    <s v="EGADI"/>
    <m/>
    <m/>
    <m/>
    <m/>
    <m/>
    <m/>
    <s v="PF"/>
    <n v="0"/>
    <n v="0"/>
    <n v="0"/>
    <n v="0"/>
    <n v="0"/>
    <s v="TOMAIA SYNTHETICO PU"/>
    <s v="Bonis SpA"/>
    <m/>
    <m/>
    <m/>
    <m/>
    <m/>
    <m/>
    <m/>
    <m/>
    <n v="0"/>
    <n v="0"/>
    <n v="0"/>
    <m/>
  </r>
  <r>
    <m/>
    <n v="1734"/>
    <x v="17"/>
    <s v="ODA16N00291-003"/>
    <x v="4"/>
    <s v="BONIS SPA"/>
    <s v="STOCK TERRA MP"/>
    <x v="4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SMU"/>
    <m/>
    <s v="4520271"/>
    <s v="FUZHOU KINGDOM SHOES CO., LTD"/>
    <m/>
    <n v="0"/>
    <n v="0"/>
    <s v="F06"/>
    <s v="UNISEX"/>
    <s v="PA"/>
    <m/>
    <m/>
    <m/>
    <m/>
    <s v="False"/>
    <m/>
    <s v="EGADI"/>
    <m/>
    <m/>
    <m/>
    <m/>
    <m/>
    <m/>
    <s v="PF"/>
    <n v="0"/>
    <n v="0"/>
    <n v="0"/>
    <n v="0"/>
    <n v="0"/>
    <s v="TOMAIA SYNTHETICO PU"/>
    <s v="Bonis SpA"/>
    <m/>
    <m/>
    <m/>
    <m/>
    <m/>
    <m/>
    <m/>
    <m/>
    <n v="0"/>
    <n v="0"/>
    <n v="0"/>
    <m/>
  </r>
  <r>
    <m/>
    <n v="1734"/>
    <x v="17"/>
    <s v="ODA16N00291-004"/>
    <x v="0"/>
    <s v="BONIS SPA"/>
    <s v="STOCK TERRA MP"/>
    <x v="4"/>
    <m/>
    <n v="1"/>
    <n v="12"/>
    <s v="01"/>
    <s v="101"/>
    <s v="003"/>
    <s v="00"/>
    <s v="S"/>
    <s v="P"/>
    <s v="01"/>
    <s v="03"/>
    <s v="False"/>
    <s v="True"/>
    <s v="U0023945"/>
    <n v="1"/>
    <m/>
    <n v="0"/>
    <n v="0"/>
    <m/>
    <s v="SMU"/>
    <m/>
    <s v="4520271"/>
    <s v="FUZHOU KINGDOM SHOES CO., LTD"/>
    <m/>
    <n v="0"/>
    <n v="0"/>
    <s v="F06"/>
    <s v="UNISEX"/>
    <s v="PA"/>
    <m/>
    <m/>
    <m/>
    <m/>
    <s v="False"/>
    <m/>
    <s v="EGADI"/>
    <m/>
    <m/>
    <m/>
    <m/>
    <m/>
    <m/>
    <s v="PF"/>
    <n v="0"/>
    <n v="0"/>
    <n v="0"/>
    <n v="0"/>
    <n v="0"/>
    <s v="TOMAIA SYNTHETICO PU"/>
    <s v="Bonis SpA"/>
    <m/>
    <m/>
    <m/>
    <m/>
    <m/>
    <m/>
    <m/>
    <m/>
    <n v="0"/>
    <n v="0"/>
    <n v="0"/>
    <m/>
  </r>
  <r>
    <m/>
    <n v="1738"/>
    <x v="18"/>
    <s v="ODA16N00294-229"/>
    <x v="6"/>
    <s v="BONIS SPA"/>
    <s v="STOCK TERRA MP"/>
    <x v="11"/>
    <m/>
    <n v="1"/>
    <n v="8"/>
    <s v="01"/>
    <s v="101"/>
    <s v="007"/>
    <s v="00"/>
    <s v="S"/>
    <s v="P"/>
    <s v="01"/>
    <s v="03"/>
    <s v="False"/>
    <s v="True"/>
    <s v="U002790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n v="0"/>
    <n v="0"/>
    <n v="0"/>
    <m/>
  </r>
  <r>
    <m/>
    <n v="1738"/>
    <x v="18"/>
    <s v="ODA16N00294-232"/>
    <x v="6"/>
    <s v="BONIS SPA"/>
    <s v="STOCK TERRA MP"/>
    <x v="11"/>
    <m/>
    <n v="1"/>
    <n v="8"/>
    <s v="01"/>
    <s v="101"/>
    <s v="007"/>
    <s v="00"/>
    <s v="S"/>
    <s v="P"/>
    <s v="01"/>
    <s v="03"/>
    <s v="False"/>
    <s v="True"/>
    <s v="U002790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n v="0"/>
    <n v="0"/>
    <n v="0"/>
    <m/>
  </r>
  <r>
    <m/>
    <n v="1735"/>
    <x v="19"/>
    <s v="ODA16N00296-079"/>
    <x v="2"/>
    <s v="BONIS SPA"/>
    <s v="STOCK TERRA MP"/>
    <x v="2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PU"/>
    <s v="Bonis SpA"/>
    <m/>
    <m/>
    <m/>
    <m/>
    <m/>
    <m/>
    <m/>
    <m/>
    <n v="0"/>
    <n v="0"/>
    <n v="0"/>
    <m/>
  </r>
  <r>
    <m/>
    <n v="1735"/>
    <x v="20"/>
    <s v="ODA16N00296-202"/>
    <x v="1"/>
    <s v="BONIS SPA"/>
    <s v="STOCK TERRA MP"/>
    <x v="8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SYNTHETIC PU VACCHETT"/>
    <s v="Bonis SpA"/>
    <m/>
    <m/>
    <m/>
    <m/>
    <m/>
    <m/>
    <m/>
    <m/>
    <n v="0"/>
    <n v="0"/>
    <n v="0"/>
    <m/>
  </r>
  <r>
    <m/>
    <n v="1735"/>
    <x v="20"/>
    <s v="ODA16N00296-206"/>
    <x v="1"/>
    <s v="BONIS SPA"/>
    <s v="STOCK TERRA MP"/>
    <x v="8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SYNTHETIC PU VACCHETT"/>
    <s v="Bonis SpA"/>
    <m/>
    <m/>
    <m/>
    <m/>
    <m/>
    <m/>
    <m/>
    <m/>
    <n v="0"/>
    <n v="0"/>
    <n v="0"/>
    <m/>
  </r>
  <r>
    <m/>
    <n v="1735"/>
    <x v="20"/>
    <s v="ODA16N00296-210"/>
    <x v="1"/>
    <s v="BONIS SPA"/>
    <s v="STOCK TERRA MP"/>
    <x v="8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SYNTHETIC PU VACCHETT"/>
    <s v="Bonis SpA"/>
    <m/>
    <m/>
    <m/>
    <m/>
    <m/>
    <m/>
    <m/>
    <m/>
    <n v="0"/>
    <n v="0"/>
    <n v="0"/>
    <m/>
  </r>
  <r>
    <m/>
    <n v="1735"/>
    <x v="20"/>
    <s v="ODA16N00296-237"/>
    <x v="1"/>
    <s v="BONIS SPA"/>
    <s v="STOCK TERRA MP"/>
    <x v="10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SYNTHETIC PU VACCHETT"/>
    <s v="Bonis SpA"/>
    <m/>
    <m/>
    <m/>
    <m/>
    <m/>
    <m/>
    <m/>
    <m/>
    <n v="0"/>
    <n v="0"/>
    <n v="0"/>
    <m/>
  </r>
  <r>
    <m/>
    <n v="1735"/>
    <x v="20"/>
    <s v="ODA16N00296-240"/>
    <x v="1"/>
    <s v="BONIS SPA"/>
    <s v="STOCK TERRA MP"/>
    <x v="10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SYNTHETIC PU VACCHETT"/>
    <s v="Bonis SpA"/>
    <m/>
    <m/>
    <m/>
    <m/>
    <m/>
    <m/>
    <m/>
    <m/>
    <n v="0"/>
    <n v="0"/>
    <n v="0"/>
    <m/>
  </r>
  <r>
    <m/>
    <n v="1735"/>
    <x v="20"/>
    <s v="ODA16N00296-244"/>
    <x v="1"/>
    <s v="BONIS SPA"/>
    <s v="STOCK TERRA MP"/>
    <x v="10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SYNTHETIC PU VACCHETT"/>
    <s v="Bonis SpA"/>
    <m/>
    <m/>
    <m/>
    <m/>
    <m/>
    <m/>
    <m/>
    <m/>
    <n v="0"/>
    <n v="0"/>
    <n v="0"/>
    <m/>
  </r>
  <r>
    <m/>
    <n v="1735"/>
    <x v="21"/>
    <s v="ODA16N00302-892"/>
    <x v="0"/>
    <s v="BONIS SPA"/>
    <s v="STOCK TERRA MP"/>
    <x v="12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37"/>
    <x v="22"/>
    <s v="ODA16N00332-150"/>
    <x v="4"/>
    <s v="BONIS SPA"/>
    <s v="STOCK TERRA MP"/>
    <x v="4"/>
    <m/>
    <n v="1"/>
    <n v="8"/>
    <s v="01"/>
    <s v="101"/>
    <s v="006"/>
    <s v="00"/>
    <s v="S"/>
    <s v="P"/>
    <s v="01"/>
    <s v="03"/>
    <s v="False"/>
    <s v="True"/>
    <s v="U0024638"/>
    <n v="1"/>
    <m/>
    <n v="0"/>
    <n v="0"/>
    <m/>
    <m/>
    <m/>
    <s v="4520243"/>
    <s v="XIAMEN UNIBEST IMP. EXP. CO."/>
    <m/>
    <n v="0"/>
    <n v="0"/>
    <s v="F06"/>
    <s v="MAN"/>
    <s v="PA"/>
    <m/>
    <m/>
    <m/>
    <m/>
    <s v="False"/>
    <m/>
    <s v="ELCOR"/>
    <m/>
    <m/>
    <m/>
    <m/>
    <m/>
    <m/>
    <s v="PF"/>
    <n v="0"/>
    <n v="0"/>
    <n v="0"/>
    <n v="0"/>
    <n v="0"/>
    <s v="BBER CUTING (ELCOR) MESH+MICRO"/>
    <s v="Bonis SpA"/>
    <m/>
    <m/>
    <m/>
    <m/>
    <m/>
    <m/>
    <m/>
    <m/>
    <n v="0"/>
    <n v="0"/>
    <n v="0"/>
    <m/>
  </r>
  <r>
    <m/>
    <n v="1737"/>
    <x v="23"/>
    <s v="ODA16N00336-070"/>
    <x v="1"/>
    <s v="BONIS SPA"/>
    <s v="STOCK TERRA MP"/>
    <x v="11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m/>
    <m/>
    <s v="4520243"/>
    <s v="XIAMEN UNIBEST IMP. EXP. CO."/>
    <m/>
    <n v="0"/>
    <n v="0"/>
    <s v="F06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MESH + MICROSUEDE"/>
    <s v="Bonis SpA"/>
    <m/>
    <m/>
    <m/>
    <m/>
    <m/>
    <m/>
    <m/>
    <m/>
    <n v="0"/>
    <n v="0"/>
    <n v="0"/>
    <m/>
  </r>
  <r>
    <m/>
    <n v="1737"/>
    <x v="23"/>
    <s v="ODA16N00336-087"/>
    <x v="1"/>
    <s v="BONIS SPA"/>
    <s v="STOCK TERRA MP"/>
    <x v="11"/>
    <m/>
    <n v="1"/>
    <n v="12"/>
    <s v="01"/>
    <s v="101"/>
    <s v="006"/>
    <s v="00"/>
    <s v="S"/>
    <s v="P"/>
    <s v="01"/>
    <s v="03"/>
    <s v="False"/>
    <s v="True"/>
    <s v="U0024638"/>
    <n v="1"/>
    <m/>
    <n v="0"/>
    <n v="0"/>
    <m/>
    <m/>
    <m/>
    <s v="4520243"/>
    <s v="XIAMEN UNIBEST IMP. EXP. CO."/>
    <m/>
    <n v="0"/>
    <n v="0"/>
    <s v="F06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MESH + MICROSUEDE"/>
    <s v="Bonis SpA"/>
    <m/>
    <m/>
    <m/>
    <m/>
    <m/>
    <m/>
    <m/>
    <m/>
    <n v="0"/>
    <n v="0"/>
    <n v="0"/>
    <m/>
  </r>
  <r>
    <m/>
    <n v="1734"/>
    <x v="24"/>
    <s v="ODA16N00345-109"/>
    <x v="6"/>
    <s v="BONIS SPA"/>
    <s v="STOCK TERRA MP"/>
    <x v="13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m/>
    <m/>
    <s v="4520182"/>
    <s v="32 Joint Stock Company (Aseco)"/>
    <m/>
    <n v="0"/>
    <n v="0"/>
    <s v="F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SUED"/>
    <s v="Bonis SpA"/>
    <m/>
    <m/>
    <m/>
    <m/>
    <m/>
    <m/>
    <m/>
    <m/>
    <n v="0"/>
    <n v="0"/>
    <n v="0"/>
    <m/>
  </r>
  <r>
    <m/>
    <n v="1745"/>
    <x v="25"/>
    <s v="ODA16N00394-505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06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07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08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09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11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14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15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18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22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27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28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30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31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32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33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34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39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40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53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54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61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65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67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70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77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79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82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88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92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93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595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599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600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601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603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606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607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609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3"/>
    <x v="25"/>
    <s v="ODA16N00394-610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614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618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621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622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5"/>
    <x v="25"/>
    <s v="ODA16N00394-624"/>
    <x v="0"/>
    <s v="BONIS SPA"/>
    <s v="STOCK TERRA MP"/>
    <x v="4"/>
    <m/>
    <n v="1"/>
    <n v="12"/>
    <s v="01"/>
    <s v="101"/>
    <s v="014"/>
    <s v="00"/>
    <s v="S"/>
    <s v="P"/>
    <s v="01"/>
    <s v="03"/>
    <s v="False"/>
    <s v="True"/>
    <s v="U0031249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32"/>
    <x v="26"/>
    <s v="ODA16N00396-141"/>
    <x v="1"/>
    <s v="BONIS SPA"/>
    <s v="STOCK TERRA MP"/>
    <x v="1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143"/>
    <x v="1"/>
    <s v="BONIS SPA"/>
    <s v="STOCK TERRA MP"/>
    <x v="1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145"/>
    <x v="1"/>
    <s v="BONIS SPA"/>
    <s v="STOCK TERRA MP"/>
    <x v="1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150"/>
    <x v="1"/>
    <s v="BONIS SPA"/>
    <s v="STOCK TERRA MP"/>
    <x v="1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153"/>
    <x v="1"/>
    <s v="BONIS SPA"/>
    <s v="STOCK TERRA MP"/>
    <x v="1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155"/>
    <x v="1"/>
    <s v="BONIS SPA"/>
    <s v="STOCK TERRA MP"/>
    <x v="1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158"/>
    <x v="1"/>
    <s v="BONIS SPA"/>
    <s v="STOCK TERRA MP"/>
    <x v="1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162"/>
    <x v="1"/>
    <s v="BONIS SPA"/>
    <s v="STOCK TERRA MP"/>
    <x v="1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200"/>
    <x v="1"/>
    <s v="BONIS SPA"/>
    <s v="STOCK TERRA MP"/>
    <x v="1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212"/>
    <x v="1"/>
    <s v="BONIS SPA"/>
    <s v="STOCK TERRA MP"/>
    <x v="14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216"/>
    <x v="1"/>
    <s v="BONIS SPA"/>
    <s v="STOCK TERRA MP"/>
    <x v="14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232"/>
    <x v="1"/>
    <s v="BONIS SPA"/>
    <s v="STOCK TERRA MP"/>
    <x v="14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233"/>
    <x v="1"/>
    <s v="BONIS SPA"/>
    <s v="STOCK TERRA MP"/>
    <x v="14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236"/>
    <x v="1"/>
    <s v="BONIS SPA"/>
    <s v="STOCK TERRA MP"/>
    <x v="14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249"/>
    <x v="1"/>
    <s v="BONIS SPA"/>
    <s v="STOCK TERRA MP"/>
    <x v="14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252"/>
    <x v="1"/>
    <s v="BONIS SPA"/>
    <s v="STOCK TERRA MP"/>
    <x v="14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259"/>
    <x v="1"/>
    <s v="BONIS SPA"/>
    <s v="STOCK TERRA MP"/>
    <x v="14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6"/>
    <s v="ODA16N00396-262"/>
    <x v="1"/>
    <s v="BONIS SPA"/>
    <s v="STOCK TERRA MP"/>
    <x v="14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R TEXTILE art.FC-1394"/>
    <s v="Bonis SpA"/>
    <m/>
    <m/>
    <m/>
    <m/>
    <m/>
    <m/>
    <m/>
    <m/>
    <n v="0"/>
    <n v="0"/>
    <n v="0"/>
    <m/>
  </r>
  <r>
    <m/>
    <n v="1732"/>
    <x v="27"/>
    <s v="ODA16N00396-270"/>
    <x v="1"/>
    <s v="BONIS SPA"/>
    <s v="STOCK TERRA MP"/>
    <x v="15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272"/>
    <x v="1"/>
    <s v="BONIS SPA"/>
    <s v="STOCK TERRA MP"/>
    <x v="15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273"/>
    <x v="1"/>
    <s v="BONIS SPA"/>
    <s v="STOCK TERRA MP"/>
    <x v="15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274"/>
    <x v="1"/>
    <s v="BONIS SPA"/>
    <s v="STOCK TERRA MP"/>
    <x v="15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279"/>
    <x v="1"/>
    <s v="BONIS SPA"/>
    <s v="STOCK TERRA MP"/>
    <x v="15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288"/>
    <x v="1"/>
    <s v="BONIS SPA"/>
    <s v="STOCK TERRA MP"/>
    <x v="15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289"/>
    <x v="1"/>
    <s v="BONIS SPA"/>
    <s v="STOCK TERRA MP"/>
    <x v="15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290"/>
    <x v="1"/>
    <s v="BONIS SPA"/>
    <s v="STOCK TERRA MP"/>
    <x v="15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297"/>
    <x v="1"/>
    <s v="BONIS SPA"/>
    <s v="STOCK TERRA MP"/>
    <x v="15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302"/>
    <x v="1"/>
    <s v="BONIS SPA"/>
    <s v="STOCK TERRA MP"/>
    <x v="16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304"/>
    <x v="1"/>
    <s v="BONIS SPA"/>
    <s v="STOCK TERRA MP"/>
    <x v="16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332"/>
    <x v="1"/>
    <s v="BONIS SPA"/>
    <s v="STOCK TERRA MP"/>
    <x v="16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342"/>
    <x v="1"/>
    <s v="BONIS SPA"/>
    <s v="STOCK TERRA MP"/>
    <x v="16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344"/>
    <x v="1"/>
    <s v="BONIS SPA"/>
    <s v="STOCK TERRA MP"/>
    <x v="16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346"/>
    <x v="1"/>
    <s v="BONIS SPA"/>
    <s v="STOCK TERRA MP"/>
    <x v="16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348"/>
    <x v="1"/>
    <s v="BONIS SPA"/>
    <s v="STOCK TERRA MP"/>
    <x v="16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350"/>
    <x v="1"/>
    <s v="BONIS SPA"/>
    <s v="STOCK TERRA MP"/>
    <x v="16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2"/>
    <x v="27"/>
    <s v="ODA16N00396-351"/>
    <x v="1"/>
    <s v="BONIS SPA"/>
    <s v="STOCK TERRA MP"/>
    <x v="16"/>
    <m/>
    <n v="1"/>
    <n v="12"/>
    <s v="01"/>
    <s v="101"/>
    <s v="001"/>
    <s v="00"/>
    <s v="S"/>
    <s v="P"/>
    <s v="01"/>
    <s v="03"/>
    <s v="False"/>
    <s v="True"/>
    <s v="U0033395"/>
    <n v="1"/>
    <m/>
    <n v="0"/>
    <n v="0"/>
    <m/>
    <s v="SMU"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YNTHETIC LEATHER"/>
    <s v="Bonis SpA"/>
    <m/>
    <m/>
    <m/>
    <m/>
    <m/>
    <m/>
    <m/>
    <m/>
    <n v="0"/>
    <n v="0"/>
    <n v="0"/>
    <m/>
  </r>
  <r>
    <m/>
    <n v="1733"/>
    <x v="25"/>
    <s v="ODA16N00410-202"/>
    <x v="0"/>
    <s v="BONIS SPA"/>
    <s v="STOCK TERRA MP"/>
    <x v="4"/>
    <m/>
    <n v="1"/>
    <n v="12"/>
    <s v="01"/>
    <s v="101"/>
    <s v="002"/>
    <s v="00"/>
    <s v="S"/>
    <s v="P"/>
    <s v="01"/>
    <s v="03"/>
    <s v="False"/>
    <s v="True"/>
    <s v="U0031247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42"/>
    <x v="28"/>
    <s v="ODA17N00003-001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05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20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4"/>
    <x v="28"/>
    <s v="ODA17N00003-022"/>
    <x v="1"/>
    <s v="BONIS SPA"/>
    <s v="STOCK TERRA MP"/>
    <x v="4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23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32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39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43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45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49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58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60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61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65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67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74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77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78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79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81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91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93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4"/>
    <x v="28"/>
    <s v="ODA17N00003-096"/>
    <x v="1"/>
    <s v="BONIS SPA"/>
    <s v="STOCK TERRA MP"/>
    <x v="4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2"/>
    <x v="28"/>
    <s v="ODA17N00003-098"/>
    <x v="1"/>
    <s v="BONIS SPA"/>
    <s v="STOCK TERRA MP"/>
    <x v="4"/>
    <m/>
    <n v="1"/>
    <n v="12"/>
    <s v="01"/>
    <s v="101"/>
    <s v="011"/>
    <s v="00"/>
    <s v="S"/>
    <s v="P"/>
    <s v="01"/>
    <s v="03"/>
    <s v="False"/>
    <s v="True"/>
    <s v="U0031314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01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04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07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08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16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17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21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22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24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25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26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29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30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33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40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42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43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49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53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55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60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62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63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64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66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75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77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81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82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84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87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89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93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18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199"/>
    <x v="1"/>
    <s v="BONIS SPA"/>
    <s v="STOCK TERRA MP"/>
    <x v="2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4"/>
    <x v="28"/>
    <s v="ODA17N00003-218"/>
    <x v="1"/>
    <s v="BONIS SPA"/>
    <s v="STOCK TERRA MP"/>
    <x v="6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4"/>
    <x v="28"/>
    <s v="ODA17N00003-228"/>
    <x v="1"/>
    <s v="BONIS SPA"/>
    <s v="STOCK TERRA MP"/>
    <x v="6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299"/>
    <x v="1"/>
    <s v="BONIS SPA"/>
    <s v="STOCK TERRA MP"/>
    <x v="6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300"/>
    <x v="1"/>
    <s v="BONIS SPA"/>
    <s v="STOCK TERRA MP"/>
    <x v="6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303"/>
    <x v="1"/>
    <s v="BONIS SPA"/>
    <s v="STOCK TERRA MP"/>
    <x v="10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06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10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13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15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4"/>
    <x v="28"/>
    <s v="ODA17N00003-325"/>
    <x v="1"/>
    <s v="BONIS SPA"/>
    <s v="STOCK TERRA MP"/>
    <x v="10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29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339"/>
    <x v="1"/>
    <s v="BONIS SPA"/>
    <s v="STOCK TERRA MP"/>
    <x v="10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44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46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47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49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50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52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55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357"/>
    <x v="1"/>
    <s v="BONIS SPA"/>
    <s v="STOCK TERRA MP"/>
    <x v="10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65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4"/>
    <x v="28"/>
    <s v="ODA17N00003-369"/>
    <x v="1"/>
    <s v="BONIS SPA"/>
    <s v="STOCK TERRA MP"/>
    <x v="10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72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73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75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77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79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80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81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82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84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3"/>
    <x v="28"/>
    <s v="ODA17N00003-388"/>
    <x v="1"/>
    <s v="BONIS SPA"/>
    <s v="STOCK TERRA MP"/>
    <x v="10"/>
    <m/>
    <n v="1"/>
    <n v="12"/>
    <s v="01"/>
    <s v="101"/>
    <s v="012"/>
    <s v="00"/>
    <s v="S"/>
    <s v="P"/>
    <s v="01"/>
    <s v="03"/>
    <s v="False"/>
    <s v="True"/>
    <s v="U003132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89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91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92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4"/>
    <x v="28"/>
    <s v="ODA17N00003-393"/>
    <x v="1"/>
    <s v="BONIS SPA"/>
    <s v="STOCK TERRA MP"/>
    <x v="10"/>
    <m/>
    <n v="1"/>
    <n v="12"/>
    <s v="01"/>
    <s v="101"/>
    <s v="013"/>
    <s v="00"/>
    <s v="S"/>
    <s v="P"/>
    <s v="01"/>
    <s v="03"/>
    <s v="False"/>
    <s v="True"/>
    <s v="U0023677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1"/>
    <x v="28"/>
    <s v="ODA17N00003-395"/>
    <x v="1"/>
    <s v="BONIS SPA"/>
    <s v="STOCK TERRA MP"/>
    <x v="10"/>
    <m/>
    <n v="1"/>
    <n v="12"/>
    <s v="01"/>
    <s v="101"/>
    <s v="010"/>
    <s v="00"/>
    <s v="S"/>
    <s v="P"/>
    <s v="01"/>
    <s v="03"/>
    <s v="False"/>
    <s v="True"/>
    <s v="U0031310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35"/>
    <x v="29"/>
    <s v="ODV16N02270-100"/>
    <x v="0"/>
    <s v="BONIS SPA"/>
    <s v="STOCK TERRA MP"/>
    <x v="17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LEATHER LUDVIG"/>
    <s v="Bonis SpA"/>
    <m/>
    <m/>
    <m/>
    <m/>
    <m/>
    <m/>
    <m/>
    <m/>
    <n v="0"/>
    <n v="0"/>
    <n v="0"/>
    <m/>
  </r>
  <r>
    <m/>
    <n v="1735"/>
    <x v="29"/>
    <s v="ODV16N02270-108"/>
    <x v="0"/>
    <s v="BONIS SPA"/>
    <s v="STOCK TERRA MP"/>
    <x v="17"/>
    <m/>
    <n v="1"/>
    <n v="12"/>
    <s v="01"/>
    <s v="101"/>
    <s v="004"/>
    <s v="00"/>
    <s v="S"/>
    <s v="P"/>
    <s v="01"/>
    <s v="03"/>
    <s v="False"/>
    <s v="True"/>
    <s v="U0028015"/>
    <n v="1"/>
    <m/>
    <n v="0"/>
    <n v="0"/>
    <m/>
    <m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LEATHER LUDVIG"/>
    <s v="Bonis SpA"/>
    <m/>
    <m/>
    <m/>
    <m/>
    <m/>
    <m/>
    <m/>
    <m/>
    <n v="0"/>
    <n v="0"/>
    <n v="0"/>
    <m/>
  </r>
  <r>
    <m/>
    <n v="1734"/>
    <x v="30"/>
    <s v="ODV16N02274-039"/>
    <x v="1"/>
    <s v="BONIS SPA"/>
    <s v="STOCK TERRA MP"/>
    <x v="18"/>
    <m/>
    <n v="1"/>
    <n v="12"/>
    <s v="01"/>
    <s v="101"/>
    <s v="003"/>
    <s v="00"/>
    <s v="S"/>
    <s v="P"/>
    <s v="01"/>
    <s v="03"/>
    <s v="False"/>
    <s v="True"/>
    <s v="U0023945"/>
    <n v="1"/>
    <m/>
    <n v="0"/>
    <n v="0"/>
    <m/>
    <m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0"/>
    <s v="ODV16N02274-040"/>
    <x v="1"/>
    <s v="BONIS SPA"/>
    <s v="STOCK TERRA MP"/>
    <x v="18"/>
    <m/>
    <n v="1"/>
    <n v="12"/>
    <s v="01"/>
    <s v="101"/>
    <s v="003"/>
    <s v="00"/>
    <s v="S"/>
    <s v="P"/>
    <s v="01"/>
    <s v="03"/>
    <s v="False"/>
    <s v="True"/>
    <s v="U0023945"/>
    <n v="1"/>
    <m/>
    <n v="0"/>
    <n v="0"/>
    <m/>
    <m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6"/>
    <x v="30"/>
    <s v="ODV16N02274-059"/>
    <x v="1"/>
    <s v="BONIS SPA"/>
    <s v="STOCK TERRA MP"/>
    <x v="18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m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6"/>
    <x v="30"/>
    <s v="ODV16N02274-060"/>
    <x v="1"/>
    <s v="BONIS SPA"/>
    <s v="STOCK TERRA MP"/>
    <x v="18"/>
    <m/>
    <n v="1"/>
    <n v="12"/>
    <s v="01"/>
    <s v="101"/>
    <s v="005"/>
    <s v="00"/>
    <s v="S"/>
    <s v="P"/>
    <s v="01"/>
    <s v="03"/>
    <s v="False"/>
    <s v="True"/>
    <s v="U0024335"/>
    <n v="1"/>
    <m/>
    <n v="0"/>
    <n v="0"/>
    <m/>
    <m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6"/>
    <x v="31"/>
    <s v="ODV16N02275-010"/>
    <x v="4"/>
    <s v="BONIS SPA"/>
    <s v="STOCK TERRA MP"/>
    <x v="7"/>
    <m/>
    <n v="1"/>
    <n v="8"/>
    <s v="01"/>
    <s v="101"/>
    <s v="005"/>
    <s v="00"/>
    <s v="S"/>
    <s v="P"/>
    <s v="01"/>
    <s v="03"/>
    <s v="False"/>
    <s v="True"/>
    <s v="U0024335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39"/>
    <x v="31"/>
    <s v="ODV16N02275-023"/>
    <x v="0"/>
    <s v="BONIS SPA"/>
    <s v="STOCK TERRA MP"/>
    <x v="7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39"/>
    <x v="31"/>
    <s v="ODV16N02275-026"/>
    <x v="0"/>
    <s v="BONIS SPA"/>
    <s v="STOCK TERRA MP"/>
    <x v="7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39"/>
    <x v="31"/>
    <s v="ODV16N02275-027"/>
    <x v="0"/>
    <s v="BONIS SPA"/>
    <s v="STOCK TERRA MP"/>
    <x v="7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39"/>
    <x v="31"/>
    <s v="ODV16N02275-028"/>
    <x v="0"/>
    <s v="BONIS SPA"/>
    <s v="STOCK TERRA MP"/>
    <x v="7"/>
    <m/>
    <n v="1"/>
    <n v="12"/>
    <s v="01"/>
    <s v="101"/>
    <s v="008"/>
    <s v="00"/>
    <s v="S"/>
    <s v="P"/>
    <s v="01"/>
    <s v="03"/>
    <s v="False"/>
    <s v="True"/>
    <s v="U0023984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36"/>
    <x v="31"/>
    <s v="ODV16N02275-041"/>
    <x v="4"/>
    <s v="BONIS SPA"/>
    <s v="STOCK TERRA MP"/>
    <x v="19"/>
    <m/>
    <n v="1"/>
    <n v="8"/>
    <s v="01"/>
    <s v="101"/>
    <s v="005"/>
    <s v="00"/>
    <s v="S"/>
    <s v="P"/>
    <s v="01"/>
    <s v="03"/>
    <s v="False"/>
    <s v="True"/>
    <s v="U0024335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34"/>
    <x v="32"/>
    <s v="ODV16N02278-021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22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23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24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25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26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27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28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29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30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31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32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33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34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35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36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37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38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39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34"/>
    <x v="32"/>
    <s v="ODV16N02278-040"/>
    <x v="7"/>
    <s v="BONIS SPA"/>
    <s v="STOCK TERRA MP"/>
    <x v="18"/>
    <m/>
    <n v="1"/>
    <n v="8"/>
    <s v="01"/>
    <s v="101"/>
    <s v="003"/>
    <s v="00"/>
    <s v="S"/>
    <s v="P"/>
    <s v="01"/>
    <s v="03"/>
    <s v="False"/>
    <s v="True"/>
    <s v="U0023945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60"/>
    <x v="10"/>
    <m/>
    <x v="8"/>
    <s v="BONIS SPA"/>
    <s v="STOCK TERRA MP"/>
    <x v="8"/>
    <m/>
    <m/>
    <n v="1"/>
    <s v="01"/>
    <s v="102"/>
    <s v="014"/>
    <s v="00"/>
    <s v="S"/>
    <s v="P"/>
    <s v="01"/>
    <s v="03"/>
    <s v="False"/>
    <s v="True"/>
    <s v="U0032391"/>
    <n v="1"/>
    <m/>
    <n v="0"/>
    <n v="0"/>
    <m/>
    <m/>
    <m/>
    <m/>
    <m/>
    <m/>
    <m/>
    <m/>
    <s v="F06"/>
    <s v="MAN"/>
    <s v="PA"/>
    <m/>
    <m/>
    <m/>
    <m/>
    <s v="False"/>
    <m/>
    <s v="TABRY"/>
    <m/>
    <m/>
    <m/>
    <m/>
    <m/>
    <m/>
    <s v="PF"/>
    <n v="0"/>
    <n v="0"/>
    <n v="0"/>
    <n v="0"/>
    <n v="0"/>
    <s v="GOMMA-EVA MESH+PU+REAL SUEDE"/>
    <s v="Bonis SpA"/>
    <m/>
    <m/>
    <m/>
    <m/>
    <m/>
    <m/>
    <m/>
    <m/>
    <m/>
    <m/>
    <m/>
    <m/>
  </r>
  <r>
    <m/>
    <n v="1760"/>
    <x v="10"/>
    <m/>
    <x v="9"/>
    <s v="BONIS SPA"/>
    <s v="STOCK TERRA MP"/>
    <x v="8"/>
    <m/>
    <m/>
    <n v="1"/>
    <s v="01"/>
    <s v="102"/>
    <s v="014"/>
    <s v="00"/>
    <s v="S"/>
    <s v="P"/>
    <s v="01"/>
    <s v="03"/>
    <s v="False"/>
    <s v="True"/>
    <s v="U0032391"/>
    <n v="1"/>
    <m/>
    <n v="0"/>
    <n v="0"/>
    <m/>
    <m/>
    <m/>
    <m/>
    <m/>
    <m/>
    <m/>
    <m/>
    <s v="F06"/>
    <s v="MAN"/>
    <s v="PA"/>
    <m/>
    <m/>
    <m/>
    <m/>
    <s v="False"/>
    <m/>
    <s v="TABRY"/>
    <m/>
    <m/>
    <m/>
    <m/>
    <m/>
    <m/>
    <s v="PF"/>
    <n v="0"/>
    <n v="0"/>
    <n v="0"/>
    <n v="0"/>
    <n v="0"/>
    <s v="GOMMA-EVA MESH+PU+REAL SUEDE"/>
    <s v="Bonis SpA"/>
    <m/>
    <m/>
    <m/>
    <m/>
    <m/>
    <m/>
    <m/>
    <m/>
    <m/>
    <m/>
    <m/>
    <m/>
  </r>
  <r>
    <m/>
    <n v="1760"/>
    <x v="33"/>
    <m/>
    <x v="10"/>
    <s v="BONIS SPA"/>
    <s v="STOCK TERRA MP"/>
    <x v="11"/>
    <m/>
    <m/>
    <n v="1"/>
    <s v="01"/>
    <s v="102"/>
    <s v="014"/>
    <s v="00"/>
    <s v="S"/>
    <s v="P"/>
    <s v="01"/>
    <s v="03"/>
    <s v="False"/>
    <s v="True"/>
    <s v="U0031357"/>
    <n v="1"/>
    <m/>
    <n v="0"/>
    <n v="0"/>
    <m/>
    <m/>
    <m/>
    <m/>
    <m/>
    <m/>
    <m/>
    <m/>
    <s v="F06"/>
    <s v="KID"/>
    <s v="PA"/>
    <m/>
    <m/>
    <m/>
    <m/>
    <s v="False"/>
    <m/>
    <s v="TAREK"/>
    <m/>
    <m/>
    <m/>
    <m/>
    <m/>
    <m/>
    <s v="PF"/>
    <n v="0"/>
    <n v="0"/>
    <n v="0"/>
    <n v="0"/>
    <n v="0"/>
    <s v="GOMMA MESH+MICROSUE"/>
    <s v="Bonis SpA"/>
    <m/>
    <m/>
    <m/>
    <m/>
    <m/>
    <m/>
    <m/>
    <m/>
    <m/>
    <m/>
    <m/>
    <m/>
  </r>
  <r>
    <m/>
    <n v="1760"/>
    <x v="33"/>
    <m/>
    <x v="11"/>
    <s v="BONIS SPA"/>
    <s v="STOCK TERRA MP"/>
    <x v="11"/>
    <m/>
    <m/>
    <n v="1"/>
    <s v="01"/>
    <s v="102"/>
    <s v="014"/>
    <s v="00"/>
    <s v="S"/>
    <s v="P"/>
    <s v="01"/>
    <s v="03"/>
    <s v="False"/>
    <s v="True"/>
    <s v="U0031357"/>
    <n v="1"/>
    <m/>
    <n v="0"/>
    <n v="0"/>
    <m/>
    <m/>
    <m/>
    <m/>
    <m/>
    <m/>
    <m/>
    <m/>
    <s v="F06"/>
    <s v="KID"/>
    <s v="PA"/>
    <m/>
    <m/>
    <m/>
    <m/>
    <s v="False"/>
    <m/>
    <s v="TAREK"/>
    <m/>
    <m/>
    <m/>
    <m/>
    <m/>
    <m/>
    <s v="PF"/>
    <n v="0"/>
    <n v="0"/>
    <n v="0"/>
    <n v="0"/>
    <n v="0"/>
    <s v="GOMMA MESH+MICROSUE"/>
    <s v="Bonis SpA"/>
    <m/>
    <m/>
    <m/>
    <m/>
    <m/>
    <m/>
    <m/>
    <m/>
    <m/>
    <m/>
    <m/>
    <m/>
  </r>
  <r>
    <m/>
    <n v="1760"/>
    <x v="33"/>
    <m/>
    <x v="12"/>
    <s v="BONIS SPA"/>
    <s v="STOCK TERRA MP"/>
    <x v="11"/>
    <m/>
    <m/>
    <n v="1"/>
    <s v="01"/>
    <s v="102"/>
    <s v="014"/>
    <s v="00"/>
    <s v="S"/>
    <s v="P"/>
    <s v="01"/>
    <s v="03"/>
    <s v="False"/>
    <s v="True"/>
    <s v="U0031357"/>
    <n v="1"/>
    <m/>
    <n v="0"/>
    <n v="0"/>
    <m/>
    <m/>
    <m/>
    <m/>
    <m/>
    <m/>
    <m/>
    <m/>
    <s v="F06"/>
    <s v="KID"/>
    <s v="PA"/>
    <m/>
    <m/>
    <m/>
    <m/>
    <s v="False"/>
    <m/>
    <s v="TAREK"/>
    <m/>
    <m/>
    <m/>
    <m/>
    <m/>
    <m/>
    <s v="PF"/>
    <n v="0"/>
    <n v="0"/>
    <n v="0"/>
    <n v="0"/>
    <n v="0"/>
    <s v="GOMMA MESH+MICROSUE"/>
    <s v="Bonis SpA"/>
    <m/>
    <m/>
    <m/>
    <m/>
    <m/>
    <m/>
    <m/>
    <m/>
    <m/>
    <m/>
    <m/>
    <m/>
  </r>
  <r>
    <m/>
    <n v="1760"/>
    <x v="33"/>
    <m/>
    <x v="13"/>
    <s v="BONIS SPA"/>
    <s v="STOCK TERRA MP"/>
    <x v="11"/>
    <m/>
    <m/>
    <n v="1"/>
    <s v="01"/>
    <s v="102"/>
    <s v="014"/>
    <s v="00"/>
    <s v="S"/>
    <s v="P"/>
    <s v="01"/>
    <s v="03"/>
    <s v="False"/>
    <s v="True"/>
    <s v="U0031357"/>
    <n v="1"/>
    <m/>
    <n v="0"/>
    <n v="0"/>
    <m/>
    <m/>
    <m/>
    <m/>
    <m/>
    <m/>
    <m/>
    <m/>
    <s v="F06"/>
    <s v="KID"/>
    <s v="PA"/>
    <m/>
    <m/>
    <m/>
    <m/>
    <s v="False"/>
    <m/>
    <s v="TAREK"/>
    <m/>
    <m/>
    <m/>
    <m/>
    <m/>
    <m/>
    <s v="PF"/>
    <n v="0"/>
    <n v="0"/>
    <n v="0"/>
    <n v="0"/>
    <n v="0"/>
    <s v="GOMMA MESH+MICROSUE"/>
    <s v="Bonis SpA"/>
    <m/>
    <m/>
    <m/>
    <m/>
    <m/>
    <m/>
    <m/>
    <m/>
    <m/>
    <m/>
    <m/>
    <m/>
  </r>
  <r>
    <m/>
    <n v="1760"/>
    <x v="33"/>
    <m/>
    <x v="14"/>
    <s v="BONIS SPA"/>
    <s v="STOCK TERRA MP"/>
    <x v="11"/>
    <m/>
    <m/>
    <n v="1"/>
    <s v="01"/>
    <s v="102"/>
    <s v="014"/>
    <s v="00"/>
    <s v="S"/>
    <s v="P"/>
    <s v="01"/>
    <s v="03"/>
    <s v="False"/>
    <s v="True"/>
    <s v="U0031357"/>
    <n v="1"/>
    <m/>
    <n v="0"/>
    <n v="0"/>
    <m/>
    <m/>
    <m/>
    <m/>
    <m/>
    <m/>
    <m/>
    <m/>
    <s v="F06"/>
    <s v="KID"/>
    <s v="PA"/>
    <m/>
    <m/>
    <m/>
    <m/>
    <s v="False"/>
    <m/>
    <s v="TAREK"/>
    <m/>
    <m/>
    <m/>
    <m/>
    <m/>
    <m/>
    <s v="PF"/>
    <n v="0"/>
    <n v="0"/>
    <n v="0"/>
    <n v="0"/>
    <n v="0"/>
    <s v="GOMMA MESH+MICROSUE"/>
    <s v="Bonis SpA"/>
    <m/>
    <m/>
    <m/>
    <m/>
    <m/>
    <m/>
    <m/>
    <m/>
    <m/>
    <m/>
    <m/>
    <m/>
  </r>
  <r>
    <m/>
    <n v="1760"/>
    <x v="33"/>
    <m/>
    <x v="15"/>
    <s v="BONIS SPA"/>
    <s v="STOCK TERRA MP"/>
    <x v="11"/>
    <m/>
    <m/>
    <n v="1"/>
    <s v="01"/>
    <s v="102"/>
    <s v="014"/>
    <s v="00"/>
    <s v="S"/>
    <s v="P"/>
    <s v="01"/>
    <s v="03"/>
    <s v="False"/>
    <s v="True"/>
    <s v="U0031357"/>
    <n v="1"/>
    <m/>
    <n v="0"/>
    <n v="0"/>
    <m/>
    <m/>
    <m/>
    <m/>
    <m/>
    <m/>
    <m/>
    <m/>
    <s v="F06"/>
    <s v="KID"/>
    <s v="PA"/>
    <m/>
    <m/>
    <m/>
    <m/>
    <s v="False"/>
    <m/>
    <s v="TAREK"/>
    <m/>
    <m/>
    <m/>
    <m/>
    <m/>
    <m/>
    <s v="PF"/>
    <n v="0"/>
    <n v="0"/>
    <n v="0"/>
    <n v="0"/>
    <n v="0"/>
    <s v="GOMMA MESH+MICROSUE"/>
    <s v="Bonis SpA"/>
    <m/>
    <m/>
    <m/>
    <m/>
    <m/>
    <m/>
    <m/>
    <m/>
    <m/>
    <m/>
    <m/>
    <m/>
  </r>
  <r>
    <m/>
    <n v="1760"/>
    <x v="33"/>
    <m/>
    <x v="16"/>
    <s v="BONIS SPA"/>
    <s v="STOCK TERRA MP"/>
    <x v="11"/>
    <m/>
    <m/>
    <n v="1"/>
    <s v="01"/>
    <s v="102"/>
    <s v="014"/>
    <s v="00"/>
    <s v="S"/>
    <s v="P"/>
    <s v="01"/>
    <s v="03"/>
    <s v="False"/>
    <s v="True"/>
    <s v="U0031357"/>
    <n v="1"/>
    <m/>
    <n v="0"/>
    <n v="0"/>
    <m/>
    <m/>
    <m/>
    <m/>
    <m/>
    <m/>
    <m/>
    <m/>
    <s v="F06"/>
    <s v="KID"/>
    <s v="PA"/>
    <m/>
    <m/>
    <m/>
    <m/>
    <s v="False"/>
    <m/>
    <s v="TAREK"/>
    <m/>
    <m/>
    <m/>
    <m/>
    <m/>
    <m/>
    <s v="PF"/>
    <n v="0"/>
    <n v="0"/>
    <n v="0"/>
    <n v="0"/>
    <n v="0"/>
    <s v="GOMMA MESH+MICROSUE"/>
    <s v="Bonis SpA"/>
    <m/>
    <m/>
    <m/>
    <m/>
    <m/>
    <m/>
    <m/>
    <m/>
    <m/>
    <m/>
    <m/>
    <m/>
  </r>
  <r>
    <m/>
    <n v="1760"/>
    <x v="33"/>
    <m/>
    <x v="17"/>
    <s v="BONIS SPA"/>
    <s v="STOCK TERRA MP"/>
    <x v="11"/>
    <m/>
    <m/>
    <n v="1"/>
    <s v="01"/>
    <s v="102"/>
    <s v="014"/>
    <s v="00"/>
    <s v="S"/>
    <s v="P"/>
    <s v="01"/>
    <s v="03"/>
    <s v="False"/>
    <s v="True"/>
    <s v="U0031357"/>
    <n v="1"/>
    <m/>
    <n v="0"/>
    <n v="0"/>
    <m/>
    <m/>
    <m/>
    <m/>
    <m/>
    <m/>
    <m/>
    <m/>
    <s v="F06"/>
    <s v="KID"/>
    <s v="PA"/>
    <m/>
    <m/>
    <m/>
    <m/>
    <s v="False"/>
    <m/>
    <s v="TAREK"/>
    <m/>
    <m/>
    <m/>
    <m/>
    <m/>
    <m/>
    <s v="PF"/>
    <n v="0"/>
    <n v="0"/>
    <n v="0"/>
    <n v="0"/>
    <n v="0"/>
    <s v="GOMMA MESH+MICROSUE"/>
    <s v="Bonis SpA"/>
    <m/>
    <m/>
    <m/>
    <m/>
    <m/>
    <m/>
    <m/>
    <m/>
    <m/>
    <m/>
    <m/>
    <m/>
  </r>
  <r>
    <m/>
    <n v="1760"/>
    <x v="34"/>
    <m/>
    <x v="14"/>
    <s v="BONIS SPA"/>
    <s v="STOCK TERRA MP"/>
    <x v="20"/>
    <m/>
    <m/>
    <n v="2"/>
    <s v="01"/>
    <s v="102"/>
    <s v="014"/>
    <s v="00"/>
    <s v="S"/>
    <s v="P"/>
    <s v="01"/>
    <s v="03"/>
    <s v="False"/>
    <s v="True"/>
    <s v="U0031331"/>
    <n v="1"/>
    <m/>
    <n v="0"/>
    <n v="0"/>
    <m/>
    <m/>
    <m/>
    <m/>
    <m/>
    <m/>
    <m/>
    <m/>
    <s v="F06"/>
    <s v="WOMAN"/>
    <s v="PA"/>
    <m/>
    <m/>
    <m/>
    <m/>
    <s v="False"/>
    <m/>
    <s v="EGEO"/>
    <m/>
    <m/>
    <m/>
    <m/>
    <m/>
    <m/>
    <s v="PF"/>
    <n v="0"/>
    <n v="0"/>
    <n v="0"/>
    <n v="0"/>
    <n v="0"/>
    <s v="GEO TOMAIA SYNTHETIC"/>
    <s v="Bonis SpA"/>
    <m/>
    <m/>
    <m/>
    <m/>
    <m/>
    <m/>
    <m/>
    <m/>
    <m/>
    <m/>
    <m/>
    <m/>
  </r>
  <r>
    <m/>
    <n v="1760"/>
    <x v="34"/>
    <m/>
    <x v="15"/>
    <s v="BONIS SPA"/>
    <s v="STOCK TERRA MP"/>
    <x v="20"/>
    <m/>
    <m/>
    <n v="1"/>
    <s v="01"/>
    <s v="102"/>
    <s v="014"/>
    <s v="00"/>
    <s v="S"/>
    <s v="P"/>
    <s v="01"/>
    <s v="03"/>
    <s v="False"/>
    <s v="True"/>
    <s v="U0031331"/>
    <n v="1"/>
    <m/>
    <n v="0"/>
    <n v="0"/>
    <m/>
    <m/>
    <m/>
    <m/>
    <m/>
    <m/>
    <m/>
    <m/>
    <s v="F06"/>
    <s v="WOMAN"/>
    <s v="PA"/>
    <m/>
    <m/>
    <m/>
    <m/>
    <s v="False"/>
    <m/>
    <s v="EGEO"/>
    <m/>
    <m/>
    <m/>
    <m/>
    <m/>
    <m/>
    <s v="PF"/>
    <n v="0"/>
    <n v="0"/>
    <n v="0"/>
    <n v="0"/>
    <n v="0"/>
    <s v="GEO TOMAIA SYNTHETIC"/>
    <s v="Bonis SpA"/>
    <m/>
    <m/>
    <m/>
    <m/>
    <m/>
    <m/>
    <m/>
    <m/>
    <m/>
    <m/>
    <m/>
    <m/>
  </r>
  <r>
    <m/>
    <n v="1760"/>
    <x v="0"/>
    <m/>
    <x v="18"/>
    <s v="BONIS SPA"/>
    <s v="STOCK TERRA MP"/>
    <x v="6"/>
    <m/>
    <m/>
    <n v="1"/>
    <s v="01"/>
    <s v="102"/>
    <s v="014"/>
    <s v="00"/>
    <s v="S"/>
    <s v="P"/>
    <s v="01"/>
    <s v="03"/>
    <s v="False"/>
    <s v="True"/>
    <s v="U0032392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0"/>
    <m/>
    <x v="19"/>
    <s v="BONIS SPA"/>
    <s v="STOCK TERRA MP"/>
    <x v="6"/>
    <m/>
    <m/>
    <n v="2"/>
    <s v="01"/>
    <s v="102"/>
    <s v="014"/>
    <s v="00"/>
    <s v="S"/>
    <s v="P"/>
    <s v="01"/>
    <s v="03"/>
    <s v="False"/>
    <s v="True"/>
    <s v="U0032392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0"/>
    <m/>
    <x v="20"/>
    <s v="BONIS SPA"/>
    <s v="STOCK TERRA MP"/>
    <x v="6"/>
    <m/>
    <m/>
    <n v="1"/>
    <s v="01"/>
    <s v="102"/>
    <s v="014"/>
    <s v="00"/>
    <s v="S"/>
    <s v="P"/>
    <s v="01"/>
    <s v="03"/>
    <s v="False"/>
    <s v="True"/>
    <s v="U0032392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35"/>
    <m/>
    <x v="18"/>
    <s v="BONIS SPA"/>
    <s v="STOCK TERRA MP"/>
    <x v="10"/>
    <m/>
    <m/>
    <n v="1"/>
    <s v="01"/>
    <s v="102"/>
    <s v="014"/>
    <s v="00"/>
    <s v="S"/>
    <s v="P"/>
    <s v="01"/>
    <s v="03"/>
    <s v="False"/>
    <s v="True"/>
    <s v="U0032391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5"/>
    <m/>
    <x v="20"/>
    <s v="BONIS SPA"/>
    <s v="STOCK TERRA MP"/>
    <x v="10"/>
    <m/>
    <m/>
    <n v="2"/>
    <s v="01"/>
    <s v="102"/>
    <s v="014"/>
    <s v="00"/>
    <s v="S"/>
    <s v="P"/>
    <s v="01"/>
    <s v="03"/>
    <s v="False"/>
    <s v="True"/>
    <s v="U0032391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5"/>
    <m/>
    <x v="8"/>
    <s v="BONIS SPA"/>
    <s v="STOCK TERRA MP"/>
    <x v="10"/>
    <m/>
    <m/>
    <n v="1"/>
    <s v="01"/>
    <s v="102"/>
    <s v="014"/>
    <s v="00"/>
    <s v="S"/>
    <s v="P"/>
    <s v="01"/>
    <s v="03"/>
    <s v="False"/>
    <s v="True"/>
    <s v="U0032391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5"/>
    <m/>
    <x v="18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2389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5"/>
    <m/>
    <x v="19"/>
    <s v="BONIS SPA"/>
    <s v="STOCK TERRA MP"/>
    <x v="4"/>
    <m/>
    <m/>
    <n v="2"/>
    <s v="01"/>
    <s v="102"/>
    <s v="014"/>
    <s v="00"/>
    <s v="S"/>
    <s v="P"/>
    <s v="01"/>
    <s v="03"/>
    <s v="False"/>
    <s v="True"/>
    <s v="U0032389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5"/>
    <m/>
    <x v="20"/>
    <s v="BONIS SPA"/>
    <s v="STOCK TERRA MP"/>
    <x v="4"/>
    <m/>
    <m/>
    <n v="2"/>
    <s v="01"/>
    <s v="102"/>
    <s v="014"/>
    <s v="00"/>
    <s v="S"/>
    <s v="P"/>
    <s v="01"/>
    <s v="03"/>
    <s v="False"/>
    <s v="True"/>
    <s v="U0032389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5"/>
    <m/>
    <x v="8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2389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0"/>
    <m/>
    <x v="18"/>
    <s v="BONIS SPA"/>
    <s v="STOCK TERRA MP"/>
    <x v="0"/>
    <m/>
    <m/>
    <n v="1"/>
    <s v="01"/>
    <s v="102"/>
    <s v="014"/>
    <s v="00"/>
    <s v="S"/>
    <s v="P"/>
    <s v="01"/>
    <s v="03"/>
    <s v="False"/>
    <s v="True"/>
    <s v="U0032386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0"/>
    <m/>
    <x v="19"/>
    <s v="BONIS SPA"/>
    <s v="STOCK TERRA MP"/>
    <x v="0"/>
    <m/>
    <m/>
    <n v="1"/>
    <s v="01"/>
    <s v="102"/>
    <s v="014"/>
    <s v="00"/>
    <s v="S"/>
    <s v="P"/>
    <s v="01"/>
    <s v="03"/>
    <s v="False"/>
    <s v="True"/>
    <s v="U0032386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0"/>
    <m/>
    <x v="20"/>
    <s v="BONIS SPA"/>
    <s v="STOCK TERRA MP"/>
    <x v="0"/>
    <m/>
    <m/>
    <n v="3"/>
    <s v="01"/>
    <s v="102"/>
    <s v="014"/>
    <s v="00"/>
    <s v="S"/>
    <s v="P"/>
    <s v="01"/>
    <s v="03"/>
    <s v="False"/>
    <s v="True"/>
    <s v="U0032386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0"/>
    <m/>
    <x v="9"/>
    <s v="BONIS SPA"/>
    <s v="STOCK TERRA MP"/>
    <x v="0"/>
    <m/>
    <m/>
    <n v="3"/>
    <s v="01"/>
    <s v="102"/>
    <s v="014"/>
    <s v="00"/>
    <s v="S"/>
    <s v="P"/>
    <s v="01"/>
    <s v="03"/>
    <s v="False"/>
    <s v="True"/>
    <s v="U0032386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0"/>
    <m/>
    <x v="8"/>
    <s v="BONIS SPA"/>
    <s v="STOCK TERRA MP"/>
    <x v="0"/>
    <m/>
    <m/>
    <n v="2"/>
    <s v="01"/>
    <s v="102"/>
    <s v="014"/>
    <s v="00"/>
    <s v="S"/>
    <s v="P"/>
    <s v="01"/>
    <s v="03"/>
    <s v="False"/>
    <s v="True"/>
    <s v="U0032386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36"/>
    <m/>
    <x v="18"/>
    <s v="BONIS SPA"/>
    <s v="STOCK TERRA MP"/>
    <x v="6"/>
    <m/>
    <m/>
    <n v="1"/>
    <s v="01"/>
    <s v="102"/>
    <s v="014"/>
    <s v="00"/>
    <s v="S"/>
    <s v="P"/>
    <s v="01"/>
    <s v="03"/>
    <s v="False"/>
    <s v="True"/>
    <s v="U0032417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6"/>
    <m/>
    <x v="19"/>
    <s v="BONIS SPA"/>
    <s v="STOCK TERRA MP"/>
    <x v="6"/>
    <m/>
    <m/>
    <n v="2"/>
    <s v="01"/>
    <s v="102"/>
    <s v="014"/>
    <s v="00"/>
    <s v="S"/>
    <s v="P"/>
    <s v="01"/>
    <s v="03"/>
    <s v="False"/>
    <s v="True"/>
    <s v="U0032417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6"/>
    <m/>
    <x v="20"/>
    <s v="BONIS SPA"/>
    <s v="STOCK TERRA MP"/>
    <x v="6"/>
    <m/>
    <m/>
    <n v="2"/>
    <s v="01"/>
    <s v="102"/>
    <s v="014"/>
    <s v="00"/>
    <s v="S"/>
    <s v="P"/>
    <s v="01"/>
    <s v="03"/>
    <s v="False"/>
    <s v="True"/>
    <s v="U0032417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6"/>
    <m/>
    <x v="9"/>
    <s v="BONIS SPA"/>
    <s v="STOCK TERRA MP"/>
    <x v="6"/>
    <m/>
    <m/>
    <n v="1"/>
    <s v="01"/>
    <s v="102"/>
    <s v="014"/>
    <s v="00"/>
    <s v="S"/>
    <s v="P"/>
    <s v="01"/>
    <s v="03"/>
    <s v="False"/>
    <s v="True"/>
    <s v="U0032417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6"/>
    <m/>
    <x v="21"/>
    <s v="BONIS SPA"/>
    <s v="STOCK TERRA MP"/>
    <x v="6"/>
    <m/>
    <m/>
    <n v="1"/>
    <s v="01"/>
    <s v="102"/>
    <s v="014"/>
    <s v="00"/>
    <s v="S"/>
    <s v="P"/>
    <s v="01"/>
    <s v="03"/>
    <s v="False"/>
    <s v="True"/>
    <s v="U0031355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6"/>
    <m/>
    <x v="19"/>
    <s v="BONIS SPA"/>
    <s v="STOCK TERRA MP"/>
    <x v="6"/>
    <m/>
    <m/>
    <n v="1"/>
    <s v="01"/>
    <s v="102"/>
    <s v="014"/>
    <s v="00"/>
    <s v="S"/>
    <s v="P"/>
    <s v="01"/>
    <s v="03"/>
    <s v="False"/>
    <s v="True"/>
    <s v="U0032415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6"/>
    <m/>
    <x v="20"/>
    <s v="BONIS SPA"/>
    <s v="STOCK TERRA MP"/>
    <x v="6"/>
    <m/>
    <m/>
    <n v="3"/>
    <s v="01"/>
    <s v="102"/>
    <s v="014"/>
    <s v="00"/>
    <s v="S"/>
    <s v="P"/>
    <s v="01"/>
    <s v="03"/>
    <s v="False"/>
    <s v="True"/>
    <s v="U0032415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6"/>
    <m/>
    <x v="9"/>
    <s v="BONIS SPA"/>
    <s v="STOCK TERRA MP"/>
    <x v="6"/>
    <m/>
    <m/>
    <n v="2"/>
    <s v="01"/>
    <s v="102"/>
    <s v="014"/>
    <s v="00"/>
    <s v="S"/>
    <s v="P"/>
    <s v="01"/>
    <s v="03"/>
    <s v="False"/>
    <s v="True"/>
    <s v="U0032415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6"/>
    <m/>
    <x v="21"/>
    <s v="BONIS SPA"/>
    <s v="STOCK TERRA MP"/>
    <x v="6"/>
    <m/>
    <m/>
    <n v="1"/>
    <s v="01"/>
    <s v="102"/>
    <s v="014"/>
    <s v="00"/>
    <s v="S"/>
    <s v="P"/>
    <s v="01"/>
    <s v="03"/>
    <s v="False"/>
    <s v="True"/>
    <s v="U0032415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0"/>
    <m/>
    <x v="9"/>
    <s v="BONIS SPA"/>
    <s v="STOCK TERRA MP"/>
    <x v="6"/>
    <m/>
    <m/>
    <n v="1"/>
    <s v="01"/>
    <s v="102"/>
    <s v="014"/>
    <s v="00"/>
    <s v="S"/>
    <s v="P"/>
    <s v="01"/>
    <s v="03"/>
    <s v="False"/>
    <s v="True"/>
    <s v="U0032392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0"/>
    <m/>
    <x v="8"/>
    <s v="BONIS SPA"/>
    <s v="STOCK TERRA MP"/>
    <x v="6"/>
    <m/>
    <m/>
    <n v="1"/>
    <s v="01"/>
    <s v="102"/>
    <s v="014"/>
    <s v="00"/>
    <s v="S"/>
    <s v="P"/>
    <s v="01"/>
    <s v="03"/>
    <s v="False"/>
    <s v="True"/>
    <s v="U0032392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35"/>
    <m/>
    <x v="9"/>
    <s v="BONIS SPA"/>
    <s v="STOCK TERRA MP"/>
    <x v="8"/>
    <m/>
    <m/>
    <n v="1"/>
    <s v="01"/>
    <s v="102"/>
    <s v="014"/>
    <s v="00"/>
    <s v="S"/>
    <s v="P"/>
    <s v="01"/>
    <s v="03"/>
    <s v="False"/>
    <s v="True"/>
    <s v="U0031355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6"/>
    <m/>
    <x v="18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1355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7"/>
    <m/>
    <x v="15"/>
    <s v="BONIS SPA"/>
    <s v="STOCK TERRA MP"/>
    <x v="8"/>
    <m/>
    <m/>
    <n v="1"/>
    <s v="01"/>
    <s v="102"/>
    <s v="014"/>
    <s v="00"/>
    <s v="S"/>
    <s v="P"/>
    <s v="01"/>
    <s v="03"/>
    <s v="False"/>
    <s v="True"/>
    <s v="U0032389"/>
    <n v="1"/>
    <m/>
    <n v="0"/>
    <n v="0"/>
    <m/>
    <s v="SMU"/>
    <m/>
    <m/>
    <m/>
    <m/>
    <m/>
    <m/>
    <s v="F06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1760"/>
    <x v="37"/>
    <m/>
    <x v="18"/>
    <s v="BONIS SPA"/>
    <s v="STOCK TERRA MP"/>
    <x v="10"/>
    <m/>
    <m/>
    <n v="1"/>
    <s v="01"/>
    <s v="102"/>
    <s v="014"/>
    <s v="00"/>
    <s v="S"/>
    <s v="P"/>
    <s v="01"/>
    <s v="03"/>
    <s v="False"/>
    <s v="True"/>
    <s v="U0031355"/>
    <n v="1"/>
    <m/>
    <n v="0"/>
    <n v="0"/>
    <m/>
    <s v="SMU"/>
    <m/>
    <m/>
    <m/>
    <m/>
    <m/>
    <m/>
    <s v="F06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1760"/>
    <x v="0"/>
    <m/>
    <x v="20"/>
    <s v="BONIS SPA"/>
    <s v="STOCK TERRA MP"/>
    <x v="2"/>
    <m/>
    <m/>
    <n v="1"/>
    <s v="01"/>
    <s v="102"/>
    <s v="014"/>
    <s v="00"/>
    <s v="S"/>
    <s v="P"/>
    <s v="01"/>
    <s v="03"/>
    <s v="False"/>
    <s v="True"/>
    <s v="U0032406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0"/>
    <m/>
    <x v="8"/>
    <s v="BONIS SPA"/>
    <s v="STOCK TERRA MP"/>
    <x v="2"/>
    <m/>
    <m/>
    <n v="1"/>
    <s v="01"/>
    <s v="102"/>
    <s v="014"/>
    <s v="00"/>
    <s v="S"/>
    <s v="P"/>
    <s v="01"/>
    <s v="03"/>
    <s v="False"/>
    <s v="True"/>
    <s v="U0032406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0"/>
    <m/>
    <x v="9"/>
    <s v="BONIS SPA"/>
    <s v="STOCK TERRA MP"/>
    <x v="2"/>
    <m/>
    <m/>
    <n v="5"/>
    <s v="01"/>
    <s v="102"/>
    <s v="014"/>
    <s v="00"/>
    <s v="S"/>
    <s v="P"/>
    <s v="01"/>
    <s v="03"/>
    <s v="False"/>
    <s v="True"/>
    <s v="U0032406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1760"/>
    <x v="35"/>
    <m/>
    <x v="9"/>
    <s v="BONIS SPA"/>
    <s v="STOCK TERRA MP"/>
    <x v="0"/>
    <m/>
    <m/>
    <n v="2"/>
    <s v="01"/>
    <s v="102"/>
    <s v="014"/>
    <s v="00"/>
    <s v="S"/>
    <s v="P"/>
    <s v="01"/>
    <s v="03"/>
    <s v="False"/>
    <s v="True"/>
    <s v="U0032424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5"/>
    <m/>
    <x v="20"/>
    <s v="BONIS SPA"/>
    <s v="STOCK TERRA MP"/>
    <x v="0"/>
    <m/>
    <m/>
    <n v="1"/>
    <s v="01"/>
    <s v="102"/>
    <s v="014"/>
    <s v="00"/>
    <s v="S"/>
    <s v="P"/>
    <s v="01"/>
    <s v="03"/>
    <s v="False"/>
    <s v="True"/>
    <s v="U0032424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8"/>
    <m/>
    <x v="17"/>
    <s v="BONIS SPA"/>
    <s v="STOCK TERRA MP"/>
    <x v="1"/>
    <m/>
    <m/>
    <n v="1"/>
    <s v="01"/>
    <s v="102"/>
    <s v="014"/>
    <s v="00"/>
    <s v="S"/>
    <s v="P"/>
    <s v="01"/>
    <s v="03"/>
    <s v="False"/>
    <s v="True"/>
    <s v="U0032425"/>
    <n v="1"/>
    <m/>
    <n v="0"/>
    <n v="0"/>
    <m/>
    <s v="SMU"/>
    <m/>
    <m/>
    <m/>
    <m/>
    <m/>
    <m/>
    <s v="F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1760"/>
    <x v="39"/>
    <m/>
    <x v="16"/>
    <s v="BONIS SPA"/>
    <s v="STOCK TERRA MP"/>
    <x v="21"/>
    <m/>
    <m/>
    <n v="1"/>
    <s v="01"/>
    <s v="102"/>
    <s v="014"/>
    <s v="00"/>
    <s v="S"/>
    <s v="P"/>
    <s v="01"/>
    <s v="03"/>
    <s v="False"/>
    <s v="True"/>
    <s v="U0031355"/>
    <n v="1"/>
    <m/>
    <n v="0"/>
    <n v="0"/>
    <m/>
    <s v="SMU"/>
    <m/>
    <m/>
    <m/>
    <m/>
    <m/>
    <m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1760"/>
    <x v="40"/>
    <m/>
    <x v="19"/>
    <s v="BONIS SPA"/>
    <s v="STOCK TERRA MP"/>
    <x v="13"/>
    <m/>
    <m/>
    <n v="1"/>
    <s v="01"/>
    <s v="102"/>
    <s v="014"/>
    <s v="00"/>
    <s v="S"/>
    <s v="P"/>
    <s v="01"/>
    <s v="03"/>
    <s v="False"/>
    <s v="True"/>
    <s v="U0032425"/>
    <n v="1"/>
    <m/>
    <n v="0"/>
    <n v="0"/>
    <m/>
    <s v="SMU"/>
    <m/>
    <m/>
    <m/>
    <m/>
    <m/>
    <m/>
    <s v="F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1760"/>
    <x v="35"/>
    <m/>
    <x v="19"/>
    <s v="BONIS SPA"/>
    <s v="STOCK TERRA MP"/>
    <x v="2"/>
    <m/>
    <m/>
    <n v="1"/>
    <s v="01"/>
    <s v="102"/>
    <s v="014"/>
    <s v="00"/>
    <s v="S"/>
    <s v="P"/>
    <s v="01"/>
    <s v="03"/>
    <s v="False"/>
    <s v="True"/>
    <s v="U0032389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37"/>
    <m/>
    <x v="18"/>
    <s v="BONIS SPA"/>
    <s v="STOCK TERRA MP"/>
    <x v="2"/>
    <m/>
    <m/>
    <n v="2"/>
    <s v="01"/>
    <s v="102"/>
    <s v="014"/>
    <s v="00"/>
    <s v="S"/>
    <s v="P"/>
    <s v="01"/>
    <s v="03"/>
    <s v="False"/>
    <s v="True"/>
    <s v="U0032389"/>
    <n v="1"/>
    <m/>
    <n v="0"/>
    <n v="0"/>
    <m/>
    <s v="SMU"/>
    <m/>
    <m/>
    <m/>
    <m/>
    <m/>
    <m/>
    <s v="F06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1760"/>
    <x v="1"/>
    <m/>
    <x v="14"/>
    <s v="BONIS SPA"/>
    <s v="STOCK TERRA MP"/>
    <x v="1"/>
    <m/>
    <m/>
    <n v="1"/>
    <s v="01"/>
    <s v="102"/>
    <s v="014"/>
    <s v="00"/>
    <s v="S"/>
    <s v="P"/>
    <s v="01"/>
    <s v="03"/>
    <s v="False"/>
    <s v="True"/>
    <s v="U0032393"/>
    <n v="1"/>
    <m/>
    <n v="0"/>
    <n v="0"/>
    <m/>
    <s v="SMU"/>
    <m/>
    <m/>
    <m/>
    <m/>
    <m/>
    <m/>
    <s v="F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1760"/>
    <x v="1"/>
    <m/>
    <x v="15"/>
    <s v="BONIS SPA"/>
    <s v="STOCK TERRA MP"/>
    <x v="1"/>
    <m/>
    <m/>
    <n v="2"/>
    <s v="01"/>
    <s v="102"/>
    <s v="014"/>
    <s v="00"/>
    <s v="S"/>
    <s v="P"/>
    <s v="01"/>
    <s v="03"/>
    <s v="False"/>
    <s v="True"/>
    <s v="U0032393"/>
    <n v="1"/>
    <m/>
    <n v="0"/>
    <n v="0"/>
    <m/>
    <s v="SMU"/>
    <m/>
    <m/>
    <m/>
    <m/>
    <m/>
    <m/>
    <s v="F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1760"/>
    <x v="1"/>
    <m/>
    <x v="16"/>
    <s v="BONIS SPA"/>
    <s v="STOCK TERRA MP"/>
    <x v="1"/>
    <m/>
    <m/>
    <n v="1"/>
    <s v="01"/>
    <s v="102"/>
    <s v="014"/>
    <s v="00"/>
    <s v="S"/>
    <s v="P"/>
    <s v="01"/>
    <s v="03"/>
    <s v="False"/>
    <s v="True"/>
    <s v="U0032393"/>
    <n v="1"/>
    <m/>
    <n v="0"/>
    <n v="0"/>
    <m/>
    <s v="SMU"/>
    <m/>
    <m/>
    <m/>
    <m/>
    <m/>
    <m/>
    <s v="F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1760"/>
    <x v="1"/>
    <m/>
    <x v="17"/>
    <s v="BONIS SPA"/>
    <s v="STOCK TERRA MP"/>
    <x v="1"/>
    <m/>
    <m/>
    <n v="1"/>
    <s v="01"/>
    <s v="102"/>
    <s v="014"/>
    <s v="00"/>
    <s v="S"/>
    <s v="P"/>
    <s v="01"/>
    <s v="03"/>
    <s v="False"/>
    <s v="True"/>
    <s v="U0032393"/>
    <n v="1"/>
    <m/>
    <n v="0"/>
    <n v="0"/>
    <m/>
    <s v="SMU"/>
    <m/>
    <m/>
    <m/>
    <m/>
    <m/>
    <m/>
    <s v="F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1760"/>
    <x v="1"/>
    <m/>
    <x v="18"/>
    <s v="BONIS SPA"/>
    <s v="STOCK TERRA MP"/>
    <x v="1"/>
    <m/>
    <m/>
    <n v="1"/>
    <s v="01"/>
    <s v="102"/>
    <s v="014"/>
    <s v="00"/>
    <s v="S"/>
    <s v="P"/>
    <s v="01"/>
    <s v="03"/>
    <s v="False"/>
    <s v="True"/>
    <s v="U0032393"/>
    <n v="1"/>
    <m/>
    <n v="0"/>
    <n v="0"/>
    <m/>
    <s v="SMU"/>
    <m/>
    <m/>
    <m/>
    <m/>
    <m/>
    <m/>
    <s v="F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1760"/>
    <x v="35"/>
    <m/>
    <x v="19"/>
    <s v="BONIS SPA"/>
    <s v="STOCK TERRA MP"/>
    <x v="0"/>
    <m/>
    <m/>
    <n v="1"/>
    <s v="01"/>
    <s v="102"/>
    <s v="014"/>
    <s v="00"/>
    <s v="S"/>
    <s v="P"/>
    <s v="01"/>
    <s v="03"/>
    <s v="False"/>
    <s v="True"/>
    <s v="U0032424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0"/>
    <x v="41"/>
    <m/>
    <x v="21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2766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1760"/>
    <x v="41"/>
    <m/>
    <x v="9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2766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1760"/>
    <x v="41"/>
    <m/>
    <x v="19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2766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1760"/>
    <x v="41"/>
    <m/>
    <x v="18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2766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1760"/>
    <x v="41"/>
    <m/>
    <x v="21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2767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1760"/>
    <x v="41"/>
    <m/>
    <x v="9"/>
    <s v="BONIS SPA"/>
    <s v="STOCK TERRA MP"/>
    <x v="4"/>
    <m/>
    <m/>
    <n v="2"/>
    <s v="01"/>
    <s v="102"/>
    <s v="014"/>
    <s v="00"/>
    <s v="S"/>
    <s v="P"/>
    <s v="01"/>
    <s v="03"/>
    <s v="False"/>
    <s v="True"/>
    <s v="U0032767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1760"/>
    <x v="41"/>
    <m/>
    <x v="20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2767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1760"/>
    <x v="41"/>
    <m/>
    <x v="19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2767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1760"/>
    <x v="41"/>
    <m/>
    <x v="18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2767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1760"/>
    <x v="4"/>
    <m/>
    <x v="8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1154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1760"/>
    <x v="4"/>
    <m/>
    <x v="9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1154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1760"/>
    <x v="6"/>
    <m/>
    <x v="17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1154"/>
    <n v="1"/>
    <m/>
    <n v="0"/>
    <n v="0"/>
    <m/>
    <m/>
    <m/>
    <m/>
    <m/>
    <m/>
    <m/>
    <m/>
    <s v="F06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m/>
    <m/>
    <m/>
    <m/>
  </r>
  <r>
    <m/>
    <n v="1760"/>
    <x v="6"/>
    <m/>
    <x v="18"/>
    <s v="BONIS SPA"/>
    <s v="STOCK TERRA MP"/>
    <x v="4"/>
    <m/>
    <m/>
    <n v="1"/>
    <s v="01"/>
    <s v="102"/>
    <s v="014"/>
    <s v="00"/>
    <s v="S"/>
    <s v="P"/>
    <s v="01"/>
    <s v="03"/>
    <s v="False"/>
    <s v="True"/>
    <s v="U0031154"/>
    <n v="1"/>
    <m/>
    <n v="0"/>
    <n v="0"/>
    <m/>
    <m/>
    <m/>
    <m/>
    <m/>
    <m/>
    <m/>
    <m/>
    <s v="F06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m/>
    <m/>
    <m/>
    <m/>
  </r>
  <r>
    <m/>
    <n v="1760"/>
    <x v="14"/>
    <m/>
    <x v="18"/>
    <s v="BONIS SPA"/>
    <s v="STOCK TERRA MP"/>
    <x v="2"/>
    <m/>
    <m/>
    <n v="1"/>
    <s v="01"/>
    <s v="102"/>
    <s v="014"/>
    <s v="00"/>
    <s v="S"/>
    <s v="P"/>
    <s v="01"/>
    <s v="03"/>
    <s v="False"/>
    <s v="True"/>
    <s v="U0034864"/>
    <n v="1"/>
    <m/>
    <n v="0"/>
    <n v="0"/>
    <m/>
    <s v="ECOM"/>
    <m/>
    <m/>
    <m/>
    <m/>
    <m/>
    <m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m/>
    <m/>
    <m/>
    <m/>
  </r>
  <r>
    <m/>
    <n v="1760"/>
    <x v="14"/>
    <m/>
    <x v="20"/>
    <s v="BONIS SPA"/>
    <s v="STOCK TERRA MP"/>
    <x v="2"/>
    <m/>
    <m/>
    <n v="1"/>
    <s v="01"/>
    <s v="102"/>
    <s v="014"/>
    <s v="00"/>
    <s v="S"/>
    <s v="P"/>
    <s v="01"/>
    <s v="03"/>
    <s v="False"/>
    <s v="True"/>
    <s v="U0034864"/>
    <n v="1"/>
    <m/>
    <n v="0"/>
    <n v="0"/>
    <m/>
    <s v="ECOM"/>
    <m/>
    <m/>
    <m/>
    <m/>
    <m/>
    <m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m/>
    <m/>
    <m/>
    <m/>
  </r>
  <r>
    <m/>
    <n v="1760"/>
    <x v="14"/>
    <m/>
    <x v="9"/>
    <s v="BONIS SPA"/>
    <s v="STOCK TERRA MP"/>
    <x v="2"/>
    <m/>
    <m/>
    <n v="1"/>
    <s v="01"/>
    <s v="102"/>
    <s v="014"/>
    <s v="00"/>
    <s v="S"/>
    <s v="P"/>
    <s v="01"/>
    <s v="03"/>
    <s v="False"/>
    <s v="True"/>
    <s v="U0034864"/>
    <n v="1"/>
    <m/>
    <n v="0"/>
    <n v="0"/>
    <m/>
    <s v="ECOM"/>
    <m/>
    <m/>
    <m/>
    <m/>
    <m/>
    <m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m/>
    <m/>
    <m/>
    <m/>
  </r>
  <r>
    <m/>
    <n v="1760"/>
    <x v="14"/>
    <m/>
    <x v="21"/>
    <s v="BONIS SPA"/>
    <s v="STOCK TERRA MP"/>
    <x v="2"/>
    <m/>
    <m/>
    <n v="1"/>
    <s v="01"/>
    <s v="102"/>
    <s v="014"/>
    <s v="00"/>
    <s v="S"/>
    <s v="P"/>
    <s v="01"/>
    <s v="03"/>
    <s v="False"/>
    <s v="True"/>
    <s v="U0034864"/>
    <n v="1"/>
    <m/>
    <n v="0"/>
    <n v="0"/>
    <m/>
    <s v="ECOM"/>
    <m/>
    <m/>
    <m/>
    <m/>
    <m/>
    <m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m/>
    <m/>
    <m/>
    <m/>
  </r>
  <r>
    <m/>
    <n v="1760"/>
    <x v="42"/>
    <m/>
    <x v="15"/>
    <s v="BONIS SPA"/>
    <s v="STOCK TERRA MP"/>
    <x v="22"/>
    <m/>
    <m/>
    <n v="1"/>
    <s v="01"/>
    <s v="102"/>
    <s v="014"/>
    <s v="00"/>
    <s v="S"/>
    <s v="P"/>
    <s v="01"/>
    <s v="03"/>
    <s v="False"/>
    <s v="True"/>
    <s v="U0031154"/>
    <n v="1"/>
    <m/>
    <n v="0"/>
    <n v="0"/>
    <m/>
    <m/>
    <m/>
    <m/>
    <m/>
    <m/>
    <m/>
    <m/>
    <s v="F06"/>
    <s v="WOMAN"/>
    <s v="PA"/>
    <m/>
    <m/>
    <m/>
    <m/>
    <s v="False"/>
    <m/>
    <s v="DARFW"/>
    <m/>
    <m/>
    <m/>
    <m/>
    <m/>
    <m/>
    <s v="PF"/>
    <n v="0"/>
    <n v="0"/>
    <n v="0"/>
    <n v="0"/>
    <n v="0"/>
    <s v="KNITED TEXTILE +MICROSUEDE+PU"/>
    <s v="Bonis SpA"/>
    <m/>
    <m/>
    <m/>
    <m/>
    <m/>
    <m/>
    <m/>
    <m/>
    <m/>
    <m/>
    <m/>
    <m/>
  </r>
  <r>
    <m/>
    <n v="1748"/>
    <x v="42"/>
    <s v="ODA15N00307-070"/>
    <x v="1"/>
    <s v="BONIS SPA"/>
    <s v="STOCK TERRA MP"/>
    <x v="22"/>
    <m/>
    <n v="1"/>
    <n v="12"/>
    <s v="01"/>
    <s v="102"/>
    <s v="002"/>
    <s v="00"/>
    <s v="S"/>
    <s v="P"/>
    <s v="01"/>
    <s v="03"/>
    <s v="False"/>
    <s v="True"/>
    <s v="U0026769"/>
    <n v="1"/>
    <m/>
    <n v="0"/>
    <n v="0"/>
    <m/>
    <m/>
    <m/>
    <s v="4520251"/>
    <s v="DONGUAN BROTHER IMP.LTD"/>
    <m/>
    <n v="0"/>
    <n v="0"/>
    <s v="F06"/>
    <s v="WOMAN"/>
    <s v="PA"/>
    <m/>
    <m/>
    <m/>
    <m/>
    <s v="False"/>
    <m/>
    <s v="DARFW"/>
    <m/>
    <m/>
    <m/>
    <m/>
    <m/>
    <m/>
    <s v="PF"/>
    <n v="0"/>
    <n v="0"/>
    <n v="0"/>
    <n v="0"/>
    <n v="0"/>
    <s v="KNITED TEXTILE +MICROSUEDE+PU"/>
    <s v="Bonis SpA"/>
    <m/>
    <m/>
    <m/>
    <m/>
    <m/>
    <m/>
    <m/>
    <m/>
    <n v="0"/>
    <n v="0"/>
    <n v="0"/>
    <m/>
  </r>
  <r>
    <m/>
    <n v="1748"/>
    <x v="42"/>
    <s v="ODA15N00307-100"/>
    <x v="1"/>
    <s v="BONIS SPA"/>
    <s v="STOCK TERRA MP"/>
    <x v="22"/>
    <m/>
    <n v="1"/>
    <n v="12"/>
    <s v="01"/>
    <s v="102"/>
    <s v="002"/>
    <s v="00"/>
    <s v="S"/>
    <s v="P"/>
    <s v="01"/>
    <s v="03"/>
    <s v="False"/>
    <s v="True"/>
    <s v="U0026769"/>
    <n v="1"/>
    <m/>
    <n v="0"/>
    <n v="0"/>
    <m/>
    <m/>
    <m/>
    <s v="4520251"/>
    <s v="DONGUAN BROTHER IMP.LTD"/>
    <m/>
    <n v="0"/>
    <n v="0"/>
    <s v="F06"/>
    <s v="WOMAN"/>
    <s v="PA"/>
    <m/>
    <m/>
    <m/>
    <m/>
    <s v="False"/>
    <m/>
    <s v="DARFW"/>
    <m/>
    <m/>
    <m/>
    <m/>
    <m/>
    <m/>
    <s v="PF"/>
    <n v="0"/>
    <n v="0"/>
    <n v="0"/>
    <n v="0"/>
    <n v="0"/>
    <s v="KNITED TEXTILE +MICROSUEDE+PU"/>
    <s v="Bonis SpA"/>
    <m/>
    <m/>
    <m/>
    <m/>
    <m/>
    <m/>
    <m/>
    <m/>
    <n v="0"/>
    <n v="0"/>
    <n v="0"/>
    <m/>
  </r>
  <r>
    <m/>
    <n v="1753"/>
    <x v="43"/>
    <s v="ODA15N00308-183"/>
    <x v="0"/>
    <s v="BONIS SPA"/>
    <s v="STOCK TERRA MP"/>
    <x v="22"/>
    <m/>
    <n v="1"/>
    <n v="12"/>
    <s v="01"/>
    <s v="102"/>
    <s v="007"/>
    <s v="00"/>
    <s v="S"/>
    <s v="P"/>
    <s v="01"/>
    <s v="03"/>
    <s v="False"/>
    <s v="True"/>
    <s v="U0020221"/>
    <n v="1"/>
    <m/>
    <n v="0"/>
    <n v="0"/>
    <m/>
    <m/>
    <m/>
    <s v="4520251"/>
    <s v="DONGUAN BROTHER IMP.LTD"/>
    <m/>
    <n v="0"/>
    <n v="0"/>
    <s v="F11"/>
    <s v="MAN"/>
    <s v="PA"/>
    <m/>
    <m/>
    <m/>
    <m/>
    <s v="False"/>
    <m/>
    <s v="DARFO"/>
    <m/>
    <m/>
    <m/>
    <m/>
    <m/>
    <m/>
    <s v="PF"/>
    <n v="0"/>
    <n v="0"/>
    <n v="0"/>
    <n v="0"/>
    <n v="0"/>
    <s v="MA KNITTED TEXTILE+MICROSUEDE+"/>
    <s v="Bonis SpA"/>
    <m/>
    <m/>
    <m/>
    <m/>
    <m/>
    <m/>
    <m/>
    <m/>
    <n v="0"/>
    <n v="0"/>
    <n v="0"/>
    <m/>
  </r>
  <r>
    <m/>
    <n v="1753"/>
    <x v="43"/>
    <s v="ODA15N00308-199"/>
    <x v="0"/>
    <s v="BONIS SPA"/>
    <s v="STOCK TERRA MP"/>
    <x v="22"/>
    <m/>
    <n v="1"/>
    <n v="12"/>
    <s v="01"/>
    <s v="102"/>
    <s v="007"/>
    <s v="00"/>
    <s v="S"/>
    <s v="P"/>
    <s v="01"/>
    <s v="03"/>
    <s v="False"/>
    <s v="True"/>
    <s v="U0020221"/>
    <n v="1"/>
    <m/>
    <n v="0"/>
    <n v="0"/>
    <m/>
    <m/>
    <m/>
    <s v="4520251"/>
    <s v="DONGUAN BROTHER IMP.LTD"/>
    <m/>
    <n v="0"/>
    <n v="0"/>
    <s v="F11"/>
    <s v="MAN"/>
    <s v="PA"/>
    <m/>
    <m/>
    <m/>
    <m/>
    <s v="False"/>
    <m/>
    <s v="DARFO"/>
    <m/>
    <m/>
    <m/>
    <m/>
    <m/>
    <m/>
    <s v="PF"/>
    <n v="0"/>
    <n v="0"/>
    <n v="0"/>
    <n v="0"/>
    <n v="0"/>
    <s v="MA KNITTED TEXTILE+MICROSUEDE+"/>
    <s v="Bonis SpA"/>
    <m/>
    <m/>
    <m/>
    <m/>
    <m/>
    <m/>
    <m/>
    <m/>
    <n v="0"/>
    <n v="0"/>
    <n v="0"/>
    <m/>
  </r>
  <r>
    <m/>
    <n v="1753"/>
    <x v="43"/>
    <s v="ODA15N00308-222"/>
    <x v="0"/>
    <s v="BONIS SPA"/>
    <s v="STOCK TERRA MP"/>
    <x v="22"/>
    <m/>
    <n v="1"/>
    <n v="12"/>
    <s v="01"/>
    <s v="102"/>
    <s v="007"/>
    <s v="00"/>
    <s v="S"/>
    <s v="P"/>
    <s v="01"/>
    <s v="03"/>
    <s v="False"/>
    <s v="True"/>
    <s v="U0020221"/>
    <n v="1"/>
    <m/>
    <n v="0"/>
    <n v="0"/>
    <m/>
    <m/>
    <m/>
    <s v="4520251"/>
    <s v="DONGUAN BROTHER IMP.LTD"/>
    <m/>
    <n v="0"/>
    <n v="0"/>
    <s v="F11"/>
    <s v="MAN"/>
    <s v="PA"/>
    <m/>
    <m/>
    <m/>
    <m/>
    <s v="False"/>
    <m/>
    <s v="DARFO"/>
    <m/>
    <m/>
    <m/>
    <m/>
    <m/>
    <m/>
    <s v="PF"/>
    <n v="0"/>
    <n v="0"/>
    <n v="0"/>
    <n v="0"/>
    <n v="0"/>
    <s v="MA KNITTED TEXTILE+MICROSUEDE+"/>
    <s v="Bonis SpA"/>
    <m/>
    <m/>
    <m/>
    <m/>
    <m/>
    <m/>
    <m/>
    <m/>
    <n v="0"/>
    <n v="0"/>
    <n v="0"/>
    <m/>
  </r>
  <r>
    <m/>
    <n v="1753"/>
    <x v="43"/>
    <s v="ODA15N00308-225"/>
    <x v="0"/>
    <s v="BONIS SPA"/>
    <s v="STOCK TERRA MP"/>
    <x v="22"/>
    <m/>
    <n v="1"/>
    <n v="12"/>
    <s v="01"/>
    <s v="102"/>
    <s v="007"/>
    <s v="00"/>
    <s v="S"/>
    <s v="P"/>
    <s v="01"/>
    <s v="03"/>
    <s v="False"/>
    <s v="True"/>
    <s v="U0020221"/>
    <n v="1"/>
    <m/>
    <n v="0"/>
    <n v="0"/>
    <m/>
    <m/>
    <m/>
    <s v="4520251"/>
    <s v="DONGUAN BROTHER IMP.LTD"/>
    <m/>
    <n v="0"/>
    <n v="0"/>
    <s v="F11"/>
    <s v="MAN"/>
    <s v="PA"/>
    <m/>
    <m/>
    <m/>
    <m/>
    <s v="False"/>
    <m/>
    <s v="DARFO"/>
    <m/>
    <m/>
    <m/>
    <m/>
    <m/>
    <m/>
    <s v="PF"/>
    <n v="0"/>
    <n v="0"/>
    <n v="0"/>
    <n v="0"/>
    <n v="0"/>
    <s v="MA KNITTED TEXTILE+MICROSUEDE+"/>
    <s v="Bonis SpA"/>
    <m/>
    <m/>
    <m/>
    <m/>
    <m/>
    <m/>
    <m/>
    <m/>
    <n v="0"/>
    <n v="0"/>
    <n v="0"/>
    <m/>
  </r>
  <r>
    <m/>
    <n v="1756"/>
    <x v="41"/>
    <s v="ODA16N00240-004"/>
    <x v="4"/>
    <s v="BONIS SPA"/>
    <s v="STOCK TERRA MP"/>
    <x v="4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56"/>
    <x v="41"/>
    <s v="ODA16N00240-018"/>
    <x v="4"/>
    <s v="BONIS SPA"/>
    <s v="STOCK TERRA MP"/>
    <x v="4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56"/>
    <x v="41"/>
    <s v="ODA16N00240-019"/>
    <x v="4"/>
    <s v="BONIS SPA"/>
    <s v="STOCK TERRA MP"/>
    <x v="4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56"/>
    <x v="41"/>
    <s v="ODA16N00240-031"/>
    <x v="4"/>
    <s v="BONIS SPA"/>
    <s v="STOCK TERRA MP"/>
    <x v="4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56"/>
    <x v="41"/>
    <s v="ODA16N00240-036"/>
    <x v="4"/>
    <s v="BONIS SPA"/>
    <s v="STOCK TERRA MP"/>
    <x v="4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56"/>
    <x v="41"/>
    <s v="ODA16N00240-039"/>
    <x v="4"/>
    <s v="BONIS SPA"/>
    <s v="STOCK TERRA MP"/>
    <x v="4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56"/>
    <x v="41"/>
    <s v="ODA16N00240-043"/>
    <x v="4"/>
    <s v="BONIS SPA"/>
    <s v="STOCK TERRA MP"/>
    <x v="4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56"/>
    <x v="41"/>
    <s v="ODA16N00240-044"/>
    <x v="4"/>
    <s v="BONIS SPA"/>
    <s v="STOCK TERRA MP"/>
    <x v="4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56"/>
    <x v="41"/>
    <s v="ODA16N00240-049"/>
    <x v="4"/>
    <s v="BONIS SPA"/>
    <s v="STOCK TERRA MP"/>
    <x v="4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56"/>
    <x v="41"/>
    <s v="ODA16N00240-052"/>
    <x v="4"/>
    <s v="BONIS SPA"/>
    <s v="STOCK TERRA MP"/>
    <x v="4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47"/>
    <x v="4"/>
    <s v="ODA16N00240-1040"/>
    <x v="0"/>
    <s v="BONIS SPA"/>
    <s v="STOCK TERRA MP"/>
    <x v="10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47"/>
    <x v="2"/>
    <s v="ODA16N00240-1355"/>
    <x v="0"/>
    <s v="BONIS SPA"/>
    <s v="STOCK TERRA MP"/>
    <x v="3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+ ECO LEATHE"/>
    <s v="Bonis SpA"/>
    <m/>
    <m/>
    <m/>
    <m/>
    <m/>
    <m/>
    <m/>
    <m/>
    <n v="0"/>
    <n v="0"/>
    <n v="0"/>
    <m/>
  </r>
  <r>
    <m/>
    <n v="1747"/>
    <x v="2"/>
    <s v="ODA16N00240-1367"/>
    <x v="0"/>
    <s v="BONIS SPA"/>
    <s v="STOCK TERRA MP"/>
    <x v="3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+ ECO LEATHE"/>
    <s v="Bonis SpA"/>
    <m/>
    <m/>
    <m/>
    <m/>
    <m/>
    <m/>
    <m/>
    <m/>
    <n v="0"/>
    <n v="0"/>
    <n v="0"/>
    <m/>
  </r>
  <r>
    <m/>
    <n v="1747"/>
    <x v="2"/>
    <s v="ODA16N00240-1397"/>
    <x v="0"/>
    <s v="BONIS SPA"/>
    <s v="STOCK TERRA MP"/>
    <x v="3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+ ECO LEATHE"/>
    <s v="Bonis SpA"/>
    <m/>
    <m/>
    <m/>
    <m/>
    <m/>
    <m/>
    <m/>
    <m/>
    <n v="0"/>
    <n v="0"/>
    <n v="0"/>
    <m/>
  </r>
  <r>
    <m/>
    <n v="1747"/>
    <x v="2"/>
    <s v="ODA16N00240-1406"/>
    <x v="0"/>
    <s v="BONIS SPA"/>
    <s v="STOCK TERRA MP"/>
    <x v="3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+ ECO LEATHE"/>
    <s v="Bonis SpA"/>
    <m/>
    <m/>
    <m/>
    <m/>
    <m/>
    <m/>
    <m/>
    <m/>
    <n v="0"/>
    <n v="0"/>
    <n v="0"/>
    <m/>
  </r>
  <r>
    <m/>
    <n v="1747"/>
    <x v="2"/>
    <s v="ODA16N00240-1415"/>
    <x v="0"/>
    <s v="BONIS SPA"/>
    <s v="STOCK TERRA MP"/>
    <x v="3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+ ECO LEATHE"/>
    <s v="Bonis SpA"/>
    <m/>
    <m/>
    <m/>
    <m/>
    <m/>
    <m/>
    <m/>
    <m/>
    <n v="0"/>
    <n v="0"/>
    <n v="0"/>
    <m/>
  </r>
  <r>
    <m/>
    <n v="1747"/>
    <x v="3"/>
    <s v="ODA16N00240-450"/>
    <x v="0"/>
    <s v="BONIS SPA"/>
    <s v="STOCK TERRA MP"/>
    <x v="2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ECO LEATHER+TEXTILE"/>
    <s v="Bonis SpA"/>
    <m/>
    <m/>
    <m/>
    <m/>
    <m/>
    <m/>
    <m/>
    <m/>
    <n v="0"/>
    <n v="0"/>
    <n v="0"/>
    <m/>
  </r>
  <r>
    <m/>
    <n v="1747"/>
    <x v="3"/>
    <s v="ODA16N00240-472"/>
    <x v="0"/>
    <s v="BONIS SPA"/>
    <s v="STOCK TERRA MP"/>
    <x v="2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ECO LEATHER+TEXTILE"/>
    <s v="Bonis SpA"/>
    <m/>
    <m/>
    <m/>
    <m/>
    <m/>
    <m/>
    <m/>
    <m/>
    <n v="0"/>
    <n v="0"/>
    <n v="0"/>
    <m/>
  </r>
  <r>
    <m/>
    <n v="1748"/>
    <x v="44"/>
    <s v="ODA16N00241-133"/>
    <x v="2"/>
    <s v="BONIS SPA"/>
    <s v="STOCK TERRA MP"/>
    <x v="0"/>
    <m/>
    <n v="1"/>
    <n v="12"/>
    <s v="01"/>
    <s v="102"/>
    <s v="002"/>
    <s v="00"/>
    <s v="S"/>
    <s v="P"/>
    <s v="01"/>
    <s v="03"/>
    <s v="False"/>
    <s v="True"/>
    <s v="U0026769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EXTILE+SYNTHETIC LEAT"/>
    <s v="Bonis SpA"/>
    <m/>
    <m/>
    <m/>
    <m/>
    <m/>
    <m/>
    <m/>
    <m/>
    <n v="0"/>
    <n v="0"/>
    <n v="0"/>
    <m/>
  </r>
  <r>
    <m/>
    <n v="1751"/>
    <x v="45"/>
    <s v="ODA16N00241-343"/>
    <x v="2"/>
    <s v="BONIS SPA"/>
    <s v="STOCK TERRA MP"/>
    <x v="11"/>
    <m/>
    <n v="1"/>
    <n v="12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n v="0"/>
    <n v="0"/>
    <n v="0"/>
    <m/>
  </r>
  <r>
    <m/>
    <n v="1751"/>
    <x v="45"/>
    <s v="ODA16N00241-346"/>
    <x v="2"/>
    <s v="BONIS SPA"/>
    <s v="STOCK TERRA MP"/>
    <x v="11"/>
    <m/>
    <n v="1"/>
    <n v="12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n v="0"/>
    <n v="0"/>
    <n v="0"/>
    <m/>
  </r>
  <r>
    <m/>
    <n v="1751"/>
    <x v="46"/>
    <s v="ODA16N00241-619"/>
    <x v="6"/>
    <s v="BONIS SPA"/>
    <s v="STOCK TERRA MP"/>
    <x v="11"/>
    <m/>
    <n v="1"/>
    <n v="8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n v="0"/>
    <n v="0"/>
    <n v="0"/>
    <m/>
  </r>
  <r>
    <m/>
    <n v="1751"/>
    <x v="46"/>
    <s v="ODA16N00241-624"/>
    <x v="6"/>
    <s v="BONIS SPA"/>
    <s v="STOCK TERRA MP"/>
    <x v="11"/>
    <m/>
    <n v="1"/>
    <n v="8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n v="0"/>
    <n v="0"/>
    <n v="0"/>
    <m/>
  </r>
  <r>
    <m/>
    <n v="1751"/>
    <x v="46"/>
    <s v="ODA16N00241-629"/>
    <x v="6"/>
    <s v="BONIS SPA"/>
    <s v="STOCK TERRA MP"/>
    <x v="11"/>
    <m/>
    <n v="1"/>
    <n v="8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n v="0"/>
    <n v="0"/>
    <n v="0"/>
    <m/>
  </r>
  <r>
    <m/>
    <n v="1754"/>
    <x v="6"/>
    <s v="ODA16N00242-561"/>
    <x v="6"/>
    <s v="BONIS SPA"/>
    <s v="STOCK TERRA MP"/>
    <x v="2"/>
    <m/>
    <n v="1"/>
    <n v="8"/>
    <s v="01"/>
    <s v="102"/>
    <s v="008"/>
    <s v="00"/>
    <s v="S"/>
    <s v="P"/>
    <s v="01"/>
    <s v="03"/>
    <s v="False"/>
    <s v="True"/>
    <s v="U0023791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n v="0"/>
    <n v="0"/>
    <n v="0"/>
    <m/>
  </r>
  <r>
    <m/>
    <n v="1754"/>
    <x v="10"/>
    <s v="ODA16N00250-015"/>
    <x v="0"/>
    <s v="BONIS SPA"/>
    <s v="STOCK TERRA MP"/>
    <x v="4"/>
    <m/>
    <n v="1"/>
    <n v="12"/>
    <s v="01"/>
    <s v="102"/>
    <s v="008"/>
    <s v="00"/>
    <s v="S"/>
    <s v="P"/>
    <s v="01"/>
    <s v="03"/>
    <s v="False"/>
    <s v="True"/>
    <s v="U0023791"/>
    <n v="1"/>
    <m/>
    <n v="0"/>
    <n v="0"/>
    <m/>
    <m/>
    <m/>
    <s v="4520243"/>
    <s v="XIAMEN UNIBEST IMP. EXP. CO."/>
    <m/>
    <n v="0"/>
    <n v="0"/>
    <s v="F06"/>
    <s v="MAN"/>
    <s v="PA"/>
    <m/>
    <m/>
    <m/>
    <m/>
    <s v="False"/>
    <m/>
    <s v="TABRY"/>
    <m/>
    <m/>
    <m/>
    <m/>
    <m/>
    <m/>
    <s v="PF"/>
    <n v="0"/>
    <n v="0"/>
    <n v="0"/>
    <n v="0"/>
    <n v="0"/>
    <s v="GOMMA-EVA MESH+PU+REAL SUEDE"/>
    <s v="Bonis SpA"/>
    <m/>
    <m/>
    <m/>
    <m/>
    <m/>
    <m/>
    <m/>
    <m/>
    <n v="0"/>
    <n v="0"/>
    <n v="0"/>
    <m/>
  </r>
  <r>
    <m/>
    <n v="1754"/>
    <x v="10"/>
    <s v="ODA16N00250-024"/>
    <x v="0"/>
    <s v="BONIS SPA"/>
    <s v="STOCK TERRA MP"/>
    <x v="4"/>
    <m/>
    <n v="1"/>
    <n v="12"/>
    <s v="01"/>
    <s v="102"/>
    <s v="008"/>
    <s v="00"/>
    <s v="S"/>
    <s v="P"/>
    <s v="01"/>
    <s v="03"/>
    <s v="False"/>
    <s v="True"/>
    <s v="U0023791"/>
    <n v="1"/>
    <m/>
    <n v="0"/>
    <n v="0"/>
    <m/>
    <m/>
    <m/>
    <s v="4520243"/>
    <s v="XIAMEN UNIBEST IMP. EXP. CO."/>
    <m/>
    <n v="0"/>
    <n v="0"/>
    <s v="F06"/>
    <s v="MAN"/>
    <s v="PA"/>
    <m/>
    <m/>
    <m/>
    <m/>
    <s v="False"/>
    <m/>
    <s v="TABRY"/>
    <m/>
    <m/>
    <m/>
    <m/>
    <m/>
    <m/>
    <s v="PF"/>
    <n v="0"/>
    <n v="0"/>
    <n v="0"/>
    <n v="0"/>
    <n v="0"/>
    <s v="GOMMA-EVA MESH+PU+REAL SUEDE"/>
    <s v="Bonis SpA"/>
    <m/>
    <m/>
    <m/>
    <m/>
    <m/>
    <m/>
    <m/>
    <m/>
    <n v="0"/>
    <n v="0"/>
    <n v="0"/>
    <m/>
  </r>
  <r>
    <m/>
    <n v="1748"/>
    <x v="10"/>
    <s v="ODA16N00250-072"/>
    <x v="4"/>
    <s v="BONIS SPA"/>
    <s v="STOCK TERRA MP"/>
    <x v="23"/>
    <m/>
    <n v="1"/>
    <n v="8"/>
    <s v="01"/>
    <s v="102"/>
    <s v="002"/>
    <s v="00"/>
    <s v="S"/>
    <s v="P"/>
    <s v="01"/>
    <s v="03"/>
    <s v="False"/>
    <s v="True"/>
    <s v="U0026769"/>
    <n v="1"/>
    <m/>
    <n v="0"/>
    <n v="0"/>
    <m/>
    <m/>
    <m/>
    <s v="4520243"/>
    <s v="XIAMEN UNIBEST IMP. EXP. CO."/>
    <m/>
    <n v="0"/>
    <n v="0"/>
    <s v="F06"/>
    <s v="MAN"/>
    <s v="PA"/>
    <m/>
    <m/>
    <m/>
    <m/>
    <s v="False"/>
    <m/>
    <s v="TABRY"/>
    <m/>
    <m/>
    <m/>
    <m/>
    <m/>
    <m/>
    <s v="PF"/>
    <n v="0"/>
    <n v="0"/>
    <n v="0"/>
    <n v="0"/>
    <n v="0"/>
    <s v="GOMMA-EVA MESH+PU+REAL SUEDE"/>
    <s v="Bonis SpA"/>
    <m/>
    <m/>
    <m/>
    <m/>
    <m/>
    <m/>
    <m/>
    <m/>
    <n v="0"/>
    <n v="0"/>
    <n v="0"/>
    <m/>
  </r>
  <r>
    <m/>
    <n v="1747"/>
    <x v="47"/>
    <s v="ODA16N00258-003"/>
    <x v="0"/>
    <s v="BONIS SPA"/>
    <s v="STOCK TERRA MP"/>
    <x v="9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s v="ECOM"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47"/>
    <x v="47"/>
    <s v="ODA16N00258-011"/>
    <x v="5"/>
    <s v="BONIS SPA"/>
    <s v="STOCK TERRA MP"/>
    <x v="9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s v="ECOM"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n v="0"/>
    <n v="0"/>
    <n v="0"/>
    <m/>
  </r>
  <r>
    <m/>
    <n v="1751"/>
    <x v="11"/>
    <s v="ODA16N00263-106"/>
    <x v="0"/>
    <s v="BONIS SPA"/>
    <s v="STOCK TERRA MP"/>
    <x v="7"/>
    <m/>
    <n v="1"/>
    <n v="12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 BATIK+LEATHER"/>
    <s v="Bonis SpA"/>
    <m/>
    <m/>
    <m/>
    <m/>
    <m/>
    <m/>
    <m/>
    <m/>
    <n v="0"/>
    <n v="0"/>
    <n v="0"/>
    <m/>
  </r>
  <r>
    <m/>
    <n v="1751"/>
    <x v="11"/>
    <s v="ODA16N00263-113"/>
    <x v="0"/>
    <s v="BONIS SPA"/>
    <s v="STOCK TERRA MP"/>
    <x v="7"/>
    <m/>
    <n v="1"/>
    <n v="12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 BATIK+LEATHER"/>
    <s v="Bonis SpA"/>
    <m/>
    <m/>
    <m/>
    <m/>
    <m/>
    <m/>
    <m/>
    <m/>
    <n v="0"/>
    <n v="0"/>
    <n v="0"/>
    <m/>
  </r>
  <r>
    <m/>
    <n v="1748"/>
    <x v="11"/>
    <s v="ODA16N00263-133"/>
    <x v="0"/>
    <s v="BONIS SPA"/>
    <s v="STOCK TERRA MP"/>
    <x v="24"/>
    <m/>
    <n v="1"/>
    <n v="12"/>
    <s v="01"/>
    <s v="102"/>
    <s v="002"/>
    <s v="00"/>
    <s v="S"/>
    <s v="P"/>
    <s v="01"/>
    <s v="03"/>
    <s v="False"/>
    <s v="True"/>
    <s v="U0026769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 BATIK+LEATHER"/>
    <s v="Bonis SpA"/>
    <m/>
    <m/>
    <m/>
    <m/>
    <m/>
    <m/>
    <m/>
    <m/>
    <n v="0"/>
    <n v="0"/>
    <n v="0"/>
    <m/>
  </r>
  <r>
    <m/>
    <n v="1748"/>
    <x v="11"/>
    <s v="ODA16N00263-136"/>
    <x v="0"/>
    <s v="BONIS SPA"/>
    <s v="STOCK TERRA MP"/>
    <x v="24"/>
    <m/>
    <n v="1"/>
    <n v="12"/>
    <s v="01"/>
    <s v="102"/>
    <s v="002"/>
    <s v="00"/>
    <s v="S"/>
    <s v="P"/>
    <s v="01"/>
    <s v="03"/>
    <s v="False"/>
    <s v="True"/>
    <s v="U0026769"/>
    <n v="1"/>
    <m/>
    <n v="0"/>
    <n v="0"/>
    <m/>
    <m/>
    <m/>
    <s v="4520107"/>
    <s v="DONG HUNG IND. JOINT COMPANY"/>
    <m/>
    <n v="0"/>
    <n v="0"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 BATIK+LEATHER"/>
    <s v="Bonis SpA"/>
    <m/>
    <m/>
    <m/>
    <m/>
    <m/>
    <m/>
    <m/>
    <m/>
    <n v="0"/>
    <n v="0"/>
    <n v="0"/>
    <m/>
  </r>
  <r>
    <m/>
    <n v="1753"/>
    <x v="12"/>
    <s v="ODA16N00266-091"/>
    <x v="0"/>
    <s v="BONIS SPA"/>
    <s v="STOCK TERRA MP"/>
    <x v="2"/>
    <m/>
    <n v="1"/>
    <n v="12"/>
    <s v="01"/>
    <s v="102"/>
    <s v="007"/>
    <s v="00"/>
    <s v="S"/>
    <s v="P"/>
    <s v="01"/>
    <s v="03"/>
    <s v="False"/>
    <s v="True"/>
    <s v="U0020221"/>
    <n v="1"/>
    <m/>
    <n v="0"/>
    <n v="0"/>
    <m/>
    <s v="ECOM"/>
    <m/>
    <s v="4520182"/>
    <s v="32 Joint Stock Company (Aseco)"/>
    <m/>
    <n v="0"/>
    <n v="0"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51"/>
    <x v="12"/>
    <s v="ODA16N00266-109"/>
    <x v="0"/>
    <s v="BONIS SPA"/>
    <s v="STOCK TERRA MP"/>
    <x v="10"/>
    <m/>
    <n v="1"/>
    <n v="12"/>
    <s v="01"/>
    <s v="102"/>
    <s v="005"/>
    <s v="00"/>
    <s v="S"/>
    <s v="P"/>
    <s v="01"/>
    <s v="03"/>
    <s v="False"/>
    <s v="True"/>
    <s v="U002430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53"/>
    <x v="12"/>
    <s v="ODA16N00266-133"/>
    <x v="0"/>
    <s v="BONIS SPA"/>
    <s v="STOCK TERRA MP"/>
    <x v="4"/>
    <m/>
    <n v="1"/>
    <n v="12"/>
    <s v="01"/>
    <s v="102"/>
    <s v="007"/>
    <s v="00"/>
    <s v="S"/>
    <s v="P"/>
    <s v="01"/>
    <s v="03"/>
    <s v="False"/>
    <s v="True"/>
    <s v="U0020221"/>
    <n v="1"/>
    <m/>
    <n v="0"/>
    <n v="0"/>
    <m/>
    <s v="ECOM"/>
    <m/>
    <s v="4520182"/>
    <s v="32 Joint Stock Company (Aseco)"/>
    <m/>
    <n v="0"/>
    <n v="0"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56"/>
    <x v="14"/>
    <s v="ODA16N00266-427"/>
    <x v="0"/>
    <s v="BONIS SPA"/>
    <s v="STOCK TERRA MP"/>
    <x v="1"/>
    <m/>
    <n v="1"/>
    <n v="12"/>
    <s v="01"/>
    <s v="102"/>
    <s v="010"/>
    <s v="00"/>
    <s v="S"/>
    <s v="P"/>
    <s v="01"/>
    <s v="03"/>
    <s v="False"/>
    <s v="True"/>
    <s v="U002420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57"/>
    <x v="14"/>
    <s v="ODA16N00266-429"/>
    <x v="0"/>
    <s v="BONIS SPA"/>
    <s v="STOCK TERRA MP"/>
    <x v="1"/>
    <m/>
    <n v="1"/>
    <n v="12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57"/>
    <x v="14"/>
    <s v="ODA16N00266-432"/>
    <x v="0"/>
    <s v="BONIS SPA"/>
    <s v="STOCK TERRA MP"/>
    <x v="1"/>
    <m/>
    <n v="1"/>
    <n v="12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57"/>
    <x v="14"/>
    <s v="ODA16N00266-433"/>
    <x v="0"/>
    <s v="BONIS SPA"/>
    <s v="STOCK TERRA MP"/>
    <x v="1"/>
    <m/>
    <n v="1"/>
    <n v="12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56"/>
    <x v="14"/>
    <s v="ODA16N00266-434"/>
    <x v="0"/>
    <s v="BONIS SPA"/>
    <s v="STOCK TERRA MP"/>
    <x v="1"/>
    <m/>
    <n v="1"/>
    <n v="12"/>
    <s v="01"/>
    <s v="102"/>
    <s v="010"/>
    <s v="00"/>
    <s v="S"/>
    <s v="P"/>
    <s v="01"/>
    <s v="03"/>
    <s v="False"/>
    <s v="True"/>
    <s v="U002420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56"/>
    <x v="14"/>
    <s v="ODA16N00266-435"/>
    <x v="0"/>
    <s v="BONIS SPA"/>
    <s v="STOCK TERRA MP"/>
    <x v="1"/>
    <m/>
    <n v="1"/>
    <n v="12"/>
    <s v="01"/>
    <s v="102"/>
    <s v="010"/>
    <s v="00"/>
    <s v="S"/>
    <s v="P"/>
    <s v="01"/>
    <s v="03"/>
    <s v="False"/>
    <s v="True"/>
    <s v="U0024205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57"/>
    <x v="14"/>
    <s v="ODA16N00266-437"/>
    <x v="0"/>
    <s v="BONIS SPA"/>
    <s v="STOCK TERRA MP"/>
    <x v="1"/>
    <m/>
    <n v="1"/>
    <n v="12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n v="0"/>
    <n v="0"/>
    <n v="0"/>
    <m/>
  </r>
  <r>
    <m/>
    <n v="1747"/>
    <x v="34"/>
    <s v="ODA16N00292-018"/>
    <x v="1"/>
    <s v="BONIS SPA"/>
    <s v="STOCK TERRA MP"/>
    <x v="4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GEO"/>
    <m/>
    <m/>
    <m/>
    <m/>
    <m/>
    <m/>
    <s v="PF"/>
    <n v="0"/>
    <n v="0"/>
    <n v="0"/>
    <n v="0"/>
    <n v="0"/>
    <s v="GEO TOMAIA SYNTHETIC"/>
    <s v="Bonis SpA"/>
    <m/>
    <m/>
    <m/>
    <m/>
    <m/>
    <m/>
    <m/>
    <m/>
    <n v="0"/>
    <n v="0"/>
    <n v="0"/>
    <m/>
  </r>
  <r>
    <m/>
    <n v="1756"/>
    <x v="19"/>
    <s v="ODA16N00296-035"/>
    <x v="6"/>
    <s v="BONIS SPA"/>
    <s v="STOCK TERRA MP"/>
    <x v="2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PU"/>
    <s v="Bonis SpA"/>
    <m/>
    <m/>
    <m/>
    <m/>
    <m/>
    <m/>
    <m/>
    <m/>
    <n v="0"/>
    <n v="0"/>
    <n v="0"/>
    <m/>
  </r>
  <r>
    <m/>
    <n v="1756"/>
    <x v="19"/>
    <s v="ODA16N00296-036"/>
    <x v="6"/>
    <s v="BONIS SPA"/>
    <s v="STOCK TERRA MP"/>
    <x v="2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PU"/>
    <s v="Bonis SpA"/>
    <m/>
    <m/>
    <m/>
    <m/>
    <m/>
    <m/>
    <m/>
    <m/>
    <n v="0"/>
    <n v="0"/>
    <n v="0"/>
    <m/>
  </r>
  <r>
    <m/>
    <n v="1756"/>
    <x v="19"/>
    <s v="ODA16N00296-039"/>
    <x v="6"/>
    <s v="BONIS SPA"/>
    <s v="STOCK TERRA MP"/>
    <x v="2"/>
    <m/>
    <n v="1"/>
    <n v="8"/>
    <s v="01"/>
    <s v="102"/>
    <s v="010"/>
    <s v="00"/>
    <s v="S"/>
    <s v="P"/>
    <s v="01"/>
    <s v="03"/>
    <s v="False"/>
    <s v="True"/>
    <s v="U0024205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PU"/>
    <s v="Bonis SpA"/>
    <m/>
    <m/>
    <m/>
    <m/>
    <m/>
    <m/>
    <m/>
    <m/>
    <n v="0"/>
    <n v="0"/>
    <n v="0"/>
    <m/>
  </r>
  <r>
    <m/>
    <n v="1753"/>
    <x v="19"/>
    <s v="ODA16N00296-055"/>
    <x v="2"/>
    <s v="BONIS SPA"/>
    <s v="STOCK TERRA MP"/>
    <x v="2"/>
    <m/>
    <n v="1"/>
    <n v="12"/>
    <s v="01"/>
    <s v="102"/>
    <s v="007"/>
    <s v="00"/>
    <s v="S"/>
    <s v="P"/>
    <s v="01"/>
    <s v="03"/>
    <s v="False"/>
    <s v="True"/>
    <s v="U0020221"/>
    <n v="1"/>
    <m/>
    <n v="0"/>
    <n v="0"/>
    <m/>
    <m/>
    <m/>
    <s v="4520271"/>
    <s v="FUZHOU KINGDOM SHOES CO., LTD"/>
    <m/>
    <n v="0"/>
    <n v="0"/>
    <s v="F11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PU"/>
    <s v="Bonis SpA"/>
    <m/>
    <m/>
    <m/>
    <m/>
    <m/>
    <m/>
    <m/>
    <m/>
    <n v="0"/>
    <n v="0"/>
    <n v="0"/>
    <m/>
  </r>
  <r>
    <m/>
    <n v="1747"/>
    <x v="19"/>
    <s v="ODA16N00296-163"/>
    <x v="6"/>
    <s v="BONIS SPA"/>
    <s v="STOCK TERRA MP"/>
    <x v="25"/>
    <m/>
    <n v="1"/>
    <n v="8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271"/>
    <s v="FUZHOU KINGDOM SHOES CO., LTD"/>
    <m/>
    <n v="0"/>
    <n v="0"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PU"/>
    <s v="Bonis SpA"/>
    <m/>
    <m/>
    <m/>
    <m/>
    <m/>
    <m/>
    <m/>
    <m/>
    <n v="0"/>
    <n v="0"/>
    <n v="0"/>
    <m/>
  </r>
  <r>
    <m/>
    <n v="1758"/>
    <x v="48"/>
    <s v="ODA16N00302-172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177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180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190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193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195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197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204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211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213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214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215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ODA16N00302-276"/>
    <x v="0"/>
    <s v="BONIS SPA"/>
    <s v="STOCK TERRA MP"/>
    <x v="10"/>
    <m/>
    <n v="1"/>
    <n v="12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ODA16N00302-971"/>
    <x v="4"/>
    <s v="BONIS SPA"/>
    <s v="STOCK TERRA MP"/>
    <x v="4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ODA16N00302-983"/>
    <x v="4"/>
    <s v="BONIS SPA"/>
    <s v="STOCK TERRA MP"/>
    <x v="4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ODA16N00302-993"/>
    <x v="4"/>
    <s v="BONIS SPA"/>
    <s v="STOCK TERRA MP"/>
    <x v="4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ODA16N00302-997"/>
    <x v="4"/>
    <s v="BONIS SPA"/>
    <s v="STOCK TERRA MP"/>
    <x v="4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47"/>
    <x v="50"/>
    <s v="ODA16N00305-398"/>
    <x v="3"/>
    <s v="BONIS SPA"/>
    <s v="STOCK TERRA MP"/>
    <x v="11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308"/>
    <s v="QUANZHOU REORDERS FORSUN"/>
    <m/>
    <n v="0"/>
    <n v="0"/>
    <s v="F06"/>
    <s v="KID"/>
    <s v="PA"/>
    <m/>
    <m/>
    <m/>
    <m/>
    <s v="False"/>
    <m/>
    <s v="TAREK"/>
    <m/>
    <m/>
    <m/>
    <m/>
    <m/>
    <m/>
    <s v="PF"/>
    <n v="0"/>
    <n v="0"/>
    <n v="0"/>
    <n v="0"/>
    <n v="0"/>
    <s v="GOMMA MESH"/>
    <s v="Bonis SpA"/>
    <m/>
    <m/>
    <m/>
    <m/>
    <m/>
    <m/>
    <m/>
    <m/>
    <n v="0"/>
    <n v="0"/>
    <n v="0"/>
    <m/>
  </r>
  <r>
    <m/>
    <n v="1753"/>
    <x v="51"/>
    <s v="ODA16N00307-270"/>
    <x v="3"/>
    <s v="BONIS SPA"/>
    <s v="STOCK TERRA MP"/>
    <x v="10"/>
    <m/>
    <n v="1"/>
    <n v="12"/>
    <s v="01"/>
    <s v="102"/>
    <s v="007"/>
    <s v="00"/>
    <s v="S"/>
    <s v="P"/>
    <s v="01"/>
    <s v="03"/>
    <s v="False"/>
    <s v="True"/>
    <s v="U0020221"/>
    <n v="1"/>
    <m/>
    <n v="0"/>
    <n v="0"/>
    <m/>
    <m/>
    <m/>
    <s v="4520308"/>
    <s v="QUANZHOU REORDERS FORSUN"/>
    <m/>
    <n v="0"/>
    <n v="0"/>
    <s v="F10"/>
    <s v="KID"/>
    <s v="PA"/>
    <m/>
    <m/>
    <m/>
    <m/>
    <s v="False"/>
    <m/>
    <s v="ECROK"/>
    <m/>
    <m/>
    <m/>
    <m/>
    <m/>
    <m/>
    <s v="PF"/>
    <n v="0"/>
    <n v="0"/>
    <n v="0"/>
    <n v="0"/>
    <n v="0"/>
    <s v="GOMMA SYNTHETIC PU"/>
    <s v="Bonis SpA"/>
    <m/>
    <m/>
    <m/>
    <m/>
    <m/>
    <m/>
    <m/>
    <m/>
    <n v="0"/>
    <n v="0"/>
    <n v="0"/>
    <m/>
  </r>
  <r>
    <m/>
    <n v="1758"/>
    <x v="49"/>
    <s v="ODA16N00330-300"/>
    <x v="4"/>
    <s v="BONIS SPA"/>
    <s v="STOCK TERRA MP"/>
    <x v="4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ODA16N00330-301"/>
    <x v="4"/>
    <s v="BONIS SPA"/>
    <s v="STOCK TERRA MP"/>
    <x v="4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ODA16N00330-304"/>
    <x v="4"/>
    <s v="BONIS SPA"/>
    <s v="STOCK TERRA MP"/>
    <x v="4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ODA16N00330-306"/>
    <x v="4"/>
    <s v="BONIS SPA"/>
    <s v="STOCK TERRA MP"/>
    <x v="4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ODA16N00330-310"/>
    <x v="4"/>
    <s v="BONIS SPA"/>
    <s v="STOCK TERRA MP"/>
    <x v="4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ODA16N00330-312"/>
    <x v="0"/>
    <s v="BONIS SPA"/>
    <s v="STOCK TERRA MP"/>
    <x v="4"/>
    <m/>
    <n v="1"/>
    <n v="12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ODA16N00330-342"/>
    <x v="0"/>
    <s v="BONIS SPA"/>
    <s v="STOCK TERRA MP"/>
    <x v="4"/>
    <m/>
    <n v="1"/>
    <n v="12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ODA16N00330-351"/>
    <x v="0"/>
    <s v="BONIS SPA"/>
    <s v="STOCK TERRA MP"/>
    <x v="4"/>
    <m/>
    <n v="1"/>
    <n v="12"/>
    <s v="01"/>
    <s v="102"/>
    <s v="012"/>
    <s v="00"/>
    <s v="S"/>
    <s v="P"/>
    <s v="01"/>
    <s v="03"/>
    <s v="False"/>
    <s v="True"/>
    <s v="U0032634"/>
    <n v="1"/>
    <m/>
    <n v="0"/>
    <n v="0"/>
    <m/>
    <m/>
    <m/>
    <s v="4520271"/>
    <s v="FUZHOU KINGDOM SHOES CO., LTD"/>
    <m/>
    <n v="0"/>
    <n v="0"/>
    <s v="F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47"/>
    <x v="52"/>
    <s v="ODA16N00336-287"/>
    <x v="6"/>
    <s v="BONIS SPA"/>
    <s v="STOCK TERRA MP"/>
    <x v="25"/>
    <m/>
    <n v="1"/>
    <n v="8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243"/>
    <s v="XIAMEN UNIBEST IMP. EXP. CO."/>
    <m/>
    <n v="0"/>
    <n v="0"/>
    <s v="F06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NYLON + MICROSUEDE"/>
    <s v="Bonis SpA"/>
    <m/>
    <m/>
    <m/>
    <m/>
    <m/>
    <m/>
    <m/>
    <m/>
    <n v="0"/>
    <n v="0"/>
    <n v="0"/>
    <m/>
  </r>
  <r>
    <m/>
    <n v="1747"/>
    <x v="52"/>
    <s v="ODA16N00336-288"/>
    <x v="6"/>
    <s v="BONIS SPA"/>
    <s v="STOCK TERRA MP"/>
    <x v="25"/>
    <m/>
    <n v="1"/>
    <n v="8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243"/>
    <s v="XIAMEN UNIBEST IMP. EXP. CO."/>
    <m/>
    <n v="0"/>
    <n v="0"/>
    <s v="F06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NYLON + MICROSUEDE"/>
    <s v="Bonis SpA"/>
    <m/>
    <m/>
    <m/>
    <m/>
    <m/>
    <m/>
    <m/>
    <m/>
    <n v="0"/>
    <n v="0"/>
    <n v="0"/>
    <m/>
  </r>
  <r>
    <m/>
    <n v="1747"/>
    <x v="52"/>
    <s v="ODA16N00336-307"/>
    <x v="6"/>
    <s v="BONIS SPA"/>
    <s v="STOCK TERRA MP"/>
    <x v="25"/>
    <m/>
    <n v="1"/>
    <n v="8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243"/>
    <s v="XIAMEN UNIBEST IMP. EXP. CO."/>
    <m/>
    <n v="0"/>
    <n v="0"/>
    <s v="F06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NYLON + MICROSUEDE"/>
    <s v="Bonis SpA"/>
    <m/>
    <m/>
    <m/>
    <m/>
    <m/>
    <m/>
    <m/>
    <m/>
    <n v="0"/>
    <n v="0"/>
    <n v="0"/>
    <m/>
  </r>
  <r>
    <m/>
    <n v="1747"/>
    <x v="12"/>
    <s v="ODA16N00342-003"/>
    <x v="0"/>
    <s v="BONIS SPA"/>
    <s v="STOCK TERRA MP"/>
    <x v="6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47"/>
    <x v="12"/>
    <s v="ODA16N00342-008"/>
    <x v="5"/>
    <s v="BONIS SPA"/>
    <s v="STOCK TERRA MP"/>
    <x v="6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s v="ECOM"/>
    <m/>
    <s v="4520182"/>
    <s v="32 Joint Stock Company (Aseco)"/>
    <m/>
    <n v="0"/>
    <n v="0"/>
    <s v="F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n v="0"/>
    <n v="0"/>
    <n v="0"/>
    <m/>
  </r>
  <r>
    <m/>
    <n v="1747"/>
    <x v="53"/>
    <s v="ODA16N00344-216"/>
    <x v="1"/>
    <s v="BONIS SPA"/>
    <s v="STOCK TERRA MP"/>
    <x v="10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m/>
    <m/>
    <s v="4520182"/>
    <s v="32 Joint Stock Company (Aseco)"/>
    <m/>
    <n v="0"/>
    <n v="0"/>
    <s v="F06"/>
    <s v="WOMAN"/>
    <s v="PA"/>
    <m/>
    <m/>
    <m/>
    <m/>
    <s v="False"/>
    <m/>
    <s v="DYON"/>
    <m/>
    <m/>
    <m/>
    <m/>
    <m/>
    <m/>
    <s v="PF"/>
    <n v="0"/>
    <n v="0"/>
    <n v="0"/>
    <n v="0"/>
    <n v="0"/>
    <s v="E GOMMA TWILL canvas"/>
    <s v="Bonis SpA"/>
    <m/>
    <m/>
    <m/>
    <m/>
    <m/>
    <m/>
    <m/>
    <m/>
    <n v="0"/>
    <n v="0"/>
    <n v="0"/>
    <m/>
  </r>
  <r>
    <m/>
    <n v="1748"/>
    <x v="54"/>
    <s v="ODA16N00354-031"/>
    <x v="1"/>
    <s v="BONIS SPA"/>
    <s v="STOCK TERRA MP"/>
    <x v="7"/>
    <m/>
    <n v="1"/>
    <n v="12"/>
    <s v="01"/>
    <s v="102"/>
    <s v="002"/>
    <s v="00"/>
    <s v="S"/>
    <s v="P"/>
    <s v="01"/>
    <s v="03"/>
    <s v="False"/>
    <s v="True"/>
    <s v="U0026769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EXTILE+SYNTHETIC LEAT"/>
    <s v="Bonis SpA"/>
    <m/>
    <m/>
    <m/>
    <m/>
    <m/>
    <m/>
    <m/>
    <m/>
    <n v="0"/>
    <n v="0"/>
    <n v="0"/>
    <m/>
  </r>
  <r>
    <m/>
    <n v="1753"/>
    <x v="54"/>
    <s v="ODA16N00354-073"/>
    <x v="1"/>
    <s v="BONIS SPA"/>
    <s v="STOCK TERRA MP"/>
    <x v="13"/>
    <m/>
    <n v="1"/>
    <n v="12"/>
    <s v="01"/>
    <s v="102"/>
    <s v="007"/>
    <s v="00"/>
    <s v="S"/>
    <s v="P"/>
    <s v="01"/>
    <s v="03"/>
    <s v="False"/>
    <s v="True"/>
    <s v="U0020221"/>
    <n v="1"/>
    <m/>
    <n v="0"/>
    <n v="0"/>
    <m/>
    <m/>
    <m/>
    <s v="4520107"/>
    <s v="DONG HUNG IND. JOINT COMPANY"/>
    <m/>
    <n v="0"/>
    <n v="0"/>
    <s v="F10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EXTILE+SYNTHETIC LEAT"/>
    <s v="Bonis SpA"/>
    <m/>
    <m/>
    <m/>
    <m/>
    <m/>
    <m/>
    <m/>
    <m/>
    <n v="0"/>
    <n v="0"/>
    <n v="0"/>
    <m/>
  </r>
  <r>
    <m/>
    <n v="1753"/>
    <x v="54"/>
    <s v="ODA16N00354-074"/>
    <x v="1"/>
    <s v="BONIS SPA"/>
    <s v="STOCK TERRA MP"/>
    <x v="13"/>
    <m/>
    <n v="1"/>
    <n v="12"/>
    <s v="01"/>
    <s v="102"/>
    <s v="007"/>
    <s v="00"/>
    <s v="S"/>
    <s v="P"/>
    <s v="01"/>
    <s v="03"/>
    <s v="False"/>
    <s v="True"/>
    <s v="U0020221"/>
    <n v="1"/>
    <m/>
    <n v="0"/>
    <n v="0"/>
    <m/>
    <m/>
    <m/>
    <s v="4520107"/>
    <s v="DONG HUNG IND. JOINT COMPANY"/>
    <m/>
    <n v="0"/>
    <n v="0"/>
    <s v="F10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EXTILE+SYNTHETIC LEAT"/>
    <s v="Bonis SpA"/>
    <m/>
    <m/>
    <m/>
    <m/>
    <m/>
    <m/>
    <m/>
    <m/>
    <n v="0"/>
    <n v="0"/>
    <n v="0"/>
    <m/>
  </r>
  <r>
    <m/>
    <n v="1748"/>
    <x v="54"/>
    <s v="ODA16N00355-002"/>
    <x v="1"/>
    <s v="BONIS SPA"/>
    <s v="STOCK TERRA MP"/>
    <x v="7"/>
    <m/>
    <n v="1"/>
    <n v="12"/>
    <s v="01"/>
    <s v="102"/>
    <s v="002"/>
    <s v="00"/>
    <s v="S"/>
    <s v="P"/>
    <s v="01"/>
    <s v="03"/>
    <s v="False"/>
    <s v="True"/>
    <s v="U0026769"/>
    <n v="1"/>
    <m/>
    <n v="0"/>
    <n v="0"/>
    <m/>
    <m/>
    <m/>
    <s v="4520107"/>
    <s v="DONG HUNG IND. JOINT COMPANY"/>
    <m/>
    <n v="0"/>
    <n v="0"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TEXTILE+SYNTHETIC LEAT"/>
    <s v="Bonis SpA"/>
    <m/>
    <m/>
    <m/>
    <m/>
    <m/>
    <m/>
    <m/>
    <m/>
    <n v="0"/>
    <n v="0"/>
    <n v="0"/>
    <m/>
  </r>
  <r>
    <m/>
    <n v="1754"/>
    <x v="25"/>
    <s v="ODA16N00410-184"/>
    <x v="0"/>
    <s v="BONIS SPA"/>
    <s v="STOCK TERRA MP"/>
    <x v="4"/>
    <m/>
    <n v="1"/>
    <n v="12"/>
    <s v="01"/>
    <s v="102"/>
    <s v="008"/>
    <s v="00"/>
    <s v="S"/>
    <s v="P"/>
    <s v="01"/>
    <s v="03"/>
    <s v="False"/>
    <s v="True"/>
    <s v="U0023791"/>
    <n v="1"/>
    <m/>
    <n v="0"/>
    <n v="0"/>
    <m/>
    <s v="SMU"/>
    <m/>
    <s v="4520307"/>
    <s v="CHENGDU JOY SHINE FOOTWEAR LTD"/>
    <m/>
    <n v="0"/>
    <n v="0"/>
    <s v="F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NYLON+MICROSUEDE"/>
    <s v="Bonis SpA"/>
    <m/>
    <m/>
    <m/>
    <m/>
    <m/>
    <m/>
    <m/>
    <m/>
    <n v="0"/>
    <n v="0"/>
    <n v="0"/>
    <m/>
  </r>
  <r>
    <m/>
    <n v="1754"/>
    <x v="28"/>
    <s v="ODA17N00003-211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13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19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29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31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32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37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39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43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47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52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54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55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59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60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72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76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78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90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91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95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96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4"/>
    <x v="28"/>
    <s v="ODA17N00003-297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s v="4520308"/>
    <s v="QUANZHOU REORDERS FORSUN"/>
    <m/>
    <n v="0"/>
    <n v="0"/>
    <s v="F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49"/>
    <x v="55"/>
    <s v="ODA17N00060-033"/>
    <x v="1"/>
    <s v="BONIS SPA"/>
    <s v="STOCK TERRA MP"/>
    <x v="26"/>
    <m/>
    <n v="1"/>
    <n v="12"/>
    <s v="01"/>
    <s v="102"/>
    <s v="003"/>
    <s v="00"/>
    <s v="S"/>
    <s v="P"/>
    <s v="01"/>
    <s v="03"/>
    <s v="False"/>
    <s v="True"/>
    <s v="U0033622"/>
    <n v="1"/>
    <m/>
    <n v="0"/>
    <n v="0"/>
    <m/>
    <m/>
    <m/>
    <s v="4520200"/>
    <s v="FOCUS FOOTWEAR Co. Ltd."/>
    <m/>
    <n v="0"/>
    <n v="0"/>
    <s v="F06"/>
    <s v="WOMAN"/>
    <s v="PA"/>
    <m/>
    <m/>
    <m/>
    <m/>
    <s v="False"/>
    <m/>
    <s v="TOSCA"/>
    <m/>
    <m/>
    <m/>
    <m/>
    <m/>
    <m/>
    <s v="PF"/>
    <n v="0"/>
    <n v="0"/>
    <n v="0"/>
    <n v="0"/>
    <n v="0"/>
    <s v="OSCA PELLE PAMPERO LUX"/>
    <s v="Bonis SpA"/>
    <m/>
    <m/>
    <m/>
    <m/>
    <m/>
    <m/>
    <m/>
    <m/>
    <n v="0"/>
    <n v="0"/>
    <n v="0"/>
    <m/>
  </r>
  <r>
    <m/>
    <n v="1749"/>
    <x v="55"/>
    <s v="ODA17N00060-034"/>
    <x v="1"/>
    <s v="BONIS SPA"/>
    <s v="STOCK TERRA MP"/>
    <x v="26"/>
    <m/>
    <n v="1"/>
    <n v="12"/>
    <s v="01"/>
    <s v="102"/>
    <s v="003"/>
    <s v="00"/>
    <s v="S"/>
    <s v="P"/>
    <s v="01"/>
    <s v="03"/>
    <s v="False"/>
    <s v="True"/>
    <s v="U0033622"/>
    <n v="1"/>
    <m/>
    <n v="0"/>
    <n v="0"/>
    <m/>
    <m/>
    <m/>
    <s v="4520200"/>
    <s v="FOCUS FOOTWEAR Co. Ltd."/>
    <m/>
    <n v="0"/>
    <n v="0"/>
    <s v="F06"/>
    <s v="WOMAN"/>
    <s v="PA"/>
    <m/>
    <m/>
    <m/>
    <m/>
    <s v="False"/>
    <m/>
    <s v="TOSCA"/>
    <m/>
    <m/>
    <m/>
    <m/>
    <m/>
    <m/>
    <s v="PF"/>
    <n v="0"/>
    <n v="0"/>
    <n v="0"/>
    <n v="0"/>
    <n v="0"/>
    <s v="OSCA PELLE PAMPERO LUX"/>
    <s v="Bonis SpA"/>
    <m/>
    <m/>
    <m/>
    <m/>
    <m/>
    <m/>
    <m/>
    <m/>
    <n v="0"/>
    <n v="0"/>
    <n v="0"/>
    <m/>
  </r>
  <r>
    <m/>
    <n v="1749"/>
    <x v="55"/>
    <s v="ODA17N00060-036"/>
    <x v="1"/>
    <s v="BONIS SPA"/>
    <s v="STOCK TERRA MP"/>
    <x v="26"/>
    <m/>
    <n v="1"/>
    <n v="12"/>
    <s v="01"/>
    <s v="102"/>
    <s v="003"/>
    <s v="00"/>
    <s v="S"/>
    <s v="P"/>
    <s v="01"/>
    <s v="03"/>
    <s v="False"/>
    <s v="True"/>
    <s v="U0033622"/>
    <n v="1"/>
    <m/>
    <n v="0"/>
    <n v="0"/>
    <m/>
    <m/>
    <m/>
    <s v="4520200"/>
    <s v="FOCUS FOOTWEAR Co. Ltd."/>
    <m/>
    <n v="0"/>
    <n v="0"/>
    <s v="F06"/>
    <s v="WOMAN"/>
    <s v="PA"/>
    <m/>
    <m/>
    <m/>
    <m/>
    <s v="False"/>
    <m/>
    <s v="TOSCA"/>
    <m/>
    <m/>
    <m/>
    <m/>
    <m/>
    <m/>
    <s v="PF"/>
    <n v="0"/>
    <n v="0"/>
    <n v="0"/>
    <n v="0"/>
    <n v="0"/>
    <s v="OSCA PELLE PAMPERO LUX"/>
    <s v="Bonis SpA"/>
    <m/>
    <m/>
    <m/>
    <m/>
    <m/>
    <m/>
    <m/>
    <m/>
    <n v="0"/>
    <n v="0"/>
    <n v="0"/>
    <m/>
  </r>
  <r>
    <m/>
    <n v="1749"/>
    <x v="55"/>
    <s v="ODA17N00060-037"/>
    <x v="1"/>
    <s v="BONIS SPA"/>
    <s v="STOCK TERRA MP"/>
    <x v="26"/>
    <m/>
    <n v="1"/>
    <n v="12"/>
    <s v="01"/>
    <s v="102"/>
    <s v="003"/>
    <s v="00"/>
    <s v="S"/>
    <s v="P"/>
    <s v="01"/>
    <s v="03"/>
    <s v="False"/>
    <s v="True"/>
    <s v="U0033622"/>
    <n v="1"/>
    <m/>
    <n v="0"/>
    <n v="0"/>
    <m/>
    <m/>
    <m/>
    <s v="4520200"/>
    <s v="FOCUS FOOTWEAR Co. Ltd."/>
    <m/>
    <n v="0"/>
    <n v="0"/>
    <s v="F06"/>
    <s v="WOMAN"/>
    <s v="PA"/>
    <m/>
    <m/>
    <m/>
    <m/>
    <s v="False"/>
    <m/>
    <s v="TOSCA"/>
    <m/>
    <m/>
    <m/>
    <m/>
    <m/>
    <m/>
    <s v="PF"/>
    <n v="0"/>
    <n v="0"/>
    <n v="0"/>
    <n v="0"/>
    <n v="0"/>
    <s v="OSCA PELLE PAMPERO LUX"/>
    <s v="Bonis SpA"/>
    <m/>
    <m/>
    <m/>
    <m/>
    <m/>
    <m/>
    <m/>
    <m/>
    <n v="0"/>
    <n v="0"/>
    <n v="0"/>
    <m/>
  </r>
  <r>
    <m/>
    <n v="1751"/>
    <x v="56"/>
    <s v="ODA17N00060-083"/>
    <x v="1"/>
    <s v="BONIS SPA"/>
    <s v="STOCK TERRA MP"/>
    <x v="27"/>
    <m/>
    <n v="1"/>
    <n v="12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200"/>
    <s v="FOCUS FOOTWEAR Co. Ltd."/>
    <m/>
    <n v="0"/>
    <n v="0"/>
    <s v="F06"/>
    <s v="WOMAN"/>
    <s v="PA"/>
    <m/>
    <m/>
    <m/>
    <m/>
    <s v="False"/>
    <m/>
    <s v="TOSCA"/>
    <m/>
    <m/>
    <m/>
    <m/>
    <m/>
    <m/>
    <s v="PF"/>
    <n v="0"/>
    <n v="0"/>
    <n v="0"/>
    <n v="0"/>
    <n v="0"/>
    <s v="OSCA CROSTA MR TOUCH X"/>
    <s v="Bonis SpA"/>
    <m/>
    <m/>
    <m/>
    <m/>
    <m/>
    <m/>
    <m/>
    <m/>
    <n v="0"/>
    <n v="0"/>
    <n v="0"/>
    <m/>
  </r>
  <r>
    <m/>
    <n v="1749"/>
    <x v="57"/>
    <s v="ODA17N00060-156"/>
    <x v="6"/>
    <s v="BONIS SPA"/>
    <s v="STOCK TERRA MP"/>
    <x v="10"/>
    <m/>
    <n v="1"/>
    <n v="8"/>
    <s v="01"/>
    <s v="102"/>
    <s v="003"/>
    <s v="00"/>
    <s v="S"/>
    <s v="P"/>
    <s v="01"/>
    <s v="03"/>
    <s v="False"/>
    <s v="True"/>
    <s v="U0033622"/>
    <n v="1"/>
    <m/>
    <n v="0"/>
    <n v="0"/>
    <m/>
    <m/>
    <m/>
    <s v="4520200"/>
    <s v="FOCUS FOOTWEAR Co. Ltd."/>
    <m/>
    <n v="0"/>
    <n v="0"/>
    <s v="F06"/>
    <s v="WOMAN"/>
    <s v="PA"/>
    <m/>
    <m/>
    <m/>
    <m/>
    <s v="False"/>
    <m/>
    <s v="TOSCA"/>
    <m/>
    <m/>
    <m/>
    <m/>
    <m/>
    <m/>
    <s v="PF"/>
    <n v="0"/>
    <n v="0"/>
    <n v="0"/>
    <n v="0"/>
    <n v="0"/>
    <s v="OSCA CROSTA MR TOUCH X"/>
    <s v="Bonis SpA"/>
    <m/>
    <m/>
    <m/>
    <m/>
    <m/>
    <m/>
    <m/>
    <m/>
    <n v="0"/>
    <n v="0"/>
    <n v="0"/>
    <m/>
  </r>
  <r>
    <m/>
    <n v="1751"/>
    <x v="57"/>
    <s v="ODA17N00060-212"/>
    <x v="6"/>
    <s v="BONIS SPA"/>
    <s v="STOCK TERRA MP"/>
    <x v="19"/>
    <m/>
    <n v="1"/>
    <n v="8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200"/>
    <s v="FOCUS FOOTWEAR Co. Ltd."/>
    <m/>
    <n v="0"/>
    <n v="0"/>
    <s v="F06"/>
    <s v="WOMAN"/>
    <s v="PA"/>
    <m/>
    <m/>
    <m/>
    <m/>
    <s v="False"/>
    <m/>
    <s v="TOSCA"/>
    <m/>
    <m/>
    <m/>
    <m/>
    <m/>
    <m/>
    <s v="PF"/>
    <n v="0"/>
    <n v="0"/>
    <n v="0"/>
    <n v="0"/>
    <n v="0"/>
    <s v="OSCA CROSTA MR TOUCH X"/>
    <s v="Bonis SpA"/>
    <m/>
    <m/>
    <m/>
    <m/>
    <m/>
    <m/>
    <m/>
    <m/>
    <n v="0"/>
    <n v="0"/>
    <n v="0"/>
    <m/>
  </r>
  <r>
    <m/>
    <n v="1751"/>
    <x v="57"/>
    <s v="ODA17N00060-213"/>
    <x v="6"/>
    <s v="BONIS SPA"/>
    <s v="STOCK TERRA MP"/>
    <x v="19"/>
    <m/>
    <n v="1"/>
    <n v="8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200"/>
    <s v="FOCUS FOOTWEAR Co. Ltd."/>
    <m/>
    <n v="0"/>
    <n v="0"/>
    <s v="F06"/>
    <s v="WOMAN"/>
    <s v="PA"/>
    <m/>
    <m/>
    <m/>
    <m/>
    <s v="False"/>
    <m/>
    <s v="TOSCA"/>
    <m/>
    <m/>
    <m/>
    <m/>
    <m/>
    <m/>
    <s v="PF"/>
    <n v="0"/>
    <n v="0"/>
    <n v="0"/>
    <n v="0"/>
    <n v="0"/>
    <s v="OSCA CROSTA MR TOUCH X"/>
    <s v="Bonis SpA"/>
    <m/>
    <m/>
    <m/>
    <m/>
    <m/>
    <m/>
    <m/>
    <m/>
    <n v="0"/>
    <n v="0"/>
    <n v="0"/>
    <m/>
  </r>
  <r>
    <m/>
    <n v="1751"/>
    <x v="57"/>
    <s v="ODA17N00060-217"/>
    <x v="6"/>
    <s v="BONIS SPA"/>
    <s v="STOCK TERRA MP"/>
    <x v="19"/>
    <m/>
    <n v="1"/>
    <n v="8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200"/>
    <s v="FOCUS FOOTWEAR Co. Ltd."/>
    <m/>
    <n v="0"/>
    <n v="0"/>
    <s v="F06"/>
    <s v="WOMAN"/>
    <s v="PA"/>
    <m/>
    <m/>
    <m/>
    <m/>
    <s v="False"/>
    <m/>
    <s v="TOSCA"/>
    <m/>
    <m/>
    <m/>
    <m/>
    <m/>
    <m/>
    <s v="PF"/>
    <n v="0"/>
    <n v="0"/>
    <n v="0"/>
    <n v="0"/>
    <n v="0"/>
    <s v="OSCA CROSTA MR TOUCH X"/>
    <s v="Bonis SpA"/>
    <m/>
    <m/>
    <m/>
    <m/>
    <m/>
    <m/>
    <m/>
    <m/>
    <n v="0"/>
    <n v="0"/>
    <n v="0"/>
    <m/>
  </r>
  <r>
    <m/>
    <n v="1751"/>
    <x v="57"/>
    <s v="ODA17N00060-218"/>
    <x v="6"/>
    <s v="BONIS SPA"/>
    <s v="STOCK TERRA MP"/>
    <x v="19"/>
    <m/>
    <n v="1"/>
    <n v="8"/>
    <s v="01"/>
    <s v="102"/>
    <s v="005"/>
    <s v="00"/>
    <s v="S"/>
    <s v="P"/>
    <s v="01"/>
    <s v="03"/>
    <s v="False"/>
    <s v="True"/>
    <s v="U0024305"/>
    <n v="1"/>
    <m/>
    <n v="0"/>
    <n v="0"/>
    <m/>
    <m/>
    <m/>
    <s v="4520200"/>
    <s v="FOCUS FOOTWEAR Co. Ltd."/>
    <m/>
    <n v="0"/>
    <n v="0"/>
    <s v="F06"/>
    <s v="WOMAN"/>
    <s v="PA"/>
    <m/>
    <m/>
    <m/>
    <m/>
    <s v="False"/>
    <m/>
    <s v="TOSCA"/>
    <m/>
    <m/>
    <m/>
    <m/>
    <m/>
    <m/>
    <s v="PF"/>
    <n v="0"/>
    <n v="0"/>
    <n v="0"/>
    <n v="0"/>
    <n v="0"/>
    <s v="OSCA CROSTA MR TOUCH X"/>
    <s v="Bonis SpA"/>
    <m/>
    <m/>
    <m/>
    <m/>
    <m/>
    <m/>
    <m/>
    <m/>
    <n v="0"/>
    <n v="0"/>
    <n v="0"/>
    <m/>
  </r>
  <r>
    <m/>
    <n v="1757"/>
    <x v="31"/>
    <s v="ODV16N02275-001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02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03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04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05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06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07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08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09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11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12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13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14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15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16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17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18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19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7"/>
    <x v="31"/>
    <s v="ODV16N02275-020"/>
    <x v="4"/>
    <s v="BONIS SPA"/>
    <s v="STOCK TERRA MP"/>
    <x v="7"/>
    <m/>
    <n v="1"/>
    <n v="8"/>
    <s v="01"/>
    <s v="102"/>
    <s v="011"/>
    <s v="00"/>
    <s v="S"/>
    <s v="P"/>
    <s v="01"/>
    <s v="03"/>
    <s v="False"/>
    <s v="True"/>
    <s v="U002378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42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43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44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45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46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47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48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49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50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51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52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53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54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55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56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57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5"/>
    <x v="31"/>
    <s v="ODV16N02275-058"/>
    <x v="4"/>
    <s v="BONIS SPA"/>
    <s v="STOCK TERRA MP"/>
    <x v="19"/>
    <m/>
    <n v="1"/>
    <n v="8"/>
    <s v="01"/>
    <s v="102"/>
    <s v="009"/>
    <s v="00"/>
    <s v="S"/>
    <s v="P"/>
    <s v="01"/>
    <s v="03"/>
    <s v="False"/>
    <s v="True"/>
    <s v="U0023790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0"/>
    <x v="31"/>
    <s v="ODV16N02275-059"/>
    <x v="4"/>
    <s v="BONIS SPA"/>
    <s v="STOCK TERRA MP"/>
    <x v="19"/>
    <m/>
    <n v="1"/>
    <n v="8"/>
    <s v="01"/>
    <s v="102"/>
    <s v="004"/>
    <s v="00"/>
    <s v="S"/>
    <s v="P"/>
    <s v="01"/>
    <s v="03"/>
    <s v="False"/>
    <s v="True"/>
    <s v="U003361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0"/>
    <x v="31"/>
    <s v="ODV16N02275-060"/>
    <x v="4"/>
    <s v="BONIS SPA"/>
    <s v="STOCK TERRA MP"/>
    <x v="19"/>
    <m/>
    <n v="1"/>
    <n v="8"/>
    <s v="01"/>
    <s v="102"/>
    <s v="004"/>
    <s v="00"/>
    <s v="S"/>
    <s v="P"/>
    <s v="01"/>
    <s v="03"/>
    <s v="False"/>
    <s v="True"/>
    <s v="U0033617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4"/>
    <x v="31"/>
    <s v="ODV16N02275-062"/>
    <x v="0"/>
    <s v="BONIS SPA"/>
    <s v="STOCK TERRA MP"/>
    <x v="19"/>
    <m/>
    <n v="1"/>
    <n v="12"/>
    <s v="01"/>
    <s v="102"/>
    <s v="008"/>
    <s v="00"/>
    <s v="S"/>
    <s v="P"/>
    <s v="01"/>
    <s v="03"/>
    <s v="False"/>
    <s v="True"/>
    <s v="U0023791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4"/>
    <x v="31"/>
    <s v="ODV16N02275-063"/>
    <x v="0"/>
    <s v="BONIS SPA"/>
    <s v="STOCK TERRA MP"/>
    <x v="19"/>
    <m/>
    <n v="1"/>
    <n v="12"/>
    <s v="01"/>
    <s v="102"/>
    <s v="008"/>
    <s v="00"/>
    <s v="S"/>
    <s v="P"/>
    <s v="01"/>
    <s v="03"/>
    <s v="False"/>
    <s v="True"/>
    <s v="U0023791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4"/>
    <x v="31"/>
    <s v="ODV16N02275-064"/>
    <x v="0"/>
    <s v="BONIS SPA"/>
    <s v="STOCK TERRA MP"/>
    <x v="19"/>
    <m/>
    <n v="1"/>
    <n v="12"/>
    <s v="01"/>
    <s v="102"/>
    <s v="008"/>
    <s v="00"/>
    <s v="S"/>
    <s v="P"/>
    <s v="01"/>
    <s v="03"/>
    <s v="False"/>
    <s v="True"/>
    <s v="U0023791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4"/>
    <x v="31"/>
    <s v="ODV16N02275-065"/>
    <x v="0"/>
    <s v="BONIS SPA"/>
    <s v="STOCK TERRA MP"/>
    <x v="19"/>
    <m/>
    <n v="1"/>
    <n v="12"/>
    <s v="01"/>
    <s v="102"/>
    <s v="008"/>
    <s v="00"/>
    <s v="S"/>
    <s v="P"/>
    <s v="01"/>
    <s v="03"/>
    <s v="False"/>
    <s v="True"/>
    <s v="U0023791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4"/>
    <x v="31"/>
    <s v="ODV16N02275-066"/>
    <x v="0"/>
    <s v="BONIS SPA"/>
    <s v="STOCK TERRA MP"/>
    <x v="19"/>
    <m/>
    <n v="1"/>
    <n v="12"/>
    <s v="01"/>
    <s v="102"/>
    <s v="008"/>
    <s v="00"/>
    <s v="S"/>
    <s v="P"/>
    <s v="01"/>
    <s v="03"/>
    <s v="False"/>
    <s v="True"/>
    <s v="U0023791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4"/>
    <x v="31"/>
    <s v="ODV16N02275-071"/>
    <x v="0"/>
    <s v="BONIS SPA"/>
    <s v="STOCK TERRA MP"/>
    <x v="19"/>
    <m/>
    <n v="1"/>
    <n v="12"/>
    <s v="01"/>
    <s v="102"/>
    <s v="008"/>
    <s v="00"/>
    <s v="S"/>
    <s v="P"/>
    <s v="01"/>
    <s v="03"/>
    <s v="False"/>
    <s v="True"/>
    <s v="U0023791"/>
    <n v="1"/>
    <m/>
    <n v="0"/>
    <n v="0"/>
    <m/>
    <s v="ECOM"/>
    <m/>
    <m/>
    <m/>
    <m/>
    <n v="0"/>
    <n v="0"/>
    <s v="F06"/>
    <s v="MAN"/>
    <s v="PA"/>
    <m/>
    <m/>
    <m/>
    <m/>
    <s v="False"/>
    <m/>
    <s v="TOMAS"/>
    <m/>
    <m/>
    <m/>
    <m/>
    <m/>
    <m/>
    <s v="PF"/>
    <n v="0"/>
    <n v="0"/>
    <n v="0"/>
    <n v="0"/>
    <n v="0"/>
    <s v="GERO TOMAS SUEDE x sfoderato"/>
    <s v="Bonis SpA"/>
    <m/>
    <m/>
    <m/>
    <m/>
    <m/>
    <m/>
    <m/>
    <m/>
    <n v="0"/>
    <n v="0"/>
    <n v="0"/>
    <m/>
  </r>
  <r>
    <m/>
    <n v="1750"/>
    <x v="32"/>
    <s v="ODV16N02278-019"/>
    <x v="1"/>
    <s v="BONIS SPA"/>
    <s v="STOCK TERRA MP"/>
    <x v="18"/>
    <m/>
    <n v="1"/>
    <n v="12"/>
    <s v="01"/>
    <s v="102"/>
    <s v="004"/>
    <s v="00"/>
    <s v="S"/>
    <s v="P"/>
    <s v="01"/>
    <s v="03"/>
    <s v="False"/>
    <s v="True"/>
    <s v="U0033617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50"/>
    <x v="32"/>
    <s v="ODV16N02278-020"/>
    <x v="1"/>
    <s v="BONIS SPA"/>
    <s v="STOCK TERRA MP"/>
    <x v="18"/>
    <m/>
    <n v="1"/>
    <n v="12"/>
    <s v="01"/>
    <s v="102"/>
    <s v="004"/>
    <s v="00"/>
    <s v="S"/>
    <s v="P"/>
    <s v="01"/>
    <s v="03"/>
    <s v="False"/>
    <s v="True"/>
    <s v="U0033617"/>
    <n v="1"/>
    <m/>
    <n v="0"/>
    <n v="0"/>
    <m/>
    <s v="ECOM"/>
    <m/>
    <m/>
    <m/>
    <m/>
    <n v="0"/>
    <n v="0"/>
    <s v="F06"/>
    <s v="WOMAN"/>
    <s v="PA"/>
    <m/>
    <m/>
    <m/>
    <m/>
    <s v="False"/>
    <m/>
    <s v="ELDEW"/>
    <m/>
    <m/>
    <m/>
    <m/>
    <m/>
    <m/>
    <s v="PF"/>
    <n v="0"/>
    <n v="0"/>
    <n v="0"/>
    <n v="0"/>
    <n v="0"/>
    <s v="MMA SINTETICO art.OLMO"/>
    <s v="Bonis SpA"/>
    <m/>
    <m/>
    <m/>
    <m/>
    <m/>
    <m/>
    <m/>
    <m/>
    <n v="0"/>
    <n v="0"/>
    <n v="0"/>
    <m/>
  </r>
  <r>
    <m/>
    <n v="1754"/>
    <x v="28"/>
    <s v="PC0007960"/>
    <x v="1"/>
    <s v="BONIS SPA"/>
    <s v="STOCK TERRA MP"/>
    <x v="6"/>
    <m/>
    <n v="1"/>
    <n v="12"/>
    <s v="01"/>
    <s v="102"/>
    <s v="008"/>
    <s v="00"/>
    <s v="S"/>
    <s v="P"/>
    <s v="01"/>
    <s v="03"/>
    <s v="False"/>
    <s v="True"/>
    <s v="U0031306"/>
    <n v="1"/>
    <m/>
    <n v="0"/>
    <n v="0"/>
    <m/>
    <s v="SMU"/>
    <m/>
    <m/>
    <m/>
    <m/>
    <n v="0"/>
    <n v="0"/>
    <s v="F06"/>
    <s v="WOMAN"/>
    <s v="PA"/>
    <m/>
    <m/>
    <m/>
    <n v="0"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n v="0"/>
    <n v="0"/>
    <n v="0"/>
    <m/>
  </r>
  <r>
    <m/>
    <n v="1758"/>
    <x v="48"/>
    <s v="PC0008044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m/>
    <m/>
    <m/>
    <n v="0"/>
    <n v="0"/>
    <s v="F06"/>
    <s v="UNISEX"/>
    <s v="PA"/>
    <m/>
    <m/>
    <m/>
    <n v="0"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47"/>
    <x v="58"/>
    <s v="PC0008053"/>
    <x v="1"/>
    <s v="BONIS SPA"/>
    <s v="STOCK TERRA MP"/>
    <x v="10"/>
    <m/>
    <n v="1"/>
    <n v="12"/>
    <s v="01"/>
    <s v="102"/>
    <s v="001"/>
    <s v="00"/>
    <s v="S"/>
    <s v="P"/>
    <s v="01"/>
    <s v="03"/>
    <s v="False"/>
    <s v="True"/>
    <s v="U0024439"/>
    <n v="1"/>
    <m/>
    <n v="0"/>
    <n v="0"/>
    <m/>
    <s v="ECOM"/>
    <m/>
    <m/>
    <m/>
    <m/>
    <n v="0"/>
    <n v="0"/>
    <s v="F06"/>
    <s v="WOMAN"/>
    <s v="PA"/>
    <m/>
    <m/>
    <m/>
    <n v="0"/>
    <s v="False"/>
    <m/>
    <s v="DYON"/>
    <m/>
    <m/>
    <m/>
    <m/>
    <m/>
    <m/>
    <s v="PF"/>
    <n v="0"/>
    <n v="0"/>
    <n v="0"/>
    <n v="0"/>
    <n v="0"/>
    <s v="E GOMMA TWILL canvas"/>
    <s v="Bonis SpA"/>
    <m/>
    <m/>
    <m/>
    <m/>
    <m/>
    <m/>
    <m/>
    <m/>
    <n v="0"/>
    <n v="0"/>
    <n v="0"/>
    <m/>
  </r>
  <r>
    <m/>
    <n v="1758"/>
    <x v="48"/>
    <s v="PC0008181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m/>
    <m/>
    <m/>
    <n v="0"/>
    <n v="0"/>
    <s v="F06"/>
    <s v="UNISEX"/>
    <s v="PA"/>
    <m/>
    <m/>
    <m/>
    <n v="0"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8"/>
    <s v="PC0008182"/>
    <x v="4"/>
    <s v="BONIS SPA"/>
    <s v="STOCK TERRA MP"/>
    <x v="10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m/>
    <m/>
    <m/>
    <n v="0"/>
    <n v="0"/>
    <s v="F06"/>
    <s v="UNISEX"/>
    <s v="PA"/>
    <m/>
    <m/>
    <m/>
    <n v="0"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58"/>
    <x v="49"/>
    <s v="PC0008236"/>
    <x v="4"/>
    <s v="BONIS SPA"/>
    <s v="STOCK TERRA MP"/>
    <x v="4"/>
    <m/>
    <n v="1"/>
    <n v="8"/>
    <s v="01"/>
    <s v="102"/>
    <s v="012"/>
    <s v="00"/>
    <s v="S"/>
    <s v="P"/>
    <s v="01"/>
    <s v="03"/>
    <s v="False"/>
    <s v="True"/>
    <s v="U0032634"/>
    <n v="1"/>
    <m/>
    <n v="0"/>
    <n v="0"/>
    <m/>
    <m/>
    <m/>
    <m/>
    <m/>
    <m/>
    <n v="0"/>
    <n v="0"/>
    <s v="F06"/>
    <s v="UNISEX"/>
    <s v="PA"/>
    <m/>
    <m/>
    <m/>
    <n v="0"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n v="0"/>
    <n v="0"/>
    <n v="0"/>
    <m/>
  </r>
  <r>
    <m/>
    <n v="1765"/>
    <x v="36"/>
    <m/>
    <x v="18"/>
    <s v="BONIS SPA"/>
    <s v="STOCK TERRA MP"/>
    <x v="2"/>
    <m/>
    <m/>
    <n v="1"/>
    <s v="01"/>
    <s v="103"/>
    <s v="004"/>
    <s v="00"/>
    <s v="S"/>
    <s v="P"/>
    <s v="01"/>
    <s v="03"/>
    <s v="False"/>
    <s v="True"/>
    <s v="U0032407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5"/>
    <x v="36"/>
    <m/>
    <x v="19"/>
    <s v="BONIS SPA"/>
    <s v="STOCK TERRA MP"/>
    <x v="2"/>
    <m/>
    <m/>
    <n v="2"/>
    <s v="01"/>
    <s v="103"/>
    <s v="004"/>
    <s v="00"/>
    <s v="S"/>
    <s v="P"/>
    <s v="01"/>
    <s v="03"/>
    <s v="False"/>
    <s v="True"/>
    <s v="U0032407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5"/>
    <x v="36"/>
    <m/>
    <x v="20"/>
    <s v="BONIS SPA"/>
    <s v="STOCK TERRA MP"/>
    <x v="2"/>
    <m/>
    <m/>
    <n v="3"/>
    <s v="01"/>
    <s v="103"/>
    <s v="004"/>
    <s v="00"/>
    <s v="S"/>
    <s v="P"/>
    <s v="01"/>
    <s v="03"/>
    <s v="False"/>
    <s v="True"/>
    <s v="U0032407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5"/>
    <x v="36"/>
    <m/>
    <x v="9"/>
    <s v="BONIS SPA"/>
    <s v="STOCK TERRA MP"/>
    <x v="2"/>
    <m/>
    <m/>
    <n v="3"/>
    <s v="01"/>
    <s v="103"/>
    <s v="004"/>
    <s v="00"/>
    <s v="S"/>
    <s v="P"/>
    <s v="01"/>
    <s v="03"/>
    <s v="False"/>
    <s v="True"/>
    <s v="U0032407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5"/>
    <x v="36"/>
    <m/>
    <x v="8"/>
    <s v="BONIS SPA"/>
    <s v="STOCK TERRA MP"/>
    <x v="2"/>
    <m/>
    <m/>
    <n v="1"/>
    <s v="01"/>
    <s v="103"/>
    <s v="004"/>
    <s v="00"/>
    <s v="S"/>
    <s v="P"/>
    <s v="01"/>
    <s v="03"/>
    <s v="False"/>
    <s v="True"/>
    <s v="U0032407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1765"/>
    <x v="36"/>
    <m/>
    <x v="21"/>
    <s v="BONIS SPA"/>
    <s v="STOCK TERRA MP"/>
    <x v="2"/>
    <m/>
    <m/>
    <n v="1"/>
    <s v="01"/>
    <s v="103"/>
    <s v="004"/>
    <s v="00"/>
    <s v="S"/>
    <s v="P"/>
    <s v="01"/>
    <s v="03"/>
    <s v="False"/>
    <s v="True"/>
    <s v="U0032407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00"/>
    <x v="59"/>
    <m/>
    <x v="19"/>
    <s v="BONIS SPA"/>
    <s v="STOCK SCAFFALE MP"/>
    <x v="10"/>
    <m/>
    <m/>
    <n v="1"/>
    <s v="01"/>
    <s v="408"/>
    <s v="015"/>
    <s v="00"/>
    <s v="S"/>
    <s v="P"/>
    <s v="01"/>
    <s v="04"/>
    <s v="False"/>
    <s v="True"/>
    <s v="U0024810"/>
    <n v="1"/>
    <m/>
    <n v="0"/>
    <n v="0"/>
    <m/>
    <s v="ECOM"/>
    <m/>
    <m/>
    <m/>
    <m/>
    <m/>
    <m/>
    <s v="F11"/>
    <s v="MAN"/>
    <s v="PA"/>
    <m/>
    <m/>
    <m/>
    <m/>
    <s v="False"/>
    <m/>
    <s v="EVALD"/>
    <m/>
    <m/>
    <m/>
    <m/>
    <m/>
    <m/>
    <s v="PF"/>
    <n v="0"/>
    <n v="0"/>
    <n v="0"/>
    <n v="0"/>
    <n v="0"/>
    <s v="CROSTA (fornitore)"/>
    <s v="Bonis SpA"/>
    <m/>
    <m/>
    <m/>
    <m/>
    <m/>
    <m/>
    <m/>
    <m/>
    <m/>
    <m/>
    <m/>
    <m/>
  </r>
  <r>
    <m/>
    <n v="2500"/>
    <x v="59"/>
    <m/>
    <x v="20"/>
    <s v="BONIS SPA"/>
    <s v="STOCK SCAFFALE MP"/>
    <x v="10"/>
    <m/>
    <m/>
    <n v="1"/>
    <s v="01"/>
    <s v="408"/>
    <s v="015"/>
    <s v="00"/>
    <s v="S"/>
    <s v="P"/>
    <s v="01"/>
    <s v="04"/>
    <s v="False"/>
    <s v="True"/>
    <s v="U0024810"/>
    <n v="1"/>
    <m/>
    <n v="0"/>
    <n v="0"/>
    <m/>
    <s v="ECOM"/>
    <m/>
    <m/>
    <m/>
    <m/>
    <m/>
    <m/>
    <s v="F11"/>
    <s v="MAN"/>
    <s v="PA"/>
    <m/>
    <m/>
    <m/>
    <m/>
    <s v="False"/>
    <m/>
    <s v="EVALD"/>
    <m/>
    <m/>
    <m/>
    <m/>
    <m/>
    <m/>
    <s v="PF"/>
    <n v="0"/>
    <n v="0"/>
    <n v="0"/>
    <n v="0"/>
    <n v="0"/>
    <s v="CROSTA (fornitore)"/>
    <s v="Bonis SpA"/>
    <m/>
    <m/>
    <m/>
    <m/>
    <m/>
    <m/>
    <m/>
    <m/>
    <m/>
    <m/>
    <m/>
    <m/>
  </r>
  <r>
    <m/>
    <n v="2500"/>
    <x v="59"/>
    <m/>
    <x v="9"/>
    <s v="BONIS SPA"/>
    <s v="STOCK SCAFFALE MP"/>
    <x v="10"/>
    <m/>
    <m/>
    <n v="1"/>
    <s v="01"/>
    <s v="408"/>
    <s v="015"/>
    <s v="00"/>
    <s v="S"/>
    <s v="P"/>
    <s v="01"/>
    <s v="04"/>
    <s v="False"/>
    <s v="True"/>
    <s v="U0024810"/>
    <n v="1"/>
    <m/>
    <n v="0"/>
    <n v="0"/>
    <m/>
    <s v="ECOM"/>
    <m/>
    <m/>
    <m/>
    <m/>
    <m/>
    <m/>
    <s v="F11"/>
    <s v="MAN"/>
    <s v="PA"/>
    <m/>
    <m/>
    <m/>
    <m/>
    <s v="False"/>
    <m/>
    <s v="EVALD"/>
    <m/>
    <m/>
    <m/>
    <m/>
    <m/>
    <m/>
    <s v="PF"/>
    <n v="0"/>
    <n v="0"/>
    <n v="0"/>
    <n v="0"/>
    <n v="0"/>
    <s v="CROSTA (fornitore)"/>
    <s v="Bonis SpA"/>
    <m/>
    <m/>
    <m/>
    <m/>
    <m/>
    <m/>
    <m/>
    <m/>
    <m/>
    <m/>
    <m/>
    <m/>
  </r>
  <r>
    <m/>
    <n v="2500"/>
    <x v="59"/>
    <m/>
    <x v="8"/>
    <s v="BONIS SPA"/>
    <s v="STOCK SCAFFALE MP"/>
    <x v="10"/>
    <m/>
    <m/>
    <n v="2"/>
    <s v="01"/>
    <s v="408"/>
    <s v="015"/>
    <s v="00"/>
    <s v="S"/>
    <s v="P"/>
    <s v="01"/>
    <s v="04"/>
    <s v="False"/>
    <s v="True"/>
    <s v="U0024810"/>
    <n v="1"/>
    <m/>
    <n v="0"/>
    <n v="0"/>
    <m/>
    <s v="ECOM"/>
    <m/>
    <m/>
    <m/>
    <m/>
    <m/>
    <m/>
    <s v="F11"/>
    <s v="MAN"/>
    <s v="PA"/>
    <m/>
    <m/>
    <m/>
    <m/>
    <s v="False"/>
    <m/>
    <s v="EVALD"/>
    <m/>
    <m/>
    <m/>
    <m/>
    <m/>
    <m/>
    <s v="PF"/>
    <n v="0"/>
    <n v="0"/>
    <n v="0"/>
    <n v="0"/>
    <n v="0"/>
    <s v="CROSTA (fornitore)"/>
    <s v="Bonis SpA"/>
    <m/>
    <m/>
    <m/>
    <m/>
    <m/>
    <m/>
    <m/>
    <m/>
    <m/>
    <m/>
    <m/>
    <m/>
  </r>
  <r>
    <m/>
    <n v="2500"/>
    <x v="59"/>
    <m/>
    <x v="21"/>
    <s v="BONIS SPA"/>
    <s v="STOCK SCAFFALE MP"/>
    <x v="10"/>
    <m/>
    <m/>
    <n v="2"/>
    <s v="01"/>
    <s v="408"/>
    <s v="015"/>
    <s v="00"/>
    <s v="S"/>
    <s v="P"/>
    <s v="01"/>
    <s v="04"/>
    <s v="False"/>
    <s v="True"/>
    <s v="U0024810"/>
    <n v="1"/>
    <m/>
    <n v="0"/>
    <n v="0"/>
    <m/>
    <s v="ECOM"/>
    <m/>
    <m/>
    <m/>
    <m/>
    <m/>
    <m/>
    <s v="F11"/>
    <s v="MAN"/>
    <s v="PA"/>
    <m/>
    <m/>
    <m/>
    <m/>
    <s v="False"/>
    <m/>
    <s v="EVALD"/>
    <m/>
    <m/>
    <m/>
    <m/>
    <m/>
    <m/>
    <s v="PF"/>
    <n v="0"/>
    <n v="0"/>
    <n v="0"/>
    <n v="0"/>
    <n v="0"/>
    <s v="CROSTA (fornitore)"/>
    <s v="Bonis SpA"/>
    <m/>
    <m/>
    <m/>
    <m/>
    <m/>
    <m/>
    <m/>
    <m/>
    <m/>
    <m/>
    <m/>
    <m/>
  </r>
  <r>
    <m/>
    <n v="2509"/>
    <x v="45"/>
    <m/>
    <x v="16"/>
    <s v="BONIS SPA"/>
    <s v="STOCK SCAFFALE MP"/>
    <x v="0"/>
    <m/>
    <m/>
    <n v="3"/>
    <s v="01"/>
    <s v="408"/>
    <s v="018"/>
    <s v="00"/>
    <s v="S"/>
    <s v="P"/>
    <s v="01"/>
    <s v="04"/>
    <s v="False"/>
    <s v="True"/>
    <s v="U0028049"/>
    <n v="1"/>
    <m/>
    <n v="0"/>
    <n v="0"/>
    <m/>
    <m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m/>
    <m/>
    <m/>
    <m/>
  </r>
  <r>
    <m/>
    <n v="2509"/>
    <x v="45"/>
    <m/>
    <x v="15"/>
    <s v="BONIS SPA"/>
    <s v="STOCK SCAFFALE MP"/>
    <x v="0"/>
    <m/>
    <m/>
    <n v="3"/>
    <s v="01"/>
    <s v="408"/>
    <s v="018"/>
    <s v="00"/>
    <s v="S"/>
    <s v="P"/>
    <s v="01"/>
    <s v="04"/>
    <s v="False"/>
    <s v="True"/>
    <s v="U0028049"/>
    <n v="1"/>
    <m/>
    <n v="0"/>
    <n v="0"/>
    <m/>
    <m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m/>
    <m/>
    <m/>
    <m/>
  </r>
  <r>
    <m/>
    <n v="2509"/>
    <x v="45"/>
    <m/>
    <x v="22"/>
    <s v="BONIS SPA"/>
    <s v="STOCK SCAFFALE MP"/>
    <x v="0"/>
    <m/>
    <m/>
    <n v="1"/>
    <s v="01"/>
    <s v="408"/>
    <s v="018"/>
    <s v="00"/>
    <s v="S"/>
    <s v="P"/>
    <s v="01"/>
    <s v="04"/>
    <s v="False"/>
    <s v="True"/>
    <s v="U0028049"/>
    <n v="1"/>
    <m/>
    <n v="0"/>
    <n v="0"/>
    <m/>
    <m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m/>
    <m/>
    <m/>
    <m/>
  </r>
  <r>
    <m/>
    <n v="2509"/>
    <x v="45"/>
    <m/>
    <x v="14"/>
    <s v="BONIS SPA"/>
    <s v="STOCK SCAFFALE MP"/>
    <x v="0"/>
    <m/>
    <m/>
    <n v="2"/>
    <s v="01"/>
    <s v="408"/>
    <s v="018"/>
    <s v="00"/>
    <s v="S"/>
    <s v="P"/>
    <s v="01"/>
    <s v="04"/>
    <s v="False"/>
    <s v="True"/>
    <s v="U0028049"/>
    <n v="1"/>
    <m/>
    <n v="0"/>
    <n v="0"/>
    <m/>
    <m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m/>
    <m/>
    <m/>
    <m/>
  </r>
  <r>
    <m/>
    <n v="2509"/>
    <x v="23"/>
    <m/>
    <x v="18"/>
    <s v="BONIS SPA"/>
    <s v="STOCK SCAFFALE MP"/>
    <x v="11"/>
    <m/>
    <m/>
    <n v="2"/>
    <s v="01"/>
    <s v="408"/>
    <s v="018"/>
    <s v="00"/>
    <s v="S"/>
    <s v="P"/>
    <s v="01"/>
    <s v="04"/>
    <s v="False"/>
    <s v="True"/>
    <s v="U0027704"/>
    <n v="1"/>
    <m/>
    <n v="0"/>
    <n v="0"/>
    <m/>
    <m/>
    <m/>
    <m/>
    <m/>
    <m/>
    <m/>
    <m/>
    <s v="F11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MESH + MICROSUEDE"/>
    <s v="Bonis SpA"/>
    <m/>
    <m/>
    <m/>
    <m/>
    <m/>
    <m/>
    <m/>
    <m/>
    <m/>
    <m/>
    <m/>
    <m/>
  </r>
  <r>
    <m/>
    <n v="2509"/>
    <x v="52"/>
    <m/>
    <x v="18"/>
    <s v="BONIS SPA"/>
    <s v="STOCK SCAFFALE MP"/>
    <x v="23"/>
    <m/>
    <m/>
    <n v="1"/>
    <s v="01"/>
    <s v="408"/>
    <s v="018"/>
    <s v="00"/>
    <s v="S"/>
    <s v="P"/>
    <s v="01"/>
    <s v="04"/>
    <s v="False"/>
    <s v="True"/>
    <s v="U0027704"/>
    <n v="1"/>
    <m/>
    <n v="0"/>
    <n v="0"/>
    <m/>
    <m/>
    <m/>
    <m/>
    <m/>
    <m/>
    <m/>
    <m/>
    <s v="F06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NYLON + MICROSUEDE"/>
    <s v="Bonis SpA"/>
    <m/>
    <m/>
    <m/>
    <m/>
    <m/>
    <m/>
    <m/>
    <m/>
    <m/>
    <m/>
    <m/>
    <m/>
  </r>
  <r>
    <m/>
    <n v="2500"/>
    <x v="60"/>
    <m/>
    <x v="20"/>
    <s v="BONIS SPA"/>
    <s v="STOCK SCAFFALE MP"/>
    <x v="4"/>
    <m/>
    <m/>
    <n v="1"/>
    <s v="01"/>
    <s v="408"/>
    <s v="015"/>
    <s v="00"/>
    <s v="S"/>
    <s v="P"/>
    <s v="01"/>
    <s v="04"/>
    <s v="False"/>
    <s v="True"/>
    <s v="U0027825"/>
    <n v="1"/>
    <m/>
    <n v="0"/>
    <n v="0"/>
    <m/>
    <m/>
    <m/>
    <m/>
    <m/>
    <m/>
    <m/>
    <m/>
    <s v="106"/>
    <s v="UNISEX"/>
    <s v="PA"/>
    <m/>
    <m/>
    <m/>
    <m/>
    <s v="False"/>
    <m/>
    <s v="ETTOR"/>
    <m/>
    <m/>
    <m/>
    <m/>
    <m/>
    <m/>
    <s v="PF"/>
    <n v="0"/>
    <n v="0"/>
    <n v="0"/>
    <n v="0"/>
    <n v="0"/>
    <s v="VA ESPANS"/>
    <s v="Bonis SpA"/>
    <m/>
    <m/>
    <m/>
    <m/>
    <m/>
    <m/>
    <m/>
    <m/>
    <m/>
    <m/>
    <m/>
    <m/>
  </r>
  <r>
    <m/>
    <n v="2500"/>
    <x v="60"/>
    <m/>
    <x v="8"/>
    <s v="BONIS SPA"/>
    <s v="STOCK SCAFFALE MP"/>
    <x v="4"/>
    <m/>
    <m/>
    <n v="1"/>
    <s v="01"/>
    <s v="408"/>
    <s v="015"/>
    <s v="00"/>
    <s v="S"/>
    <s v="P"/>
    <s v="01"/>
    <s v="04"/>
    <s v="False"/>
    <s v="True"/>
    <s v="U0027825"/>
    <n v="1"/>
    <m/>
    <n v="0"/>
    <n v="0"/>
    <m/>
    <m/>
    <m/>
    <m/>
    <m/>
    <m/>
    <m/>
    <m/>
    <s v="106"/>
    <s v="UNISEX"/>
    <s v="PA"/>
    <m/>
    <m/>
    <m/>
    <m/>
    <s v="False"/>
    <m/>
    <s v="ETTOR"/>
    <m/>
    <m/>
    <m/>
    <m/>
    <m/>
    <m/>
    <s v="PF"/>
    <n v="0"/>
    <n v="0"/>
    <n v="0"/>
    <n v="0"/>
    <n v="0"/>
    <s v="VA ESPANS"/>
    <s v="Bonis SpA"/>
    <m/>
    <m/>
    <m/>
    <m/>
    <m/>
    <m/>
    <m/>
    <m/>
    <m/>
    <m/>
    <m/>
    <m/>
  </r>
  <r>
    <m/>
    <n v="2500"/>
    <x v="60"/>
    <m/>
    <x v="19"/>
    <s v="BONIS SPA"/>
    <s v="STOCK SCAFFALE MP"/>
    <x v="4"/>
    <m/>
    <m/>
    <n v="1"/>
    <s v="01"/>
    <s v="408"/>
    <s v="015"/>
    <s v="00"/>
    <s v="S"/>
    <s v="P"/>
    <s v="01"/>
    <s v="04"/>
    <s v="False"/>
    <s v="True"/>
    <s v="U0027825"/>
    <n v="1"/>
    <m/>
    <n v="0"/>
    <n v="0"/>
    <m/>
    <m/>
    <m/>
    <m/>
    <m/>
    <m/>
    <m/>
    <m/>
    <s v="F11"/>
    <s v="UNISEX"/>
    <s v="PA"/>
    <m/>
    <m/>
    <m/>
    <m/>
    <s v="False"/>
    <m/>
    <s v="ETTOR"/>
    <m/>
    <m/>
    <m/>
    <m/>
    <m/>
    <m/>
    <s v="PF"/>
    <n v="0"/>
    <n v="0"/>
    <n v="0"/>
    <n v="0"/>
    <n v="0"/>
    <s v="VA ESPANS"/>
    <s v="Bonis SpA"/>
    <m/>
    <m/>
    <m/>
    <m/>
    <m/>
    <m/>
    <m/>
    <m/>
    <m/>
    <m/>
    <m/>
    <m/>
  </r>
  <r>
    <m/>
    <n v="2500"/>
    <x v="60"/>
    <m/>
    <x v="9"/>
    <s v="BONIS SPA"/>
    <s v="STOCK SCAFFALE MP"/>
    <x v="4"/>
    <m/>
    <m/>
    <n v="3"/>
    <s v="01"/>
    <s v="408"/>
    <s v="015"/>
    <s v="00"/>
    <s v="S"/>
    <s v="P"/>
    <s v="01"/>
    <s v="04"/>
    <s v="False"/>
    <s v="True"/>
    <s v="U0027825"/>
    <n v="1"/>
    <m/>
    <n v="0"/>
    <n v="0"/>
    <m/>
    <m/>
    <m/>
    <m/>
    <m/>
    <m/>
    <m/>
    <m/>
    <s v="F11"/>
    <s v="UNISEX"/>
    <s v="PA"/>
    <m/>
    <m/>
    <m/>
    <m/>
    <s v="False"/>
    <m/>
    <s v="ETTOR"/>
    <m/>
    <m/>
    <m/>
    <m/>
    <m/>
    <m/>
    <s v="PF"/>
    <n v="0"/>
    <n v="0"/>
    <n v="0"/>
    <n v="0"/>
    <n v="0"/>
    <s v="VA ESPANS"/>
    <s v="Bonis SpA"/>
    <m/>
    <m/>
    <m/>
    <m/>
    <m/>
    <m/>
    <m/>
    <m/>
    <m/>
    <m/>
    <m/>
    <m/>
  </r>
  <r>
    <m/>
    <n v="2500"/>
    <x v="60"/>
    <m/>
    <x v="18"/>
    <s v="BONIS SPA"/>
    <s v="STOCK SCAFFALE MP"/>
    <x v="4"/>
    <m/>
    <m/>
    <n v="1"/>
    <s v="01"/>
    <s v="408"/>
    <s v="015"/>
    <s v="00"/>
    <s v="S"/>
    <s v="P"/>
    <s v="01"/>
    <s v="04"/>
    <s v="False"/>
    <s v="True"/>
    <s v="U0027825"/>
    <n v="1"/>
    <m/>
    <n v="0"/>
    <n v="0"/>
    <m/>
    <m/>
    <m/>
    <m/>
    <m/>
    <m/>
    <m/>
    <m/>
    <s v="F11"/>
    <s v="UNISEX"/>
    <s v="PA"/>
    <m/>
    <m/>
    <m/>
    <m/>
    <s v="False"/>
    <m/>
    <s v="ETTOR"/>
    <m/>
    <m/>
    <m/>
    <m/>
    <m/>
    <m/>
    <s v="PF"/>
    <n v="0"/>
    <n v="0"/>
    <n v="0"/>
    <n v="0"/>
    <n v="0"/>
    <s v="VA ESPANS"/>
    <s v="Bonis SpA"/>
    <m/>
    <m/>
    <m/>
    <m/>
    <m/>
    <m/>
    <m/>
    <m/>
    <m/>
    <m/>
    <m/>
    <m/>
  </r>
  <r>
    <m/>
    <n v="2500"/>
    <x v="61"/>
    <m/>
    <x v="23"/>
    <s v="BONIS SPA"/>
    <s v="STOCK SCAFFALE MP"/>
    <x v="12"/>
    <m/>
    <m/>
    <n v="1"/>
    <s v="01"/>
    <s v="408"/>
    <s v="015"/>
    <s v="00"/>
    <s v="S"/>
    <s v="P"/>
    <s v="01"/>
    <s v="04"/>
    <s v="False"/>
    <s v="True"/>
    <s v="U0027857"/>
    <n v="1"/>
    <m/>
    <n v="0"/>
    <n v="0"/>
    <m/>
    <m/>
    <m/>
    <m/>
    <m/>
    <m/>
    <m/>
    <m/>
    <s v="F11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0"/>
    <x v="61"/>
    <m/>
    <x v="12"/>
    <s v="BONIS SPA"/>
    <s v="STOCK SCAFFALE MP"/>
    <x v="12"/>
    <m/>
    <m/>
    <n v="1"/>
    <s v="01"/>
    <s v="408"/>
    <s v="015"/>
    <s v="00"/>
    <s v="S"/>
    <s v="P"/>
    <s v="01"/>
    <s v="04"/>
    <s v="False"/>
    <s v="True"/>
    <s v="U0027857"/>
    <n v="1"/>
    <m/>
    <n v="0"/>
    <n v="0"/>
    <m/>
    <m/>
    <m/>
    <m/>
    <m/>
    <m/>
    <m/>
    <m/>
    <s v="F11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0"/>
    <x v="61"/>
    <m/>
    <x v="11"/>
    <s v="BONIS SPA"/>
    <s v="STOCK SCAFFALE MP"/>
    <x v="12"/>
    <m/>
    <m/>
    <n v="1"/>
    <s v="01"/>
    <s v="408"/>
    <s v="015"/>
    <s v="00"/>
    <s v="S"/>
    <s v="P"/>
    <s v="01"/>
    <s v="04"/>
    <s v="False"/>
    <s v="True"/>
    <s v="U0027857"/>
    <n v="1"/>
    <m/>
    <n v="0"/>
    <n v="0"/>
    <m/>
    <m/>
    <m/>
    <m/>
    <m/>
    <m/>
    <m/>
    <m/>
    <s v="F11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9"/>
    <x v="24"/>
    <m/>
    <x v="14"/>
    <s v="BONIS SPA"/>
    <s v="STOCK SCAFFALE MP"/>
    <x v="13"/>
    <m/>
    <m/>
    <n v="1"/>
    <s v="01"/>
    <s v="408"/>
    <s v="018"/>
    <s v="00"/>
    <s v="S"/>
    <s v="P"/>
    <s v="01"/>
    <s v="04"/>
    <s v="False"/>
    <s v="True"/>
    <s v="U0027842"/>
    <n v="1"/>
    <m/>
    <n v="0"/>
    <n v="0"/>
    <m/>
    <m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SUED"/>
    <s v="Bonis SpA"/>
    <m/>
    <m/>
    <m/>
    <m/>
    <m/>
    <m/>
    <m/>
    <m/>
    <m/>
    <m/>
    <m/>
    <m/>
  </r>
  <r>
    <m/>
    <n v="2509"/>
    <x v="24"/>
    <m/>
    <x v="15"/>
    <s v="BONIS SPA"/>
    <s v="STOCK SCAFFALE MP"/>
    <x v="13"/>
    <m/>
    <m/>
    <n v="2"/>
    <s v="01"/>
    <s v="408"/>
    <s v="018"/>
    <s v="00"/>
    <s v="S"/>
    <s v="P"/>
    <s v="01"/>
    <s v="04"/>
    <s v="False"/>
    <s v="True"/>
    <s v="U0027842"/>
    <n v="1"/>
    <m/>
    <n v="0"/>
    <n v="0"/>
    <m/>
    <m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SUED"/>
    <s v="Bonis SpA"/>
    <m/>
    <m/>
    <m/>
    <m/>
    <m/>
    <m/>
    <m/>
    <m/>
    <m/>
    <m/>
    <m/>
    <m/>
  </r>
  <r>
    <m/>
    <n v="2509"/>
    <x v="24"/>
    <m/>
    <x v="16"/>
    <s v="BONIS SPA"/>
    <s v="STOCK SCAFFALE MP"/>
    <x v="13"/>
    <m/>
    <m/>
    <n v="2"/>
    <s v="01"/>
    <s v="408"/>
    <s v="018"/>
    <s v="00"/>
    <s v="S"/>
    <s v="P"/>
    <s v="01"/>
    <s v="04"/>
    <s v="False"/>
    <s v="True"/>
    <s v="U0027842"/>
    <n v="1"/>
    <m/>
    <n v="0"/>
    <n v="0"/>
    <m/>
    <m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SUED"/>
    <s v="Bonis SpA"/>
    <m/>
    <m/>
    <m/>
    <m/>
    <m/>
    <m/>
    <m/>
    <m/>
    <m/>
    <m/>
    <m/>
    <m/>
  </r>
  <r>
    <m/>
    <n v="2509"/>
    <x v="24"/>
    <m/>
    <x v="17"/>
    <s v="BONIS SPA"/>
    <s v="STOCK SCAFFALE MP"/>
    <x v="13"/>
    <m/>
    <m/>
    <n v="1"/>
    <s v="01"/>
    <s v="408"/>
    <s v="018"/>
    <s v="00"/>
    <s v="S"/>
    <s v="P"/>
    <s v="01"/>
    <s v="04"/>
    <s v="False"/>
    <s v="True"/>
    <s v="U0027842"/>
    <n v="1"/>
    <m/>
    <n v="0"/>
    <n v="0"/>
    <m/>
    <m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SUED"/>
    <s v="Bonis SpA"/>
    <m/>
    <m/>
    <m/>
    <m/>
    <m/>
    <m/>
    <m/>
    <m/>
    <m/>
    <m/>
    <m/>
    <m/>
  </r>
  <r>
    <m/>
    <n v="2509"/>
    <x v="24"/>
    <m/>
    <x v="18"/>
    <s v="BONIS SPA"/>
    <s v="STOCK SCAFFALE MP"/>
    <x v="13"/>
    <m/>
    <m/>
    <n v="1"/>
    <s v="01"/>
    <s v="408"/>
    <s v="018"/>
    <s v="00"/>
    <s v="S"/>
    <s v="P"/>
    <s v="01"/>
    <s v="04"/>
    <s v="False"/>
    <s v="True"/>
    <s v="U0027842"/>
    <n v="1"/>
    <m/>
    <n v="0"/>
    <n v="0"/>
    <m/>
    <m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SUED"/>
    <s v="Bonis SpA"/>
    <m/>
    <m/>
    <m/>
    <m/>
    <m/>
    <m/>
    <m/>
    <m/>
    <m/>
    <m/>
    <m/>
    <m/>
  </r>
  <r>
    <m/>
    <n v="2509"/>
    <x v="11"/>
    <m/>
    <x v="9"/>
    <s v="BONIS SPA"/>
    <s v="STOCK SCAFFALE MP"/>
    <x v="24"/>
    <m/>
    <m/>
    <n v="1"/>
    <s v="01"/>
    <s v="408"/>
    <s v="018"/>
    <s v="00"/>
    <s v="S"/>
    <s v="P"/>
    <s v="01"/>
    <s v="04"/>
    <s v="False"/>
    <s v="True"/>
    <s v="U0027704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 BATIK+LEATHER"/>
    <s v="Bonis SpA"/>
    <m/>
    <m/>
    <m/>
    <m/>
    <m/>
    <m/>
    <m/>
    <m/>
    <m/>
    <m/>
    <m/>
    <m/>
  </r>
  <r>
    <m/>
    <n v="2509"/>
    <x v="11"/>
    <m/>
    <x v="8"/>
    <s v="BONIS SPA"/>
    <s v="STOCK SCAFFALE MP"/>
    <x v="24"/>
    <m/>
    <m/>
    <n v="1"/>
    <s v="01"/>
    <s v="408"/>
    <s v="018"/>
    <s v="00"/>
    <s v="S"/>
    <s v="P"/>
    <s v="01"/>
    <s v="04"/>
    <s v="False"/>
    <s v="True"/>
    <s v="U0027704"/>
    <n v="1"/>
    <m/>
    <n v="0"/>
    <n v="0"/>
    <m/>
    <m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 TEXTILE BATIK+LEATHER"/>
    <s v="Bonis SpA"/>
    <m/>
    <m/>
    <m/>
    <m/>
    <m/>
    <m/>
    <m/>
    <m/>
    <m/>
    <m/>
    <m/>
    <m/>
  </r>
  <r>
    <m/>
    <n v="2512"/>
    <x v="15"/>
    <m/>
    <x v="14"/>
    <s v="BONIS SPA"/>
    <s v="STOCK SCAFFALE MP"/>
    <x v="10"/>
    <m/>
    <m/>
    <n v="2"/>
    <s v="01"/>
    <s v="408"/>
    <s v="019"/>
    <s v="00"/>
    <s v="S"/>
    <s v="P"/>
    <s v="01"/>
    <s v="04"/>
    <s v="False"/>
    <s v="True"/>
    <s v="U0032362"/>
    <n v="1"/>
    <m/>
    <n v="0"/>
    <n v="0"/>
    <m/>
    <m/>
    <m/>
    <m/>
    <m/>
    <m/>
    <m/>
    <m/>
    <s v="F06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m/>
    <m/>
    <m/>
    <m/>
  </r>
  <r>
    <m/>
    <n v="2512"/>
    <x v="15"/>
    <m/>
    <x v="15"/>
    <s v="BONIS SPA"/>
    <s v="STOCK SCAFFALE MP"/>
    <x v="10"/>
    <m/>
    <m/>
    <n v="4"/>
    <s v="01"/>
    <s v="408"/>
    <s v="019"/>
    <s v="00"/>
    <s v="S"/>
    <s v="P"/>
    <s v="01"/>
    <s v="04"/>
    <s v="False"/>
    <s v="True"/>
    <s v="U0032362"/>
    <n v="1"/>
    <m/>
    <n v="0"/>
    <n v="0"/>
    <m/>
    <m/>
    <m/>
    <m/>
    <m/>
    <m/>
    <m/>
    <m/>
    <s v="F11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m/>
    <m/>
    <m/>
    <m/>
  </r>
  <r>
    <m/>
    <n v="2512"/>
    <x v="15"/>
    <m/>
    <x v="16"/>
    <s v="BONIS SPA"/>
    <s v="STOCK SCAFFALE MP"/>
    <x v="10"/>
    <m/>
    <m/>
    <n v="3"/>
    <s v="01"/>
    <s v="408"/>
    <s v="019"/>
    <s v="00"/>
    <s v="S"/>
    <s v="P"/>
    <s v="01"/>
    <s v="04"/>
    <s v="False"/>
    <s v="True"/>
    <s v="U0032362"/>
    <n v="1"/>
    <m/>
    <n v="0"/>
    <n v="0"/>
    <m/>
    <m/>
    <m/>
    <m/>
    <m/>
    <m/>
    <m/>
    <m/>
    <s v="F11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m/>
    <m/>
    <m/>
    <m/>
  </r>
  <r>
    <m/>
    <n v="2512"/>
    <x v="15"/>
    <m/>
    <x v="17"/>
    <s v="BONIS SPA"/>
    <s v="STOCK SCAFFALE MP"/>
    <x v="10"/>
    <m/>
    <m/>
    <n v="1"/>
    <s v="01"/>
    <s v="408"/>
    <s v="019"/>
    <s v="00"/>
    <s v="S"/>
    <s v="P"/>
    <s v="01"/>
    <s v="04"/>
    <s v="False"/>
    <s v="True"/>
    <s v="U0032362"/>
    <n v="1"/>
    <m/>
    <n v="0"/>
    <n v="0"/>
    <m/>
    <m/>
    <m/>
    <m/>
    <m/>
    <m/>
    <m/>
    <m/>
    <s v="F11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m/>
    <m/>
    <m/>
    <m/>
  </r>
  <r>
    <m/>
    <n v="2512"/>
    <x v="41"/>
    <m/>
    <x v="18"/>
    <s v="BONIS SPA"/>
    <s v="STOCK SCAFFALE MP"/>
    <x v="4"/>
    <m/>
    <m/>
    <n v="1"/>
    <s v="01"/>
    <s v="408"/>
    <s v="019"/>
    <s v="00"/>
    <s v="S"/>
    <s v="P"/>
    <s v="01"/>
    <s v="04"/>
    <s v="False"/>
    <s v="True"/>
    <s v="U0032360"/>
    <n v="1"/>
    <m/>
    <n v="0"/>
    <n v="0"/>
    <m/>
    <m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2512"/>
    <x v="41"/>
    <m/>
    <x v="19"/>
    <s v="BONIS SPA"/>
    <s v="STOCK SCAFFALE MP"/>
    <x v="4"/>
    <m/>
    <m/>
    <n v="1"/>
    <s v="01"/>
    <s v="408"/>
    <s v="019"/>
    <s v="00"/>
    <s v="S"/>
    <s v="P"/>
    <s v="01"/>
    <s v="04"/>
    <s v="False"/>
    <s v="True"/>
    <s v="U0032360"/>
    <n v="1"/>
    <m/>
    <n v="0"/>
    <n v="0"/>
    <m/>
    <m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2512"/>
    <x v="41"/>
    <m/>
    <x v="20"/>
    <s v="BONIS SPA"/>
    <s v="STOCK SCAFFALE MP"/>
    <x v="4"/>
    <m/>
    <m/>
    <n v="2"/>
    <s v="01"/>
    <s v="408"/>
    <s v="019"/>
    <s v="00"/>
    <s v="S"/>
    <s v="P"/>
    <s v="01"/>
    <s v="04"/>
    <s v="False"/>
    <s v="True"/>
    <s v="U0032360"/>
    <n v="1"/>
    <m/>
    <n v="0"/>
    <n v="0"/>
    <m/>
    <m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2512"/>
    <x v="41"/>
    <m/>
    <x v="9"/>
    <s v="BONIS SPA"/>
    <s v="STOCK SCAFFALE MP"/>
    <x v="4"/>
    <m/>
    <m/>
    <n v="2"/>
    <s v="01"/>
    <s v="408"/>
    <s v="019"/>
    <s v="00"/>
    <s v="S"/>
    <s v="P"/>
    <s v="01"/>
    <s v="04"/>
    <s v="False"/>
    <s v="True"/>
    <s v="U0032360"/>
    <n v="1"/>
    <m/>
    <n v="0"/>
    <n v="0"/>
    <m/>
    <m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2512"/>
    <x v="41"/>
    <m/>
    <x v="8"/>
    <s v="BONIS SPA"/>
    <s v="STOCK SCAFFALE MP"/>
    <x v="4"/>
    <m/>
    <m/>
    <n v="1"/>
    <s v="01"/>
    <s v="408"/>
    <s v="019"/>
    <s v="00"/>
    <s v="S"/>
    <s v="P"/>
    <s v="01"/>
    <s v="04"/>
    <s v="False"/>
    <s v="True"/>
    <s v="U0032360"/>
    <n v="1"/>
    <m/>
    <n v="0"/>
    <n v="0"/>
    <m/>
    <m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2512"/>
    <x v="41"/>
    <m/>
    <x v="21"/>
    <s v="BONIS SPA"/>
    <s v="STOCK SCAFFALE MP"/>
    <x v="4"/>
    <m/>
    <m/>
    <n v="1"/>
    <s v="01"/>
    <s v="408"/>
    <s v="019"/>
    <s v="00"/>
    <s v="S"/>
    <s v="P"/>
    <s v="01"/>
    <s v="04"/>
    <s v="False"/>
    <s v="True"/>
    <s v="U0032360"/>
    <n v="1"/>
    <m/>
    <n v="0"/>
    <n v="0"/>
    <m/>
    <m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 WASHED TEXTILE+ ECO LEATHE"/>
    <s v="Bonis SpA"/>
    <m/>
    <m/>
    <m/>
    <m/>
    <m/>
    <m/>
    <m/>
    <m/>
    <m/>
    <m/>
    <m/>
    <m/>
  </r>
  <r>
    <m/>
    <n v="2512"/>
    <x v="6"/>
    <m/>
    <x v="14"/>
    <s v="BONIS SPA"/>
    <s v="STOCK SCAFFALE MP"/>
    <x v="4"/>
    <m/>
    <m/>
    <n v="1"/>
    <s v="01"/>
    <s v="408"/>
    <s v="019"/>
    <s v="00"/>
    <s v="S"/>
    <s v="P"/>
    <s v="01"/>
    <s v="04"/>
    <s v="False"/>
    <s v="True"/>
    <s v="U0032363"/>
    <n v="1"/>
    <m/>
    <n v="0"/>
    <n v="0"/>
    <m/>
    <m/>
    <m/>
    <m/>
    <m/>
    <m/>
    <m/>
    <m/>
    <s v="F06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m/>
    <m/>
    <m/>
    <m/>
  </r>
  <r>
    <m/>
    <n v="2512"/>
    <x v="6"/>
    <m/>
    <x v="15"/>
    <s v="BONIS SPA"/>
    <s v="STOCK SCAFFALE MP"/>
    <x v="4"/>
    <m/>
    <m/>
    <n v="1"/>
    <s v="01"/>
    <s v="408"/>
    <s v="019"/>
    <s v="00"/>
    <s v="S"/>
    <s v="P"/>
    <s v="01"/>
    <s v="04"/>
    <s v="False"/>
    <s v="True"/>
    <s v="U0032363"/>
    <n v="1"/>
    <m/>
    <n v="0"/>
    <n v="0"/>
    <m/>
    <m/>
    <m/>
    <m/>
    <m/>
    <m/>
    <m/>
    <m/>
    <s v="F06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m/>
    <m/>
    <m/>
    <m/>
  </r>
  <r>
    <m/>
    <n v="2512"/>
    <x v="6"/>
    <m/>
    <x v="16"/>
    <s v="BONIS SPA"/>
    <s v="STOCK SCAFFALE MP"/>
    <x v="4"/>
    <m/>
    <m/>
    <n v="2"/>
    <s v="01"/>
    <s v="408"/>
    <s v="019"/>
    <s v="00"/>
    <s v="S"/>
    <s v="P"/>
    <s v="01"/>
    <s v="04"/>
    <s v="False"/>
    <s v="True"/>
    <s v="U0032363"/>
    <n v="1"/>
    <m/>
    <n v="0"/>
    <n v="0"/>
    <m/>
    <m/>
    <m/>
    <m/>
    <m/>
    <m/>
    <m/>
    <m/>
    <s v="F06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m/>
    <m/>
    <m/>
    <m/>
  </r>
  <r>
    <m/>
    <n v="2512"/>
    <x v="6"/>
    <m/>
    <x v="17"/>
    <s v="BONIS SPA"/>
    <s v="STOCK SCAFFALE MP"/>
    <x v="4"/>
    <m/>
    <m/>
    <n v="2"/>
    <s v="01"/>
    <s v="408"/>
    <s v="019"/>
    <s v="00"/>
    <s v="S"/>
    <s v="P"/>
    <s v="01"/>
    <s v="04"/>
    <s v="False"/>
    <s v="True"/>
    <s v="U0032363"/>
    <n v="1"/>
    <m/>
    <n v="0"/>
    <n v="0"/>
    <m/>
    <m/>
    <m/>
    <m/>
    <m/>
    <m/>
    <m/>
    <m/>
    <s v="F11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m/>
    <m/>
    <m/>
    <m/>
  </r>
  <r>
    <m/>
    <n v="2512"/>
    <x v="6"/>
    <m/>
    <x v="18"/>
    <s v="BONIS SPA"/>
    <s v="STOCK SCAFFALE MP"/>
    <x v="4"/>
    <m/>
    <m/>
    <n v="1"/>
    <s v="01"/>
    <s v="408"/>
    <s v="019"/>
    <s v="00"/>
    <s v="S"/>
    <s v="P"/>
    <s v="01"/>
    <s v="04"/>
    <s v="False"/>
    <s v="True"/>
    <s v="U0032363"/>
    <n v="1"/>
    <m/>
    <n v="0"/>
    <n v="0"/>
    <m/>
    <m/>
    <m/>
    <m/>
    <m/>
    <m/>
    <m/>
    <m/>
    <s v="F11"/>
    <s v="WOMAN"/>
    <s v="PA"/>
    <m/>
    <m/>
    <m/>
    <m/>
    <s v="False"/>
    <m/>
    <s v="TRIXY"/>
    <m/>
    <m/>
    <m/>
    <m/>
    <m/>
    <m/>
    <s v="PF"/>
    <n v="0"/>
    <n v="0"/>
    <n v="0"/>
    <n v="0"/>
    <n v="0"/>
    <s v="Y GOMMA SYNTHETIC WOVEN LEATHE"/>
    <s v="Bonis SpA"/>
    <m/>
    <m/>
    <m/>
    <m/>
    <m/>
    <m/>
    <m/>
    <m/>
    <m/>
    <m/>
    <m/>
    <m/>
  </r>
  <r>
    <m/>
    <n v="2512"/>
    <x v="53"/>
    <m/>
    <x v="17"/>
    <s v="BONIS SPA"/>
    <s v="STOCK SCAFFALE MP"/>
    <x v="4"/>
    <m/>
    <m/>
    <n v="1"/>
    <s v="01"/>
    <s v="408"/>
    <s v="019"/>
    <s v="00"/>
    <s v="S"/>
    <s v="P"/>
    <s v="01"/>
    <s v="04"/>
    <s v="False"/>
    <s v="True"/>
    <s v="U0032428"/>
    <n v="1"/>
    <m/>
    <n v="0"/>
    <n v="0"/>
    <m/>
    <m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E GOMMA TWILL canvas"/>
    <s v="Bonis SpA"/>
    <m/>
    <m/>
    <m/>
    <m/>
    <m/>
    <m/>
    <m/>
    <m/>
    <m/>
    <m/>
    <m/>
    <m/>
  </r>
  <r>
    <m/>
    <n v="2503"/>
    <x v="52"/>
    <m/>
    <x v="18"/>
    <s v="BONIS SPA"/>
    <s v="STOCK SCAFFALE MP"/>
    <x v="23"/>
    <m/>
    <m/>
    <n v="2"/>
    <s v="01"/>
    <s v="408"/>
    <s v="016"/>
    <s v="00"/>
    <s v="S"/>
    <s v="P"/>
    <s v="01"/>
    <s v="04"/>
    <s v="False"/>
    <s v="True"/>
    <s v="U0027507"/>
    <n v="1"/>
    <m/>
    <n v="0"/>
    <n v="0"/>
    <m/>
    <m/>
    <m/>
    <m/>
    <m/>
    <m/>
    <m/>
    <m/>
    <s v="F11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NYLON + MICROSUEDE"/>
    <s v="Bonis SpA"/>
    <m/>
    <m/>
    <m/>
    <m/>
    <m/>
    <m/>
    <m/>
    <m/>
    <m/>
    <m/>
    <m/>
    <m/>
  </r>
  <r>
    <m/>
    <n v="2485"/>
    <x v="23"/>
    <m/>
    <x v="19"/>
    <s v="BONIS SPA"/>
    <s v="STOCK SCAFFALE MP"/>
    <x v="11"/>
    <m/>
    <m/>
    <n v="1"/>
    <s v="01"/>
    <s v="408"/>
    <s v="010"/>
    <s v="00"/>
    <s v="S"/>
    <s v="P"/>
    <s v="01"/>
    <s v="04"/>
    <s v="False"/>
    <s v="True"/>
    <s v="U0032676"/>
    <n v="1"/>
    <m/>
    <n v="0"/>
    <n v="0"/>
    <m/>
    <m/>
    <m/>
    <m/>
    <m/>
    <m/>
    <m/>
    <m/>
    <s v="F06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MESH + MICROSUEDE"/>
    <s v="Bonis SpA"/>
    <m/>
    <m/>
    <m/>
    <m/>
    <m/>
    <m/>
    <m/>
    <m/>
    <m/>
    <m/>
    <m/>
    <m/>
  </r>
  <r>
    <m/>
    <n v="2485"/>
    <x v="52"/>
    <m/>
    <x v="17"/>
    <s v="BONIS SPA"/>
    <s v="STOCK SCAFFALE MP"/>
    <x v="25"/>
    <m/>
    <m/>
    <n v="1"/>
    <s v="01"/>
    <s v="408"/>
    <s v="010"/>
    <s v="00"/>
    <s v="S"/>
    <s v="P"/>
    <s v="01"/>
    <s v="04"/>
    <s v="False"/>
    <s v="True"/>
    <s v="U0032676"/>
    <n v="1"/>
    <m/>
    <n v="0"/>
    <n v="0"/>
    <m/>
    <m/>
    <m/>
    <m/>
    <m/>
    <m/>
    <m/>
    <m/>
    <s v="F06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NYLON + MICROSUEDE"/>
    <s v="Bonis SpA"/>
    <m/>
    <m/>
    <m/>
    <m/>
    <m/>
    <m/>
    <m/>
    <m/>
    <m/>
    <m/>
    <m/>
    <m/>
  </r>
  <r>
    <m/>
    <n v="2509"/>
    <x v="15"/>
    <m/>
    <x v="16"/>
    <s v="BONIS SPA"/>
    <s v="STOCK SCAFFALE MP"/>
    <x v="10"/>
    <m/>
    <m/>
    <n v="2"/>
    <s v="01"/>
    <s v="408"/>
    <s v="018"/>
    <s v="00"/>
    <s v="S"/>
    <s v="P"/>
    <s v="01"/>
    <s v="04"/>
    <s v="False"/>
    <s v="True"/>
    <s v="U0027704"/>
    <n v="1"/>
    <m/>
    <n v="0"/>
    <n v="0"/>
    <m/>
    <m/>
    <m/>
    <m/>
    <m/>
    <m/>
    <m/>
    <m/>
    <s v="106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m/>
    <m/>
    <m/>
    <m/>
  </r>
  <r>
    <m/>
    <n v="2509"/>
    <x v="15"/>
    <m/>
    <x v="15"/>
    <s v="BONIS SPA"/>
    <s v="STOCK SCAFFALE MP"/>
    <x v="10"/>
    <m/>
    <m/>
    <n v="2"/>
    <s v="01"/>
    <s v="408"/>
    <s v="018"/>
    <s v="00"/>
    <s v="S"/>
    <s v="P"/>
    <s v="01"/>
    <s v="04"/>
    <s v="False"/>
    <s v="True"/>
    <s v="U0027704"/>
    <n v="1"/>
    <m/>
    <n v="0"/>
    <n v="0"/>
    <m/>
    <m/>
    <m/>
    <m/>
    <m/>
    <m/>
    <m/>
    <m/>
    <s v="106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m/>
    <m/>
    <m/>
    <m/>
  </r>
  <r>
    <m/>
    <n v="2500"/>
    <x v="15"/>
    <m/>
    <x v="19"/>
    <s v="BONIS SPA"/>
    <s v="STOCK SCAFFALE MP"/>
    <x v="2"/>
    <m/>
    <m/>
    <n v="1"/>
    <s v="01"/>
    <s v="408"/>
    <s v="015"/>
    <s v="00"/>
    <s v="S"/>
    <s v="P"/>
    <s v="01"/>
    <s v="04"/>
    <s v="False"/>
    <s v="True"/>
    <s v="U0027500"/>
    <n v="1"/>
    <m/>
    <n v="0"/>
    <n v="0"/>
    <m/>
    <m/>
    <m/>
    <m/>
    <m/>
    <m/>
    <m/>
    <m/>
    <s v="F11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m/>
    <m/>
    <m/>
    <m/>
  </r>
  <r>
    <m/>
    <n v="2500"/>
    <x v="15"/>
    <m/>
    <x v="18"/>
    <s v="BONIS SPA"/>
    <s v="STOCK SCAFFALE MP"/>
    <x v="2"/>
    <m/>
    <m/>
    <n v="1"/>
    <s v="01"/>
    <s v="408"/>
    <s v="015"/>
    <s v="00"/>
    <s v="S"/>
    <s v="P"/>
    <s v="01"/>
    <s v="04"/>
    <s v="False"/>
    <s v="True"/>
    <s v="U0027500"/>
    <n v="1"/>
    <m/>
    <n v="0"/>
    <n v="0"/>
    <m/>
    <m/>
    <m/>
    <m/>
    <m/>
    <m/>
    <m/>
    <m/>
    <s v="F11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m/>
    <m/>
    <m/>
    <m/>
  </r>
  <r>
    <m/>
    <n v="2500"/>
    <x v="15"/>
    <m/>
    <x v="17"/>
    <s v="BONIS SPA"/>
    <s v="STOCK SCAFFALE MP"/>
    <x v="2"/>
    <m/>
    <m/>
    <n v="1"/>
    <s v="01"/>
    <s v="408"/>
    <s v="015"/>
    <s v="00"/>
    <s v="S"/>
    <s v="P"/>
    <s v="01"/>
    <s v="04"/>
    <s v="False"/>
    <s v="True"/>
    <s v="U0027500"/>
    <n v="1"/>
    <m/>
    <n v="0"/>
    <n v="0"/>
    <m/>
    <m/>
    <m/>
    <m/>
    <m/>
    <m/>
    <m/>
    <m/>
    <s v="F11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m/>
    <m/>
    <m/>
    <m/>
  </r>
  <r>
    <m/>
    <n v="2500"/>
    <x v="15"/>
    <m/>
    <x v="14"/>
    <s v="BONIS SPA"/>
    <s v="STOCK SCAFFALE MP"/>
    <x v="2"/>
    <m/>
    <m/>
    <n v="1"/>
    <s v="01"/>
    <s v="408"/>
    <s v="015"/>
    <s v="00"/>
    <s v="S"/>
    <s v="P"/>
    <s v="01"/>
    <s v="04"/>
    <s v="False"/>
    <s v="True"/>
    <s v="U0027500"/>
    <n v="1"/>
    <m/>
    <n v="0"/>
    <n v="0"/>
    <m/>
    <m/>
    <m/>
    <m/>
    <m/>
    <m/>
    <m/>
    <m/>
    <s v="F11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m/>
    <m/>
    <m/>
    <m/>
  </r>
  <r>
    <m/>
    <n v="2500"/>
    <x v="15"/>
    <m/>
    <x v="15"/>
    <s v="BONIS SPA"/>
    <s v="STOCK SCAFFALE MP"/>
    <x v="2"/>
    <m/>
    <m/>
    <n v="1"/>
    <s v="01"/>
    <s v="408"/>
    <s v="015"/>
    <s v="00"/>
    <s v="S"/>
    <s v="P"/>
    <s v="01"/>
    <s v="04"/>
    <s v="False"/>
    <s v="True"/>
    <s v="U0027500"/>
    <n v="1"/>
    <m/>
    <n v="0"/>
    <n v="0"/>
    <m/>
    <m/>
    <m/>
    <m/>
    <m/>
    <m/>
    <m/>
    <m/>
    <s v="F11"/>
    <s v="WOMAN"/>
    <s v="PA"/>
    <m/>
    <m/>
    <m/>
    <m/>
    <s v="False"/>
    <m/>
    <s v="TAREW"/>
    <m/>
    <m/>
    <m/>
    <m/>
    <m/>
    <m/>
    <s v="PF"/>
    <n v="0"/>
    <n v="0"/>
    <n v="0"/>
    <n v="0"/>
    <n v="0"/>
    <s v="RUBBER MESH +SYNTHETIC"/>
    <s v="Bonis SpA"/>
    <m/>
    <m/>
    <m/>
    <m/>
    <m/>
    <m/>
    <m/>
    <m/>
    <m/>
    <m/>
    <m/>
    <m/>
  </r>
  <r>
    <m/>
    <n v="2503"/>
    <x v="62"/>
    <m/>
    <x v="18"/>
    <s v="BONIS SPA"/>
    <s v="STOCK SCAFFALE MP"/>
    <x v="2"/>
    <m/>
    <m/>
    <n v="1"/>
    <s v="01"/>
    <s v="408"/>
    <s v="016"/>
    <s v="00"/>
    <s v="S"/>
    <s v="P"/>
    <s v="01"/>
    <s v="04"/>
    <s v="False"/>
    <s v="True"/>
    <s v="U0031327"/>
    <n v="1"/>
    <m/>
    <n v="0"/>
    <n v="0"/>
    <m/>
    <m/>
    <m/>
    <m/>
    <m/>
    <m/>
    <m/>
    <m/>
    <s v="106"/>
    <s v="UNISEX"/>
    <s v="PA"/>
    <m/>
    <m/>
    <m/>
    <m/>
    <s v="False"/>
    <m/>
    <s v="MELL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3"/>
    <x v="62"/>
    <m/>
    <x v="21"/>
    <s v="BONIS SPA"/>
    <s v="STOCK SCAFFALE MP"/>
    <x v="2"/>
    <m/>
    <m/>
    <n v="1"/>
    <s v="01"/>
    <s v="408"/>
    <s v="016"/>
    <s v="00"/>
    <s v="S"/>
    <s v="P"/>
    <s v="01"/>
    <s v="04"/>
    <s v="False"/>
    <s v="True"/>
    <s v="U0031327"/>
    <n v="1"/>
    <m/>
    <n v="0"/>
    <n v="0"/>
    <m/>
    <m/>
    <m/>
    <m/>
    <m/>
    <m/>
    <m/>
    <m/>
    <s v="106"/>
    <s v="UNISEX"/>
    <s v="PA"/>
    <m/>
    <m/>
    <m/>
    <m/>
    <s v="False"/>
    <m/>
    <s v="MELL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3"/>
    <x v="62"/>
    <m/>
    <x v="19"/>
    <s v="BONIS SPA"/>
    <s v="STOCK SCAFFALE MP"/>
    <x v="2"/>
    <m/>
    <m/>
    <n v="1"/>
    <s v="01"/>
    <s v="408"/>
    <s v="016"/>
    <s v="00"/>
    <s v="S"/>
    <s v="P"/>
    <s v="01"/>
    <s v="04"/>
    <s v="False"/>
    <s v="True"/>
    <s v="U0031327"/>
    <n v="1"/>
    <m/>
    <n v="0"/>
    <n v="0"/>
    <m/>
    <m/>
    <m/>
    <m/>
    <m/>
    <m/>
    <m/>
    <m/>
    <s v="106"/>
    <s v="UNISEX"/>
    <s v="PA"/>
    <m/>
    <m/>
    <m/>
    <m/>
    <s v="False"/>
    <m/>
    <s v="MELL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3"/>
    <x v="62"/>
    <m/>
    <x v="20"/>
    <s v="BONIS SPA"/>
    <s v="STOCK SCAFFALE MP"/>
    <x v="2"/>
    <m/>
    <m/>
    <n v="1"/>
    <s v="01"/>
    <s v="408"/>
    <s v="016"/>
    <s v="00"/>
    <s v="S"/>
    <s v="P"/>
    <s v="01"/>
    <s v="04"/>
    <s v="False"/>
    <s v="True"/>
    <s v="U0031327"/>
    <n v="1"/>
    <m/>
    <n v="0"/>
    <n v="0"/>
    <m/>
    <m/>
    <m/>
    <m/>
    <m/>
    <m/>
    <m/>
    <m/>
    <s v="106"/>
    <s v="UNISEX"/>
    <s v="PA"/>
    <m/>
    <m/>
    <m/>
    <m/>
    <s v="False"/>
    <m/>
    <s v="MELL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3"/>
    <x v="62"/>
    <m/>
    <x v="8"/>
    <s v="BONIS SPA"/>
    <s v="STOCK SCAFFALE MP"/>
    <x v="2"/>
    <m/>
    <m/>
    <n v="1"/>
    <s v="01"/>
    <s v="408"/>
    <s v="016"/>
    <s v="00"/>
    <s v="S"/>
    <s v="P"/>
    <s v="01"/>
    <s v="04"/>
    <s v="False"/>
    <s v="True"/>
    <s v="U0031327"/>
    <n v="1"/>
    <m/>
    <n v="0"/>
    <n v="0"/>
    <m/>
    <m/>
    <m/>
    <m/>
    <m/>
    <m/>
    <m/>
    <m/>
    <s v="106"/>
    <s v="UNISEX"/>
    <s v="PA"/>
    <m/>
    <m/>
    <m/>
    <m/>
    <s v="False"/>
    <m/>
    <s v="MELL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0"/>
    <x v="63"/>
    <m/>
    <x v="12"/>
    <s v="BONIS SPA"/>
    <s v="STOCK SCAFFALE MP"/>
    <x v="10"/>
    <m/>
    <m/>
    <n v="1"/>
    <s v="01"/>
    <s v="408"/>
    <s v="015"/>
    <s v="00"/>
    <s v="S"/>
    <s v="P"/>
    <s v="01"/>
    <s v="04"/>
    <s v="False"/>
    <s v="True"/>
    <s v="U0024810"/>
    <n v="1"/>
    <m/>
    <n v="0"/>
    <n v="0"/>
    <m/>
    <m/>
    <m/>
    <m/>
    <m/>
    <m/>
    <m/>
    <m/>
    <s v="106"/>
    <s v="KID"/>
    <s v="PA"/>
    <m/>
    <m/>
    <m/>
    <m/>
    <s v="False"/>
    <m/>
    <s v="ECROK"/>
    <m/>
    <m/>
    <m/>
    <m/>
    <m/>
    <m/>
    <s v="PF"/>
    <n v="0"/>
    <n v="0"/>
    <n v="0"/>
    <n v="0"/>
    <n v="0"/>
    <s v="GOMMA SYNTHETIC PU"/>
    <s v="Bonis SpA"/>
    <m/>
    <m/>
    <m/>
    <m/>
    <m/>
    <m/>
    <m/>
    <m/>
    <m/>
    <m/>
    <m/>
    <m/>
  </r>
  <r>
    <m/>
    <n v="2500"/>
    <x v="63"/>
    <m/>
    <x v="13"/>
    <s v="BONIS SPA"/>
    <s v="STOCK SCAFFALE MP"/>
    <x v="4"/>
    <m/>
    <m/>
    <n v="1"/>
    <s v="01"/>
    <s v="408"/>
    <s v="015"/>
    <s v="00"/>
    <s v="S"/>
    <s v="P"/>
    <s v="01"/>
    <s v="04"/>
    <s v="False"/>
    <s v="True"/>
    <s v="U0024810"/>
    <n v="1"/>
    <m/>
    <n v="0"/>
    <n v="0"/>
    <m/>
    <m/>
    <m/>
    <m/>
    <m/>
    <m/>
    <m/>
    <m/>
    <s v="106"/>
    <s v="KID"/>
    <s v="PA"/>
    <m/>
    <m/>
    <m/>
    <m/>
    <s v="False"/>
    <m/>
    <s v="ECROK"/>
    <m/>
    <m/>
    <m/>
    <m/>
    <m/>
    <m/>
    <s v="PF"/>
    <n v="0"/>
    <n v="0"/>
    <n v="0"/>
    <n v="0"/>
    <n v="0"/>
    <s v="GOMMA SYNTHETIC PU"/>
    <s v="Bonis SpA"/>
    <m/>
    <m/>
    <m/>
    <m/>
    <m/>
    <m/>
    <m/>
    <m/>
    <m/>
    <m/>
    <m/>
    <m/>
  </r>
  <r>
    <m/>
    <n v="2485"/>
    <x v="52"/>
    <m/>
    <x v="15"/>
    <s v="BONIS SPA"/>
    <s v="STOCK SCAFFALE MP"/>
    <x v="23"/>
    <m/>
    <m/>
    <n v="1"/>
    <s v="01"/>
    <s v="408"/>
    <s v="010"/>
    <s v="00"/>
    <s v="S"/>
    <s v="P"/>
    <s v="01"/>
    <s v="04"/>
    <s v="False"/>
    <s v="True"/>
    <s v="U0032676"/>
    <n v="1"/>
    <m/>
    <n v="0"/>
    <n v="0"/>
    <m/>
    <m/>
    <m/>
    <m/>
    <m/>
    <m/>
    <m/>
    <m/>
    <s v="F06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NYLON + MICROSUEDE"/>
    <s v="Bonis SpA"/>
    <m/>
    <m/>
    <m/>
    <m/>
    <m/>
    <m/>
    <m/>
    <m/>
    <m/>
    <m/>
    <m/>
    <m/>
  </r>
  <r>
    <m/>
    <n v="2485"/>
    <x v="63"/>
    <m/>
    <x v="11"/>
    <s v="BONIS SPA"/>
    <s v="STOCK SCAFFALE MP"/>
    <x v="10"/>
    <m/>
    <m/>
    <n v="1"/>
    <s v="01"/>
    <s v="408"/>
    <s v="010"/>
    <s v="00"/>
    <s v="S"/>
    <s v="P"/>
    <s v="01"/>
    <s v="04"/>
    <s v="False"/>
    <s v="True"/>
    <s v="U0032676"/>
    <n v="1"/>
    <m/>
    <n v="0"/>
    <n v="0"/>
    <m/>
    <m/>
    <m/>
    <m/>
    <m/>
    <m/>
    <m/>
    <m/>
    <s v="F06"/>
    <s v="KID"/>
    <s v="PA"/>
    <m/>
    <m/>
    <m/>
    <m/>
    <s v="False"/>
    <m/>
    <s v="ECROK"/>
    <m/>
    <m/>
    <m/>
    <m/>
    <m/>
    <m/>
    <s v="PF"/>
    <n v="0"/>
    <n v="0"/>
    <n v="0"/>
    <n v="0"/>
    <n v="0"/>
    <s v="GOMMA SYNTHETIC PU"/>
    <s v="Bonis SpA"/>
    <m/>
    <m/>
    <m/>
    <m/>
    <m/>
    <m/>
    <m/>
    <m/>
    <m/>
    <m/>
    <m/>
    <m/>
  </r>
  <r>
    <m/>
    <n v="2500"/>
    <x v="63"/>
    <m/>
    <x v="24"/>
    <s v="BONIS SPA"/>
    <s v="STOCK SCAFFALE MP"/>
    <x v="10"/>
    <m/>
    <m/>
    <n v="1"/>
    <s v="01"/>
    <s v="408"/>
    <s v="015"/>
    <s v="00"/>
    <s v="S"/>
    <s v="P"/>
    <s v="01"/>
    <s v="04"/>
    <s v="False"/>
    <s v="True"/>
    <s v="U0024810"/>
    <n v="1"/>
    <m/>
    <n v="0"/>
    <n v="0"/>
    <m/>
    <m/>
    <m/>
    <m/>
    <m/>
    <m/>
    <m/>
    <m/>
    <s v="106"/>
    <s v="KID"/>
    <s v="PA"/>
    <m/>
    <m/>
    <m/>
    <m/>
    <s v="False"/>
    <m/>
    <s v="ECROK"/>
    <m/>
    <m/>
    <m/>
    <m/>
    <m/>
    <m/>
    <s v="PF"/>
    <n v="0"/>
    <n v="0"/>
    <n v="0"/>
    <n v="0"/>
    <n v="0"/>
    <s v="GOMMA SYNTHETIC PU"/>
    <s v="Bonis SpA"/>
    <m/>
    <m/>
    <m/>
    <m/>
    <m/>
    <m/>
    <m/>
    <m/>
    <m/>
    <m/>
    <m/>
    <m/>
  </r>
  <r>
    <m/>
    <n v="2500"/>
    <x v="52"/>
    <m/>
    <x v="17"/>
    <s v="BONIS SPA"/>
    <s v="STOCK SCAFFALE MP"/>
    <x v="20"/>
    <m/>
    <m/>
    <n v="2"/>
    <s v="01"/>
    <s v="408"/>
    <s v="015"/>
    <s v="00"/>
    <s v="S"/>
    <s v="P"/>
    <s v="01"/>
    <s v="04"/>
    <s v="False"/>
    <s v="True"/>
    <s v="U0024810"/>
    <n v="1"/>
    <m/>
    <n v="0"/>
    <n v="0"/>
    <m/>
    <m/>
    <m/>
    <m/>
    <m/>
    <m/>
    <m/>
    <m/>
    <s v="106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NYLON + MICROSUEDE"/>
    <s v="Bonis SpA"/>
    <m/>
    <m/>
    <m/>
    <m/>
    <m/>
    <m/>
    <m/>
    <m/>
    <m/>
    <m/>
    <m/>
    <m/>
  </r>
  <r>
    <m/>
    <n v="2500"/>
    <x v="46"/>
    <m/>
    <x v="18"/>
    <s v="BONIS SPA"/>
    <s v="STOCK SCAFFALE MP"/>
    <x v="0"/>
    <m/>
    <m/>
    <n v="1"/>
    <s v="01"/>
    <s v="408"/>
    <s v="015"/>
    <s v="00"/>
    <s v="S"/>
    <s v="P"/>
    <s v="01"/>
    <s v="04"/>
    <s v="False"/>
    <s v="True"/>
    <s v="U0028003"/>
    <n v="1"/>
    <m/>
    <n v="0"/>
    <n v="0"/>
    <m/>
    <m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m/>
    <m/>
    <m/>
    <m/>
  </r>
  <r>
    <m/>
    <n v="2500"/>
    <x v="46"/>
    <m/>
    <x v="17"/>
    <s v="BONIS SPA"/>
    <s v="STOCK SCAFFALE MP"/>
    <x v="0"/>
    <m/>
    <m/>
    <n v="2"/>
    <s v="01"/>
    <s v="408"/>
    <s v="015"/>
    <s v="00"/>
    <s v="S"/>
    <s v="P"/>
    <s v="01"/>
    <s v="04"/>
    <s v="False"/>
    <s v="True"/>
    <s v="U0028003"/>
    <n v="1"/>
    <m/>
    <n v="0"/>
    <n v="0"/>
    <m/>
    <m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m/>
    <m/>
    <m/>
    <m/>
  </r>
  <r>
    <m/>
    <n v="2500"/>
    <x v="46"/>
    <m/>
    <x v="16"/>
    <s v="BONIS SPA"/>
    <s v="STOCK SCAFFALE MP"/>
    <x v="0"/>
    <m/>
    <m/>
    <n v="2"/>
    <s v="01"/>
    <s v="408"/>
    <s v="015"/>
    <s v="00"/>
    <s v="S"/>
    <s v="P"/>
    <s v="01"/>
    <s v="04"/>
    <s v="False"/>
    <s v="True"/>
    <s v="U0028003"/>
    <n v="1"/>
    <m/>
    <n v="0"/>
    <n v="0"/>
    <m/>
    <m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m/>
    <m/>
    <m/>
    <m/>
  </r>
  <r>
    <m/>
    <n v="2500"/>
    <x v="46"/>
    <m/>
    <x v="15"/>
    <s v="BONIS SPA"/>
    <s v="STOCK SCAFFALE MP"/>
    <x v="0"/>
    <m/>
    <m/>
    <n v="3"/>
    <s v="01"/>
    <s v="408"/>
    <s v="015"/>
    <s v="00"/>
    <s v="S"/>
    <s v="P"/>
    <s v="01"/>
    <s v="04"/>
    <s v="False"/>
    <s v="True"/>
    <s v="U0028003"/>
    <n v="1"/>
    <m/>
    <n v="0"/>
    <n v="0"/>
    <m/>
    <m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m/>
    <m/>
    <m/>
    <m/>
  </r>
  <r>
    <m/>
    <n v="2500"/>
    <x v="46"/>
    <m/>
    <x v="14"/>
    <s v="BONIS SPA"/>
    <s v="STOCK SCAFFALE MP"/>
    <x v="0"/>
    <m/>
    <m/>
    <n v="2"/>
    <s v="01"/>
    <s v="408"/>
    <s v="015"/>
    <s v="00"/>
    <s v="S"/>
    <s v="P"/>
    <s v="01"/>
    <s v="04"/>
    <s v="False"/>
    <s v="True"/>
    <s v="U0028003"/>
    <n v="1"/>
    <m/>
    <n v="0"/>
    <n v="0"/>
    <m/>
    <m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m/>
    <m/>
    <m/>
    <m/>
  </r>
  <r>
    <m/>
    <n v="2500"/>
    <x v="46"/>
    <m/>
    <x v="22"/>
    <s v="BONIS SPA"/>
    <s v="STOCK SCAFFALE MP"/>
    <x v="0"/>
    <m/>
    <m/>
    <n v="1"/>
    <s v="01"/>
    <s v="408"/>
    <s v="015"/>
    <s v="00"/>
    <s v="S"/>
    <s v="P"/>
    <s v="01"/>
    <s v="04"/>
    <s v="False"/>
    <s v="True"/>
    <s v="U0028003"/>
    <n v="1"/>
    <m/>
    <n v="0"/>
    <n v="0"/>
    <m/>
    <m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SUEDE+SYNTHETIC LEAT"/>
    <s v="Bonis SpA"/>
    <m/>
    <m/>
    <m/>
    <m/>
    <m/>
    <m/>
    <m/>
    <m/>
    <m/>
    <m/>
    <m/>
    <m/>
  </r>
  <r>
    <m/>
    <n v="2509"/>
    <x v="24"/>
    <m/>
    <x v="17"/>
    <s v="BONIS SPA"/>
    <s v="STOCK SCAFFALE MP"/>
    <x v="11"/>
    <m/>
    <m/>
    <n v="1"/>
    <s v="01"/>
    <s v="408"/>
    <s v="018"/>
    <s v="00"/>
    <s v="S"/>
    <s v="P"/>
    <s v="01"/>
    <s v="04"/>
    <s v="False"/>
    <s v="True"/>
    <s v="U0027704"/>
    <n v="1"/>
    <m/>
    <n v="0"/>
    <n v="0"/>
    <m/>
    <m/>
    <m/>
    <m/>
    <m/>
    <m/>
    <m/>
    <m/>
    <s v="F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SUED"/>
    <s v="Bonis SpA"/>
    <m/>
    <m/>
    <m/>
    <m/>
    <m/>
    <m/>
    <m/>
    <m/>
    <m/>
    <m/>
    <m/>
    <m/>
  </r>
  <r>
    <m/>
    <n v="2485"/>
    <x v="64"/>
    <m/>
    <x v="9"/>
    <s v="BONIS SPA"/>
    <s v="STOCK SCAFFALE MP"/>
    <x v="17"/>
    <m/>
    <m/>
    <n v="1"/>
    <s v="01"/>
    <s v="408"/>
    <s v="010"/>
    <s v="00"/>
    <s v="S"/>
    <s v="P"/>
    <s v="01"/>
    <s v="04"/>
    <s v="False"/>
    <s v="True"/>
    <s v="U0032676"/>
    <n v="1"/>
    <m/>
    <n v="0"/>
    <n v="0"/>
    <m/>
    <m/>
    <m/>
    <m/>
    <m/>
    <m/>
    <m/>
    <m/>
    <s v="F06"/>
    <s v="MAN"/>
    <s v="PA"/>
    <m/>
    <m/>
    <m/>
    <m/>
    <s v="False"/>
    <m/>
    <s v="EDWIN"/>
    <m/>
    <m/>
    <m/>
    <m/>
    <m/>
    <m/>
    <s v="PF"/>
    <n v="0"/>
    <n v="0"/>
    <n v="0"/>
    <n v="0"/>
    <n v="0"/>
    <s v="NO SU.TR ULTRA LT.LEATHER MOZA"/>
    <s v="Bonis SpA"/>
    <m/>
    <m/>
    <m/>
    <m/>
    <m/>
    <m/>
    <m/>
    <m/>
    <m/>
    <m/>
    <m/>
    <m/>
  </r>
  <r>
    <m/>
    <n v="2503"/>
    <x v="48"/>
    <m/>
    <x v="8"/>
    <s v="BONIS SPA"/>
    <s v="STOCK SCAFFALE MP"/>
    <x v="28"/>
    <m/>
    <m/>
    <n v="1"/>
    <s v="01"/>
    <s v="408"/>
    <s v="016"/>
    <s v="00"/>
    <s v="S"/>
    <s v="P"/>
    <s v="01"/>
    <s v="04"/>
    <s v="False"/>
    <s v="True"/>
    <s v="U0031327"/>
    <n v="1"/>
    <m/>
    <n v="0"/>
    <n v="0"/>
    <m/>
    <m/>
    <m/>
    <m/>
    <m/>
    <m/>
    <m/>
    <m/>
    <s v="1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3"/>
    <x v="21"/>
    <m/>
    <x v="21"/>
    <s v="BONIS SPA"/>
    <s v="STOCK SCAFFALE MP"/>
    <x v="23"/>
    <m/>
    <m/>
    <n v="1"/>
    <s v="01"/>
    <s v="408"/>
    <s v="016"/>
    <s v="00"/>
    <s v="S"/>
    <s v="P"/>
    <s v="01"/>
    <s v="04"/>
    <s v="False"/>
    <s v="True"/>
    <s v="U0031327"/>
    <n v="1"/>
    <m/>
    <n v="0"/>
    <n v="0"/>
    <m/>
    <m/>
    <m/>
    <m/>
    <m/>
    <m/>
    <m/>
    <m/>
    <s v="F11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3"/>
    <x v="21"/>
    <m/>
    <x v="8"/>
    <s v="BONIS SPA"/>
    <s v="STOCK SCAFFALE MP"/>
    <x v="23"/>
    <m/>
    <m/>
    <n v="3"/>
    <s v="01"/>
    <s v="408"/>
    <s v="016"/>
    <s v="00"/>
    <s v="S"/>
    <s v="P"/>
    <s v="01"/>
    <s v="04"/>
    <s v="False"/>
    <s v="True"/>
    <s v="U0031327"/>
    <n v="1"/>
    <m/>
    <n v="0"/>
    <n v="0"/>
    <m/>
    <m/>
    <m/>
    <m/>
    <m/>
    <m/>
    <m/>
    <m/>
    <s v="F11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3"/>
    <x v="21"/>
    <m/>
    <x v="9"/>
    <s v="BONIS SPA"/>
    <s v="STOCK SCAFFALE MP"/>
    <x v="23"/>
    <m/>
    <m/>
    <n v="3"/>
    <s v="01"/>
    <s v="408"/>
    <s v="016"/>
    <s v="00"/>
    <s v="S"/>
    <s v="P"/>
    <s v="01"/>
    <s v="04"/>
    <s v="False"/>
    <s v="True"/>
    <s v="U0031327"/>
    <n v="1"/>
    <m/>
    <n v="0"/>
    <n v="0"/>
    <m/>
    <m/>
    <m/>
    <m/>
    <m/>
    <m/>
    <m/>
    <m/>
    <s v="F11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12"/>
    <x v="39"/>
    <m/>
    <x v="15"/>
    <s v="BONIS SPA"/>
    <s v="STOCK SCAFFALE MP"/>
    <x v="10"/>
    <m/>
    <m/>
    <n v="2"/>
    <s v="01"/>
    <s v="408"/>
    <s v="019"/>
    <s v="00"/>
    <s v="S"/>
    <s v="P"/>
    <s v="01"/>
    <s v="04"/>
    <s v="False"/>
    <s v="True"/>
    <s v="U0032408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12"/>
    <x v="39"/>
    <m/>
    <x v="16"/>
    <s v="BONIS SPA"/>
    <s v="STOCK SCAFFALE MP"/>
    <x v="10"/>
    <m/>
    <m/>
    <n v="1"/>
    <s v="01"/>
    <s v="408"/>
    <s v="019"/>
    <s v="00"/>
    <s v="S"/>
    <s v="P"/>
    <s v="01"/>
    <s v="04"/>
    <s v="False"/>
    <s v="True"/>
    <s v="U0032408"/>
    <n v="1"/>
    <m/>
    <n v="0"/>
    <n v="0"/>
    <m/>
    <s v="SMU"/>
    <m/>
    <m/>
    <m/>
    <m/>
    <m/>
    <m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12"/>
    <x v="36"/>
    <m/>
    <x v="18"/>
    <s v="BONIS SPA"/>
    <s v="STOCK SCAFFALE MP"/>
    <x v="0"/>
    <m/>
    <m/>
    <n v="1"/>
    <s v="01"/>
    <s v="408"/>
    <s v="019"/>
    <s v="00"/>
    <s v="S"/>
    <s v="P"/>
    <s v="01"/>
    <s v="04"/>
    <s v="False"/>
    <s v="True"/>
    <s v="U0032428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12"/>
    <x v="36"/>
    <m/>
    <x v="19"/>
    <s v="BONIS SPA"/>
    <s v="STOCK SCAFFALE MP"/>
    <x v="0"/>
    <m/>
    <m/>
    <n v="1"/>
    <s v="01"/>
    <s v="408"/>
    <s v="019"/>
    <s v="00"/>
    <s v="S"/>
    <s v="P"/>
    <s v="01"/>
    <s v="04"/>
    <s v="False"/>
    <s v="True"/>
    <s v="U0032428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12"/>
    <x v="36"/>
    <m/>
    <x v="9"/>
    <s v="BONIS SPA"/>
    <s v="STOCK SCAFFALE MP"/>
    <x v="0"/>
    <m/>
    <m/>
    <n v="2"/>
    <s v="01"/>
    <s v="408"/>
    <s v="019"/>
    <s v="00"/>
    <s v="S"/>
    <s v="P"/>
    <s v="01"/>
    <s v="04"/>
    <s v="False"/>
    <s v="True"/>
    <s v="U0032428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12"/>
    <x v="36"/>
    <m/>
    <x v="20"/>
    <s v="BONIS SPA"/>
    <s v="STOCK SCAFFALE MP"/>
    <x v="0"/>
    <m/>
    <m/>
    <n v="2"/>
    <s v="01"/>
    <s v="408"/>
    <s v="019"/>
    <s v="00"/>
    <s v="S"/>
    <s v="P"/>
    <s v="01"/>
    <s v="04"/>
    <s v="False"/>
    <s v="True"/>
    <s v="U0032428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12"/>
    <x v="36"/>
    <m/>
    <x v="8"/>
    <s v="BONIS SPA"/>
    <s v="STOCK SCAFFALE MP"/>
    <x v="0"/>
    <m/>
    <m/>
    <n v="2"/>
    <s v="01"/>
    <s v="408"/>
    <s v="019"/>
    <s v="00"/>
    <s v="S"/>
    <s v="P"/>
    <s v="01"/>
    <s v="04"/>
    <s v="False"/>
    <s v="True"/>
    <s v="U0032408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12"/>
    <x v="38"/>
    <m/>
    <x v="17"/>
    <s v="BONIS SPA"/>
    <s v="STOCK SCAFFALE MP"/>
    <x v="10"/>
    <m/>
    <m/>
    <n v="1"/>
    <s v="01"/>
    <s v="408"/>
    <s v="019"/>
    <s v="00"/>
    <s v="S"/>
    <s v="P"/>
    <s v="01"/>
    <s v="04"/>
    <s v="False"/>
    <s v="True"/>
    <s v="U0032408"/>
    <n v="1"/>
    <m/>
    <n v="0"/>
    <n v="0"/>
    <m/>
    <s v="SMU"/>
    <m/>
    <m/>
    <m/>
    <m/>
    <m/>
    <m/>
    <s v="F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12"/>
    <x v="40"/>
    <m/>
    <x v="16"/>
    <s v="BONIS SPA"/>
    <s v="STOCK SCAFFALE MP"/>
    <x v="10"/>
    <m/>
    <m/>
    <n v="1"/>
    <s v="01"/>
    <s v="408"/>
    <s v="019"/>
    <s v="00"/>
    <s v="S"/>
    <s v="P"/>
    <s v="01"/>
    <s v="04"/>
    <s v="False"/>
    <s v="True"/>
    <s v="U0032408"/>
    <n v="1"/>
    <m/>
    <n v="0"/>
    <n v="0"/>
    <m/>
    <s v="SMU"/>
    <m/>
    <m/>
    <m/>
    <m/>
    <m/>
    <m/>
    <s v="F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12"/>
    <x v="39"/>
    <m/>
    <x v="15"/>
    <s v="BONIS SPA"/>
    <s v="STOCK SCAFFALE MP"/>
    <x v="2"/>
    <m/>
    <m/>
    <n v="2"/>
    <s v="01"/>
    <s v="408"/>
    <s v="019"/>
    <s v="00"/>
    <s v="S"/>
    <s v="P"/>
    <s v="01"/>
    <s v="04"/>
    <s v="False"/>
    <s v="True"/>
    <s v="U0032408"/>
    <n v="1"/>
    <m/>
    <n v="0"/>
    <n v="0"/>
    <m/>
    <s v="SMU"/>
    <m/>
    <m/>
    <m/>
    <m/>
    <m/>
    <m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12"/>
    <x v="39"/>
    <m/>
    <x v="18"/>
    <s v="BONIS SPA"/>
    <s v="STOCK SCAFFALE MP"/>
    <x v="2"/>
    <m/>
    <m/>
    <n v="1"/>
    <s v="01"/>
    <s v="408"/>
    <s v="019"/>
    <s v="00"/>
    <s v="S"/>
    <s v="P"/>
    <s v="01"/>
    <s v="04"/>
    <s v="False"/>
    <s v="True"/>
    <s v="U0032408"/>
    <n v="1"/>
    <m/>
    <n v="0"/>
    <n v="0"/>
    <m/>
    <s v="SMU"/>
    <m/>
    <m/>
    <m/>
    <m/>
    <m/>
    <m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12"/>
    <x v="38"/>
    <m/>
    <x v="15"/>
    <s v="BONIS SPA"/>
    <s v="STOCK SCAFFALE MP"/>
    <x v="13"/>
    <m/>
    <m/>
    <n v="2"/>
    <s v="01"/>
    <s v="408"/>
    <s v="019"/>
    <s v="00"/>
    <s v="S"/>
    <s v="P"/>
    <s v="01"/>
    <s v="04"/>
    <s v="False"/>
    <s v="True"/>
    <s v="U0032428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12"/>
    <x v="38"/>
    <m/>
    <x v="18"/>
    <s v="BONIS SPA"/>
    <s v="STOCK SCAFFALE MP"/>
    <x v="13"/>
    <m/>
    <m/>
    <n v="2"/>
    <s v="01"/>
    <s v="408"/>
    <s v="019"/>
    <s v="00"/>
    <s v="S"/>
    <s v="P"/>
    <s v="01"/>
    <s v="04"/>
    <s v="False"/>
    <s v="True"/>
    <s v="U0032428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485"/>
    <x v="38"/>
    <m/>
    <x v="15"/>
    <s v="BONIS SPA"/>
    <s v="STOCK SCAFFALE MP"/>
    <x v="4"/>
    <m/>
    <m/>
    <n v="1"/>
    <s v="01"/>
    <s v="408"/>
    <s v="010"/>
    <s v="00"/>
    <s v="S"/>
    <s v="P"/>
    <s v="01"/>
    <s v="04"/>
    <s v="False"/>
    <s v="True"/>
    <s v="U0032676"/>
    <n v="1"/>
    <m/>
    <n v="0"/>
    <n v="0"/>
    <m/>
    <s v="SMU"/>
    <m/>
    <m/>
    <m/>
    <m/>
    <m/>
    <m/>
    <s v="F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485"/>
    <x v="38"/>
    <m/>
    <x v="16"/>
    <s v="BONIS SPA"/>
    <s v="STOCK SCAFFALE MP"/>
    <x v="4"/>
    <m/>
    <m/>
    <n v="1"/>
    <s v="01"/>
    <s v="408"/>
    <s v="010"/>
    <s v="00"/>
    <s v="S"/>
    <s v="P"/>
    <s v="01"/>
    <s v="04"/>
    <s v="False"/>
    <s v="True"/>
    <s v="U0032676"/>
    <n v="1"/>
    <m/>
    <n v="0"/>
    <n v="0"/>
    <m/>
    <s v="SMU"/>
    <m/>
    <m/>
    <m/>
    <m/>
    <m/>
    <m/>
    <s v="F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12"/>
    <x v="38"/>
    <m/>
    <x v="17"/>
    <s v="BONIS SPA"/>
    <s v="STOCK SCAFFALE MP"/>
    <x v="4"/>
    <m/>
    <m/>
    <n v="2"/>
    <s v="01"/>
    <s v="408"/>
    <s v="019"/>
    <s v="00"/>
    <s v="S"/>
    <s v="P"/>
    <s v="01"/>
    <s v="04"/>
    <s v="False"/>
    <s v="True"/>
    <s v="U0032428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12"/>
    <x v="1"/>
    <m/>
    <x v="14"/>
    <s v="BONIS SPA"/>
    <s v="STOCK SCAFFALE MP"/>
    <x v="13"/>
    <m/>
    <m/>
    <n v="1"/>
    <s v="01"/>
    <s v="408"/>
    <s v="019"/>
    <s v="00"/>
    <s v="S"/>
    <s v="P"/>
    <s v="01"/>
    <s v="04"/>
    <s v="False"/>
    <s v="True"/>
    <s v="U0032482"/>
    <n v="1"/>
    <m/>
    <n v="0"/>
    <n v="0"/>
    <m/>
    <s v="SMU"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12"/>
    <x v="1"/>
    <m/>
    <x v="15"/>
    <s v="BONIS SPA"/>
    <s v="STOCK SCAFFALE MP"/>
    <x v="13"/>
    <m/>
    <m/>
    <n v="2"/>
    <s v="01"/>
    <s v="408"/>
    <s v="019"/>
    <s v="00"/>
    <s v="S"/>
    <s v="P"/>
    <s v="01"/>
    <s v="04"/>
    <s v="False"/>
    <s v="True"/>
    <s v="U0032482"/>
    <n v="1"/>
    <m/>
    <n v="0"/>
    <n v="0"/>
    <m/>
    <s v="SMU"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12"/>
    <x v="1"/>
    <m/>
    <x v="16"/>
    <s v="BONIS SPA"/>
    <s v="STOCK SCAFFALE MP"/>
    <x v="13"/>
    <m/>
    <m/>
    <n v="3"/>
    <s v="01"/>
    <s v="408"/>
    <s v="019"/>
    <s v="00"/>
    <s v="S"/>
    <s v="P"/>
    <s v="01"/>
    <s v="04"/>
    <s v="False"/>
    <s v="True"/>
    <s v="U0032482"/>
    <n v="1"/>
    <m/>
    <n v="0"/>
    <n v="0"/>
    <m/>
    <s v="SMU"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12"/>
    <x v="1"/>
    <m/>
    <x v="18"/>
    <s v="BONIS SPA"/>
    <s v="STOCK SCAFFALE MP"/>
    <x v="13"/>
    <m/>
    <m/>
    <n v="2"/>
    <s v="01"/>
    <s v="408"/>
    <s v="019"/>
    <s v="00"/>
    <s v="S"/>
    <s v="P"/>
    <s v="01"/>
    <s v="04"/>
    <s v="False"/>
    <s v="True"/>
    <s v="U0032482"/>
    <n v="1"/>
    <m/>
    <n v="0"/>
    <n v="0"/>
    <m/>
    <s v="SMU"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12"/>
    <x v="1"/>
    <m/>
    <x v="17"/>
    <s v="BONIS SPA"/>
    <s v="STOCK SCAFFALE MP"/>
    <x v="13"/>
    <m/>
    <m/>
    <n v="3"/>
    <s v="01"/>
    <s v="408"/>
    <s v="019"/>
    <s v="00"/>
    <s v="S"/>
    <s v="P"/>
    <s v="01"/>
    <s v="04"/>
    <s v="False"/>
    <s v="True"/>
    <s v="U0032482"/>
    <n v="1"/>
    <m/>
    <n v="0"/>
    <n v="0"/>
    <m/>
    <s v="SMU"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12"/>
    <x v="1"/>
    <m/>
    <x v="19"/>
    <s v="BONIS SPA"/>
    <s v="STOCK SCAFFALE MP"/>
    <x v="13"/>
    <m/>
    <m/>
    <n v="1"/>
    <s v="01"/>
    <s v="408"/>
    <s v="019"/>
    <s v="00"/>
    <s v="S"/>
    <s v="P"/>
    <s v="01"/>
    <s v="04"/>
    <s v="False"/>
    <s v="True"/>
    <s v="U0032482"/>
    <n v="1"/>
    <m/>
    <n v="0"/>
    <n v="0"/>
    <m/>
    <s v="SMU"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476"/>
    <x v="42"/>
    <m/>
    <x v="15"/>
    <s v="BONIS SPA"/>
    <s v="STOCK SCAFFALE MP"/>
    <x v="22"/>
    <m/>
    <m/>
    <n v="1"/>
    <s v="01"/>
    <s v="408"/>
    <s v="007"/>
    <s v="00"/>
    <s v="S"/>
    <s v="P"/>
    <s v="01"/>
    <s v="04"/>
    <s v="False"/>
    <s v="True"/>
    <s v="U0032743"/>
    <n v="1"/>
    <m/>
    <n v="0"/>
    <n v="0"/>
    <m/>
    <m/>
    <m/>
    <m/>
    <m/>
    <m/>
    <m/>
    <m/>
    <s v="F06"/>
    <s v="WOMAN"/>
    <s v="PA"/>
    <m/>
    <m/>
    <m/>
    <m/>
    <s v="False"/>
    <m/>
    <s v="DARFW"/>
    <m/>
    <m/>
    <m/>
    <m/>
    <m/>
    <m/>
    <s v="PF"/>
    <n v="0"/>
    <n v="0"/>
    <n v="0"/>
    <n v="0"/>
    <n v="0"/>
    <s v="KNITED TEXTILE +MICROSUEDE+PU"/>
    <s v="Bonis SpA"/>
    <m/>
    <m/>
    <m/>
    <m/>
    <m/>
    <m/>
    <m/>
    <m/>
    <m/>
    <m/>
    <m/>
    <m/>
  </r>
  <r>
    <m/>
    <n v="2476"/>
    <x v="42"/>
    <m/>
    <x v="16"/>
    <s v="BONIS SPA"/>
    <s v="STOCK SCAFFALE MP"/>
    <x v="22"/>
    <m/>
    <m/>
    <n v="3"/>
    <s v="01"/>
    <s v="408"/>
    <s v="007"/>
    <s v="00"/>
    <s v="S"/>
    <s v="P"/>
    <s v="01"/>
    <s v="04"/>
    <s v="False"/>
    <s v="True"/>
    <s v="U0032743"/>
    <n v="1"/>
    <m/>
    <n v="0"/>
    <n v="0"/>
    <m/>
    <m/>
    <m/>
    <m/>
    <m/>
    <m/>
    <m/>
    <m/>
    <s v="F06"/>
    <s v="WOMAN"/>
    <s v="PA"/>
    <m/>
    <m/>
    <m/>
    <m/>
    <s v="False"/>
    <m/>
    <s v="DARFW"/>
    <m/>
    <m/>
    <m/>
    <m/>
    <m/>
    <m/>
    <s v="PF"/>
    <n v="0"/>
    <n v="0"/>
    <n v="0"/>
    <n v="0"/>
    <n v="0"/>
    <s v="KNITED TEXTILE +MICROSUEDE+PU"/>
    <s v="Bonis SpA"/>
    <m/>
    <m/>
    <m/>
    <m/>
    <m/>
    <m/>
    <m/>
    <m/>
    <m/>
    <m/>
    <m/>
    <m/>
  </r>
  <r>
    <m/>
    <n v="2485"/>
    <x v="42"/>
    <m/>
    <x v="14"/>
    <s v="BONIS SPA"/>
    <s v="STOCK SCAFFALE MP"/>
    <x v="22"/>
    <m/>
    <m/>
    <n v="1"/>
    <s v="01"/>
    <s v="408"/>
    <s v="010"/>
    <s v="00"/>
    <s v="S"/>
    <s v="P"/>
    <s v="01"/>
    <s v="04"/>
    <s v="False"/>
    <s v="True"/>
    <s v="U0032676"/>
    <n v="1"/>
    <m/>
    <n v="0"/>
    <n v="0"/>
    <m/>
    <m/>
    <m/>
    <m/>
    <m/>
    <m/>
    <m/>
    <m/>
    <s v="F06"/>
    <s v="WOMAN"/>
    <s v="PA"/>
    <m/>
    <m/>
    <m/>
    <m/>
    <s v="False"/>
    <m/>
    <s v="DARFW"/>
    <m/>
    <m/>
    <m/>
    <m/>
    <m/>
    <m/>
    <s v="PF"/>
    <n v="0"/>
    <n v="0"/>
    <n v="0"/>
    <n v="0"/>
    <n v="0"/>
    <s v="KNITED TEXTILE +MICROSUEDE+PU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2"/>
    <m/>
    <m/>
    <n v="5"/>
    <s v="01"/>
    <s v="408"/>
    <s v="013"/>
    <s v="00"/>
    <s v="S"/>
    <s v="P"/>
    <s v="01"/>
    <s v="04"/>
    <s v="False"/>
    <s v="True"/>
    <s v="U003272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2"/>
    <m/>
    <m/>
    <n v="2"/>
    <s v="01"/>
    <s v="408"/>
    <s v="013"/>
    <s v="00"/>
    <s v="S"/>
    <s v="P"/>
    <s v="01"/>
    <s v="04"/>
    <s v="False"/>
    <s v="True"/>
    <s v="U003272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2"/>
    <m/>
    <m/>
    <n v="4"/>
    <s v="01"/>
    <s v="408"/>
    <s v="013"/>
    <s v="00"/>
    <s v="S"/>
    <s v="P"/>
    <s v="01"/>
    <s v="04"/>
    <s v="False"/>
    <s v="True"/>
    <s v="U003272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2"/>
    <m/>
    <m/>
    <n v="1"/>
    <s v="01"/>
    <s v="408"/>
    <s v="013"/>
    <s v="00"/>
    <s v="S"/>
    <s v="P"/>
    <s v="01"/>
    <s v="04"/>
    <s v="False"/>
    <s v="True"/>
    <s v="U003272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2"/>
    <m/>
    <m/>
    <n v="2"/>
    <s v="01"/>
    <s v="408"/>
    <s v="013"/>
    <s v="00"/>
    <s v="S"/>
    <s v="P"/>
    <s v="01"/>
    <s v="04"/>
    <s v="False"/>
    <s v="True"/>
    <s v="U003272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2"/>
    <m/>
    <m/>
    <n v="2"/>
    <s v="01"/>
    <s v="408"/>
    <s v="013"/>
    <s v="00"/>
    <s v="S"/>
    <s v="P"/>
    <s v="01"/>
    <s v="04"/>
    <s v="False"/>
    <s v="True"/>
    <s v="U003272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2"/>
    <m/>
    <m/>
    <n v="2"/>
    <s v="01"/>
    <s v="408"/>
    <s v="013"/>
    <s v="00"/>
    <s v="S"/>
    <s v="P"/>
    <s v="01"/>
    <s v="04"/>
    <s v="False"/>
    <s v="True"/>
    <s v="U003272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2"/>
    <m/>
    <m/>
    <n v="3"/>
    <s v="01"/>
    <s v="408"/>
    <s v="013"/>
    <s v="00"/>
    <s v="S"/>
    <s v="P"/>
    <s v="01"/>
    <s v="04"/>
    <s v="False"/>
    <s v="True"/>
    <s v="U003272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2"/>
    <m/>
    <m/>
    <n v="3"/>
    <s v="01"/>
    <s v="408"/>
    <s v="013"/>
    <s v="00"/>
    <s v="S"/>
    <s v="P"/>
    <s v="01"/>
    <s v="04"/>
    <s v="False"/>
    <s v="True"/>
    <s v="U003272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2"/>
    <m/>
    <m/>
    <n v="3"/>
    <s v="01"/>
    <s v="408"/>
    <s v="013"/>
    <s v="00"/>
    <s v="S"/>
    <s v="P"/>
    <s v="01"/>
    <s v="04"/>
    <s v="False"/>
    <s v="True"/>
    <s v="U003272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2"/>
    <m/>
    <m/>
    <n v="4"/>
    <s v="01"/>
    <s v="408"/>
    <s v="013"/>
    <s v="00"/>
    <s v="S"/>
    <s v="P"/>
    <s v="01"/>
    <s v="04"/>
    <s v="False"/>
    <s v="True"/>
    <s v="U003272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2"/>
    <m/>
    <m/>
    <n v="1"/>
    <s v="01"/>
    <s v="408"/>
    <s v="013"/>
    <s v="00"/>
    <s v="S"/>
    <s v="P"/>
    <s v="01"/>
    <s v="04"/>
    <s v="False"/>
    <s v="True"/>
    <s v="U003272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2"/>
    <m/>
    <m/>
    <n v="2"/>
    <s v="01"/>
    <s v="408"/>
    <s v="013"/>
    <s v="00"/>
    <s v="S"/>
    <s v="P"/>
    <s v="01"/>
    <s v="04"/>
    <s v="False"/>
    <s v="True"/>
    <s v="U003272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2"/>
    <m/>
    <m/>
    <n v="2"/>
    <s v="01"/>
    <s v="408"/>
    <s v="013"/>
    <s v="00"/>
    <s v="S"/>
    <s v="P"/>
    <s v="01"/>
    <s v="04"/>
    <s v="False"/>
    <s v="True"/>
    <s v="U003272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2"/>
    <m/>
    <m/>
    <n v="2"/>
    <s v="01"/>
    <s v="408"/>
    <s v="013"/>
    <s v="00"/>
    <s v="S"/>
    <s v="P"/>
    <s v="01"/>
    <s v="04"/>
    <s v="False"/>
    <s v="True"/>
    <s v="U003272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2"/>
    <m/>
    <m/>
    <n v="3"/>
    <s v="01"/>
    <s v="408"/>
    <s v="013"/>
    <s v="00"/>
    <s v="S"/>
    <s v="P"/>
    <s v="01"/>
    <s v="04"/>
    <s v="False"/>
    <s v="True"/>
    <s v="U003272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2"/>
    <m/>
    <m/>
    <n v="1"/>
    <s v="01"/>
    <s v="408"/>
    <s v="013"/>
    <s v="00"/>
    <s v="S"/>
    <s v="P"/>
    <s v="01"/>
    <s v="04"/>
    <s v="False"/>
    <s v="True"/>
    <s v="U003272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2"/>
    <m/>
    <m/>
    <n v="3"/>
    <s v="01"/>
    <s v="408"/>
    <s v="013"/>
    <s v="00"/>
    <s v="S"/>
    <s v="P"/>
    <s v="01"/>
    <s v="04"/>
    <s v="False"/>
    <s v="True"/>
    <s v="U003272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2"/>
    <m/>
    <m/>
    <n v="3"/>
    <s v="01"/>
    <s v="408"/>
    <s v="013"/>
    <s v="00"/>
    <s v="S"/>
    <s v="P"/>
    <s v="01"/>
    <s v="04"/>
    <s v="False"/>
    <s v="True"/>
    <s v="U003272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2"/>
    <m/>
    <m/>
    <n v="3"/>
    <s v="01"/>
    <s v="408"/>
    <s v="013"/>
    <s v="00"/>
    <s v="S"/>
    <s v="P"/>
    <s v="01"/>
    <s v="04"/>
    <s v="False"/>
    <s v="True"/>
    <s v="U003272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2"/>
    <m/>
    <m/>
    <n v="4"/>
    <s v="01"/>
    <s v="408"/>
    <s v="013"/>
    <s v="00"/>
    <s v="S"/>
    <s v="P"/>
    <s v="01"/>
    <s v="04"/>
    <s v="False"/>
    <s v="True"/>
    <s v="U003272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2"/>
    <m/>
    <m/>
    <n v="2"/>
    <s v="01"/>
    <s v="408"/>
    <s v="013"/>
    <s v="00"/>
    <s v="S"/>
    <s v="P"/>
    <s v="01"/>
    <s v="04"/>
    <s v="False"/>
    <s v="True"/>
    <s v="U003272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2"/>
    <m/>
    <m/>
    <n v="2"/>
    <s v="01"/>
    <s v="408"/>
    <s v="013"/>
    <s v="00"/>
    <s v="S"/>
    <s v="P"/>
    <s v="01"/>
    <s v="04"/>
    <s v="False"/>
    <s v="True"/>
    <s v="U003272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2"/>
    <m/>
    <m/>
    <n v="1"/>
    <s v="01"/>
    <s v="408"/>
    <s v="013"/>
    <s v="00"/>
    <s v="S"/>
    <s v="P"/>
    <s v="01"/>
    <s v="04"/>
    <s v="False"/>
    <s v="True"/>
    <s v="U003272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10"/>
    <m/>
    <m/>
    <n v="2"/>
    <s v="01"/>
    <s v="408"/>
    <s v="013"/>
    <s v="00"/>
    <s v="S"/>
    <s v="P"/>
    <s v="01"/>
    <s v="04"/>
    <s v="False"/>
    <s v="True"/>
    <s v="U003272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10"/>
    <m/>
    <m/>
    <n v="3"/>
    <s v="01"/>
    <s v="408"/>
    <s v="013"/>
    <s v="00"/>
    <s v="S"/>
    <s v="P"/>
    <s v="01"/>
    <s v="04"/>
    <s v="False"/>
    <s v="True"/>
    <s v="U003272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10"/>
    <m/>
    <m/>
    <n v="2"/>
    <s v="01"/>
    <s v="408"/>
    <s v="013"/>
    <s v="00"/>
    <s v="S"/>
    <s v="P"/>
    <s v="01"/>
    <s v="04"/>
    <s v="False"/>
    <s v="True"/>
    <s v="U003272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10"/>
    <m/>
    <m/>
    <n v="2"/>
    <s v="01"/>
    <s v="408"/>
    <s v="013"/>
    <s v="00"/>
    <s v="S"/>
    <s v="P"/>
    <s v="01"/>
    <s v="04"/>
    <s v="False"/>
    <s v="True"/>
    <s v="U003272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10"/>
    <m/>
    <m/>
    <n v="3"/>
    <s v="01"/>
    <s v="408"/>
    <s v="013"/>
    <s v="00"/>
    <s v="S"/>
    <s v="P"/>
    <s v="01"/>
    <s v="04"/>
    <s v="False"/>
    <s v="True"/>
    <s v="U0032719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10"/>
    <m/>
    <m/>
    <n v="4"/>
    <s v="01"/>
    <s v="408"/>
    <s v="013"/>
    <s v="00"/>
    <s v="S"/>
    <s v="P"/>
    <s v="01"/>
    <s v="04"/>
    <s v="False"/>
    <s v="True"/>
    <s v="U0032719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10"/>
    <m/>
    <m/>
    <n v="4"/>
    <s v="01"/>
    <s v="408"/>
    <s v="013"/>
    <s v="00"/>
    <s v="S"/>
    <s v="P"/>
    <s v="01"/>
    <s v="04"/>
    <s v="False"/>
    <s v="True"/>
    <s v="U0032719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10"/>
    <m/>
    <m/>
    <n v="1"/>
    <s v="01"/>
    <s v="408"/>
    <s v="013"/>
    <s v="00"/>
    <s v="S"/>
    <s v="P"/>
    <s v="01"/>
    <s v="04"/>
    <s v="False"/>
    <s v="True"/>
    <s v="U0032719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10"/>
    <m/>
    <m/>
    <n v="2"/>
    <s v="01"/>
    <s v="408"/>
    <s v="013"/>
    <s v="00"/>
    <s v="S"/>
    <s v="P"/>
    <s v="01"/>
    <s v="04"/>
    <s v="False"/>
    <s v="True"/>
    <s v="U003271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10"/>
    <m/>
    <m/>
    <n v="2"/>
    <s v="01"/>
    <s v="408"/>
    <s v="013"/>
    <s v="00"/>
    <s v="S"/>
    <s v="P"/>
    <s v="01"/>
    <s v="04"/>
    <s v="False"/>
    <s v="True"/>
    <s v="U003271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10"/>
    <m/>
    <m/>
    <n v="5"/>
    <s v="01"/>
    <s v="408"/>
    <s v="013"/>
    <s v="00"/>
    <s v="S"/>
    <s v="P"/>
    <s v="01"/>
    <s v="04"/>
    <s v="False"/>
    <s v="True"/>
    <s v="U003271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10"/>
    <m/>
    <m/>
    <n v="3"/>
    <s v="01"/>
    <s v="408"/>
    <s v="013"/>
    <s v="00"/>
    <s v="S"/>
    <s v="P"/>
    <s v="01"/>
    <s v="04"/>
    <s v="False"/>
    <s v="True"/>
    <s v="U003271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10"/>
    <m/>
    <m/>
    <n v="3"/>
    <s v="01"/>
    <s v="408"/>
    <s v="013"/>
    <s v="00"/>
    <s v="S"/>
    <s v="P"/>
    <s v="01"/>
    <s v="04"/>
    <s v="False"/>
    <s v="True"/>
    <s v="U003271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10"/>
    <m/>
    <m/>
    <n v="1"/>
    <s v="01"/>
    <s v="408"/>
    <s v="013"/>
    <s v="00"/>
    <s v="S"/>
    <s v="P"/>
    <s v="01"/>
    <s v="04"/>
    <s v="False"/>
    <s v="True"/>
    <s v="U003271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10"/>
    <m/>
    <m/>
    <n v="3"/>
    <s v="01"/>
    <s v="408"/>
    <s v="013"/>
    <s v="00"/>
    <s v="S"/>
    <s v="P"/>
    <s v="01"/>
    <s v="04"/>
    <s v="False"/>
    <s v="True"/>
    <s v="U003271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10"/>
    <m/>
    <m/>
    <n v="5"/>
    <s v="01"/>
    <s v="408"/>
    <s v="013"/>
    <s v="00"/>
    <s v="S"/>
    <s v="P"/>
    <s v="01"/>
    <s v="04"/>
    <s v="False"/>
    <s v="True"/>
    <s v="U003271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10"/>
    <m/>
    <m/>
    <n v="3"/>
    <s v="01"/>
    <s v="408"/>
    <s v="013"/>
    <s v="00"/>
    <s v="S"/>
    <s v="P"/>
    <s v="01"/>
    <s v="04"/>
    <s v="False"/>
    <s v="True"/>
    <s v="U0032716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10"/>
    <m/>
    <m/>
    <n v="3"/>
    <s v="01"/>
    <s v="408"/>
    <s v="013"/>
    <s v="00"/>
    <s v="S"/>
    <s v="P"/>
    <s v="01"/>
    <s v="04"/>
    <s v="False"/>
    <s v="True"/>
    <s v="U0032716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10"/>
    <m/>
    <m/>
    <n v="2"/>
    <s v="01"/>
    <s v="408"/>
    <s v="013"/>
    <s v="00"/>
    <s v="S"/>
    <s v="P"/>
    <s v="01"/>
    <s v="04"/>
    <s v="False"/>
    <s v="True"/>
    <s v="U0032716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10"/>
    <m/>
    <m/>
    <n v="2"/>
    <s v="01"/>
    <s v="408"/>
    <s v="013"/>
    <s v="00"/>
    <s v="S"/>
    <s v="P"/>
    <s v="01"/>
    <s v="04"/>
    <s v="False"/>
    <s v="True"/>
    <s v="U0032716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2"/>
    <m/>
    <m/>
    <n v="1"/>
    <s v="01"/>
    <s v="408"/>
    <s v="013"/>
    <s v="00"/>
    <s v="S"/>
    <s v="P"/>
    <s v="01"/>
    <s v="04"/>
    <s v="False"/>
    <s v="True"/>
    <s v="U0032716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10"/>
    <m/>
    <m/>
    <n v="1"/>
    <s v="01"/>
    <s v="408"/>
    <s v="013"/>
    <s v="00"/>
    <s v="S"/>
    <s v="P"/>
    <s v="01"/>
    <s v="04"/>
    <s v="False"/>
    <s v="True"/>
    <s v="U0032716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1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1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1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1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1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1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1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6"/>
    <m/>
    <m/>
    <n v="5"/>
    <s v="01"/>
    <s v="408"/>
    <s v="013"/>
    <s v="00"/>
    <s v="S"/>
    <s v="P"/>
    <s v="01"/>
    <s v="04"/>
    <s v="False"/>
    <s v="True"/>
    <s v="U003271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1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1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1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6"/>
    <m/>
    <m/>
    <n v="4"/>
    <s v="01"/>
    <s v="408"/>
    <s v="013"/>
    <s v="00"/>
    <s v="S"/>
    <s v="P"/>
    <s v="01"/>
    <s v="04"/>
    <s v="False"/>
    <s v="True"/>
    <s v="U003271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6"/>
    <m/>
    <m/>
    <n v="5"/>
    <s v="01"/>
    <s v="408"/>
    <s v="013"/>
    <s v="00"/>
    <s v="S"/>
    <s v="P"/>
    <s v="01"/>
    <s v="04"/>
    <s v="False"/>
    <s v="True"/>
    <s v="U003271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1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1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1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1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1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1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6"/>
    <m/>
    <m/>
    <n v="4"/>
    <s v="01"/>
    <s v="408"/>
    <s v="013"/>
    <s v="00"/>
    <s v="S"/>
    <s v="P"/>
    <s v="01"/>
    <s v="04"/>
    <s v="False"/>
    <s v="True"/>
    <s v="U0032709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09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09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09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09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0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0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6"/>
    <m/>
    <m/>
    <n v="4"/>
    <s v="01"/>
    <s v="408"/>
    <s v="013"/>
    <s v="00"/>
    <s v="S"/>
    <s v="P"/>
    <s v="01"/>
    <s v="04"/>
    <s v="False"/>
    <s v="True"/>
    <s v="U003270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0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0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6"/>
    <m/>
    <m/>
    <n v="4"/>
    <s v="01"/>
    <s v="408"/>
    <s v="013"/>
    <s v="00"/>
    <s v="S"/>
    <s v="P"/>
    <s v="01"/>
    <s v="04"/>
    <s v="False"/>
    <s v="True"/>
    <s v="U003270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0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0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0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0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06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06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06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06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06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0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6"/>
    <m/>
    <m/>
    <n v="3"/>
    <s v="01"/>
    <s v="408"/>
    <s v="013"/>
    <s v="00"/>
    <s v="S"/>
    <s v="P"/>
    <s v="01"/>
    <s v="04"/>
    <s v="False"/>
    <s v="True"/>
    <s v="U003270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6"/>
    <m/>
    <m/>
    <n v="2"/>
    <s v="01"/>
    <s v="408"/>
    <s v="013"/>
    <s v="00"/>
    <s v="S"/>
    <s v="P"/>
    <s v="01"/>
    <s v="04"/>
    <s v="False"/>
    <s v="True"/>
    <s v="U003270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0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6"/>
    <m/>
    <m/>
    <n v="1"/>
    <s v="01"/>
    <s v="408"/>
    <s v="013"/>
    <s v="00"/>
    <s v="S"/>
    <s v="P"/>
    <s v="01"/>
    <s v="04"/>
    <s v="False"/>
    <s v="True"/>
    <s v="U0032705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70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4"/>
    <m/>
    <m/>
    <n v="1"/>
    <s v="01"/>
    <s v="408"/>
    <s v="013"/>
    <s v="00"/>
    <s v="S"/>
    <s v="P"/>
    <s v="01"/>
    <s v="04"/>
    <s v="False"/>
    <s v="True"/>
    <s v="U003270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4"/>
    <m/>
    <m/>
    <n v="3"/>
    <s v="01"/>
    <s v="408"/>
    <s v="013"/>
    <s v="00"/>
    <s v="S"/>
    <s v="P"/>
    <s v="01"/>
    <s v="04"/>
    <s v="False"/>
    <s v="True"/>
    <s v="U003270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4"/>
    <m/>
    <m/>
    <n v="3"/>
    <s v="01"/>
    <s v="408"/>
    <s v="013"/>
    <s v="00"/>
    <s v="S"/>
    <s v="P"/>
    <s v="01"/>
    <s v="04"/>
    <s v="False"/>
    <s v="True"/>
    <s v="U003270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4"/>
    <m/>
    <m/>
    <n v="3"/>
    <s v="01"/>
    <s v="408"/>
    <s v="013"/>
    <s v="00"/>
    <s v="S"/>
    <s v="P"/>
    <s v="01"/>
    <s v="04"/>
    <s v="False"/>
    <s v="True"/>
    <s v="U0032704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70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70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4"/>
    <m/>
    <m/>
    <n v="1"/>
    <s v="01"/>
    <s v="408"/>
    <s v="013"/>
    <s v="00"/>
    <s v="S"/>
    <s v="P"/>
    <s v="01"/>
    <s v="04"/>
    <s v="False"/>
    <s v="True"/>
    <s v="U003270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4"/>
    <m/>
    <m/>
    <n v="3"/>
    <s v="01"/>
    <s v="408"/>
    <s v="013"/>
    <s v="00"/>
    <s v="S"/>
    <s v="P"/>
    <s v="01"/>
    <s v="04"/>
    <s v="False"/>
    <s v="True"/>
    <s v="U003270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4"/>
    <m/>
    <m/>
    <n v="4"/>
    <s v="01"/>
    <s v="408"/>
    <s v="013"/>
    <s v="00"/>
    <s v="S"/>
    <s v="P"/>
    <s v="01"/>
    <s v="04"/>
    <s v="False"/>
    <s v="True"/>
    <s v="U0032703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4"/>
    <m/>
    <m/>
    <n v="4"/>
    <s v="01"/>
    <s v="408"/>
    <s v="013"/>
    <s v="00"/>
    <s v="S"/>
    <s v="P"/>
    <s v="01"/>
    <s v="04"/>
    <s v="False"/>
    <s v="True"/>
    <s v="U003270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4"/>
    <m/>
    <m/>
    <n v="3"/>
    <s v="01"/>
    <s v="408"/>
    <s v="013"/>
    <s v="00"/>
    <s v="S"/>
    <s v="P"/>
    <s v="01"/>
    <s v="04"/>
    <s v="False"/>
    <s v="True"/>
    <s v="U003270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70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70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4"/>
    <m/>
    <m/>
    <n v="1"/>
    <s v="01"/>
    <s v="408"/>
    <s v="013"/>
    <s v="00"/>
    <s v="S"/>
    <s v="P"/>
    <s v="01"/>
    <s v="04"/>
    <s v="False"/>
    <s v="True"/>
    <s v="U0032702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4"/>
    <m/>
    <m/>
    <n v="5"/>
    <s v="01"/>
    <s v="408"/>
    <s v="013"/>
    <s v="00"/>
    <s v="S"/>
    <s v="P"/>
    <s v="01"/>
    <s v="04"/>
    <s v="False"/>
    <s v="True"/>
    <s v="U003270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4"/>
    <m/>
    <m/>
    <n v="1"/>
    <s v="01"/>
    <s v="408"/>
    <s v="013"/>
    <s v="00"/>
    <s v="S"/>
    <s v="P"/>
    <s v="01"/>
    <s v="04"/>
    <s v="False"/>
    <s v="True"/>
    <s v="U003270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4"/>
    <m/>
    <m/>
    <n v="3"/>
    <s v="01"/>
    <s v="408"/>
    <s v="013"/>
    <s v="00"/>
    <s v="S"/>
    <s v="P"/>
    <s v="01"/>
    <s v="04"/>
    <s v="False"/>
    <s v="True"/>
    <s v="U003270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4"/>
    <m/>
    <m/>
    <n v="1"/>
    <s v="01"/>
    <s v="408"/>
    <s v="013"/>
    <s v="00"/>
    <s v="S"/>
    <s v="P"/>
    <s v="01"/>
    <s v="04"/>
    <s v="False"/>
    <s v="True"/>
    <s v="U003270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4"/>
    <m/>
    <m/>
    <n v="1"/>
    <s v="01"/>
    <s v="408"/>
    <s v="013"/>
    <s v="00"/>
    <s v="S"/>
    <s v="P"/>
    <s v="01"/>
    <s v="04"/>
    <s v="False"/>
    <s v="True"/>
    <s v="U0032701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4"/>
    <m/>
    <m/>
    <n v="4"/>
    <s v="01"/>
    <s v="408"/>
    <s v="013"/>
    <s v="00"/>
    <s v="S"/>
    <s v="P"/>
    <s v="01"/>
    <s v="04"/>
    <s v="False"/>
    <s v="True"/>
    <s v="U003270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4"/>
    <m/>
    <m/>
    <n v="5"/>
    <s v="01"/>
    <s v="408"/>
    <s v="013"/>
    <s v="00"/>
    <s v="S"/>
    <s v="P"/>
    <s v="01"/>
    <s v="04"/>
    <s v="False"/>
    <s v="True"/>
    <s v="U003270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70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4"/>
    <m/>
    <m/>
    <n v="1"/>
    <s v="01"/>
    <s v="408"/>
    <s v="013"/>
    <s v="00"/>
    <s v="S"/>
    <s v="P"/>
    <s v="01"/>
    <s v="04"/>
    <s v="False"/>
    <s v="True"/>
    <s v="U0032700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4"/>
    <m/>
    <m/>
    <n v="3"/>
    <s v="01"/>
    <s v="408"/>
    <s v="013"/>
    <s v="00"/>
    <s v="S"/>
    <s v="P"/>
    <s v="01"/>
    <s v="04"/>
    <s v="False"/>
    <s v="True"/>
    <s v="U0032720"/>
    <n v="1"/>
    <m/>
    <n v="0"/>
    <n v="0"/>
    <m/>
    <s v="SMU"/>
    <m/>
    <m/>
    <m/>
    <m/>
    <m/>
    <m/>
    <s v="1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705"/>
    <n v="1"/>
    <m/>
    <n v="0"/>
    <n v="0"/>
    <m/>
    <s v="SMU"/>
    <m/>
    <m/>
    <m/>
    <m/>
    <m/>
    <m/>
    <s v="1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4"/>
    <m/>
    <m/>
    <n v="1"/>
    <s v="01"/>
    <s v="408"/>
    <s v="013"/>
    <s v="00"/>
    <s v="S"/>
    <s v="P"/>
    <s v="01"/>
    <s v="04"/>
    <s v="False"/>
    <s v="True"/>
    <s v="U0032705"/>
    <n v="1"/>
    <m/>
    <n v="0"/>
    <n v="0"/>
    <m/>
    <s v="SMU"/>
    <m/>
    <m/>
    <m/>
    <m/>
    <m/>
    <m/>
    <s v="1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4"/>
    <m/>
    <m/>
    <n v="1"/>
    <s v="01"/>
    <s v="408"/>
    <s v="013"/>
    <s v="00"/>
    <s v="S"/>
    <s v="P"/>
    <s v="01"/>
    <s v="04"/>
    <s v="False"/>
    <s v="True"/>
    <s v="U0032706"/>
    <n v="1"/>
    <m/>
    <n v="0"/>
    <n v="0"/>
    <m/>
    <s v="SMU"/>
    <m/>
    <m/>
    <m/>
    <m/>
    <m/>
    <m/>
    <s v="106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4"/>
    <m/>
    <m/>
    <n v="3"/>
    <s v="01"/>
    <s v="408"/>
    <s v="013"/>
    <s v="00"/>
    <s v="S"/>
    <s v="P"/>
    <s v="01"/>
    <s v="04"/>
    <s v="False"/>
    <s v="True"/>
    <s v="U003269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69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4"/>
    <m/>
    <m/>
    <n v="4"/>
    <s v="01"/>
    <s v="408"/>
    <s v="013"/>
    <s v="00"/>
    <s v="S"/>
    <s v="P"/>
    <s v="01"/>
    <s v="04"/>
    <s v="False"/>
    <s v="True"/>
    <s v="U003269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69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4"/>
    <m/>
    <m/>
    <n v="1"/>
    <s v="01"/>
    <s v="408"/>
    <s v="013"/>
    <s v="00"/>
    <s v="S"/>
    <s v="P"/>
    <s v="01"/>
    <s v="04"/>
    <s v="False"/>
    <s v="True"/>
    <s v="U0032698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6"/>
    <s v="BONIS SPA"/>
    <s v="STOCK SCAFFALE MP"/>
    <x v="4"/>
    <m/>
    <m/>
    <n v="3"/>
    <s v="01"/>
    <s v="408"/>
    <s v="013"/>
    <s v="00"/>
    <s v="S"/>
    <s v="P"/>
    <s v="01"/>
    <s v="04"/>
    <s v="False"/>
    <s v="True"/>
    <s v="U003269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7"/>
    <s v="BONIS SPA"/>
    <s v="STOCK SCAFFALE MP"/>
    <x v="4"/>
    <m/>
    <m/>
    <n v="3"/>
    <s v="01"/>
    <s v="408"/>
    <s v="013"/>
    <s v="00"/>
    <s v="S"/>
    <s v="P"/>
    <s v="01"/>
    <s v="04"/>
    <s v="False"/>
    <s v="True"/>
    <s v="U003269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8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69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5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69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94"/>
    <x v="28"/>
    <m/>
    <x v="19"/>
    <s v="BONIS SPA"/>
    <s v="STOCK SCAFFALE MP"/>
    <x v="4"/>
    <m/>
    <m/>
    <n v="2"/>
    <s v="01"/>
    <s v="408"/>
    <s v="013"/>
    <s v="00"/>
    <s v="S"/>
    <s v="P"/>
    <s v="01"/>
    <s v="04"/>
    <s v="False"/>
    <s v="True"/>
    <s v="U0032697"/>
    <n v="1"/>
    <m/>
    <n v="0"/>
    <n v="0"/>
    <m/>
    <s v="SMU"/>
    <m/>
    <m/>
    <m/>
    <m/>
    <m/>
    <m/>
    <s v="F11"/>
    <s v="WOMAN"/>
    <s v="PA"/>
    <m/>
    <m/>
    <m/>
    <m/>
    <s v="False"/>
    <m/>
    <s v="DECOR"/>
    <m/>
    <m/>
    <m/>
    <m/>
    <m/>
    <m/>
    <s v="PF"/>
    <n v="0"/>
    <n v="0"/>
    <n v="0"/>
    <n v="0"/>
    <n v="0"/>
    <s v="R GOMMA CANVAS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4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6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1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1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1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1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1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1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1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91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0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0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0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0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90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89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89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89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89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"/>
    <m/>
    <m/>
    <n v="3"/>
    <s v="01"/>
    <s v="408"/>
    <s v="006"/>
    <s v="00"/>
    <s v="S"/>
    <s v="P"/>
    <s v="01"/>
    <s v="04"/>
    <s v="False"/>
    <s v="True"/>
    <s v="U0032689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89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89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89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88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88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88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88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88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88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"/>
    <m/>
    <m/>
    <n v="3"/>
    <s v="01"/>
    <s v="408"/>
    <s v="006"/>
    <s v="00"/>
    <s v="S"/>
    <s v="P"/>
    <s v="01"/>
    <s v="04"/>
    <s v="False"/>
    <s v="True"/>
    <s v="U0032688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2"/>
    <m/>
    <m/>
    <n v="2"/>
    <s v="01"/>
    <s v="408"/>
    <s v="006"/>
    <s v="00"/>
    <s v="S"/>
    <s v="P"/>
    <s v="01"/>
    <s v="04"/>
    <s v="False"/>
    <s v="True"/>
    <s v="U0032688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5"/>
    <s v="BONIS SPA"/>
    <s v="STOCK SCAFFALE MP"/>
    <x v="2"/>
    <m/>
    <m/>
    <n v="1"/>
    <s v="01"/>
    <s v="408"/>
    <s v="006"/>
    <s v="00"/>
    <s v="S"/>
    <s v="P"/>
    <s v="01"/>
    <s v="04"/>
    <s v="False"/>
    <s v="True"/>
    <s v="U0032688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12"/>
    <m/>
    <m/>
    <n v="3"/>
    <s v="01"/>
    <s v="408"/>
    <s v="006"/>
    <s v="00"/>
    <s v="S"/>
    <s v="P"/>
    <s v="01"/>
    <s v="04"/>
    <s v="False"/>
    <s v="True"/>
    <s v="U0032687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7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7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12"/>
    <m/>
    <m/>
    <n v="3"/>
    <s v="01"/>
    <s v="408"/>
    <s v="006"/>
    <s v="00"/>
    <s v="S"/>
    <s v="P"/>
    <s v="01"/>
    <s v="04"/>
    <s v="False"/>
    <s v="True"/>
    <s v="U0032687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7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12"/>
    <m/>
    <m/>
    <n v="3"/>
    <s v="01"/>
    <s v="408"/>
    <s v="006"/>
    <s v="00"/>
    <s v="S"/>
    <s v="P"/>
    <s v="01"/>
    <s v="04"/>
    <s v="False"/>
    <s v="True"/>
    <s v="U0032687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12"/>
    <m/>
    <m/>
    <n v="3"/>
    <s v="01"/>
    <s v="408"/>
    <s v="006"/>
    <s v="00"/>
    <s v="S"/>
    <s v="P"/>
    <s v="01"/>
    <s v="04"/>
    <s v="False"/>
    <s v="True"/>
    <s v="U0032687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7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4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7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0"/>
    <m/>
    <m/>
    <n v="2"/>
    <s v="01"/>
    <s v="408"/>
    <s v="006"/>
    <s v="00"/>
    <s v="S"/>
    <s v="P"/>
    <s v="01"/>
    <s v="04"/>
    <s v="False"/>
    <s v="True"/>
    <s v="U003268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5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4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6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4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5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6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5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4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6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5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12"/>
    <m/>
    <m/>
    <n v="2"/>
    <s v="01"/>
    <s v="408"/>
    <s v="006"/>
    <s v="00"/>
    <s v="S"/>
    <s v="P"/>
    <s v="01"/>
    <s v="04"/>
    <s v="False"/>
    <s v="True"/>
    <s v="U003268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0"/>
    <m/>
    <m/>
    <n v="3"/>
    <s v="01"/>
    <s v="408"/>
    <s v="006"/>
    <s v="00"/>
    <s v="S"/>
    <s v="P"/>
    <s v="01"/>
    <s v="04"/>
    <s v="False"/>
    <s v="True"/>
    <s v="U003268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0"/>
    <m/>
    <m/>
    <n v="2"/>
    <s v="01"/>
    <s v="408"/>
    <s v="006"/>
    <s v="00"/>
    <s v="S"/>
    <s v="P"/>
    <s v="01"/>
    <s v="04"/>
    <s v="False"/>
    <s v="True"/>
    <s v="U003268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0"/>
    <m/>
    <m/>
    <n v="3"/>
    <s v="01"/>
    <s v="408"/>
    <s v="006"/>
    <s v="00"/>
    <s v="S"/>
    <s v="P"/>
    <s v="01"/>
    <s v="04"/>
    <s v="False"/>
    <s v="True"/>
    <s v="U003268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20"/>
    <m/>
    <m/>
    <n v="2"/>
    <s v="01"/>
    <s v="408"/>
    <s v="006"/>
    <s v="00"/>
    <s v="S"/>
    <s v="P"/>
    <s v="01"/>
    <s v="04"/>
    <s v="False"/>
    <s v="True"/>
    <s v="U003268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0"/>
    <m/>
    <m/>
    <n v="2"/>
    <s v="01"/>
    <s v="408"/>
    <s v="006"/>
    <s v="00"/>
    <s v="S"/>
    <s v="P"/>
    <s v="01"/>
    <s v="04"/>
    <s v="False"/>
    <s v="True"/>
    <s v="U003268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4"/>
    <s v="BONIS SPA"/>
    <s v="STOCK SCAFFALE MP"/>
    <x v="20"/>
    <m/>
    <m/>
    <n v="1"/>
    <s v="01"/>
    <s v="408"/>
    <s v="006"/>
    <s v="00"/>
    <s v="S"/>
    <s v="P"/>
    <s v="01"/>
    <s v="04"/>
    <s v="False"/>
    <s v="True"/>
    <s v="U003268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0"/>
    <m/>
    <m/>
    <n v="1"/>
    <s v="01"/>
    <s v="408"/>
    <s v="006"/>
    <s v="00"/>
    <s v="S"/>
    <s v="P"/>
    <s v="01"/>
    <s v="04"/>
    <s v="False"/>
    <s v="True"/>
    <s v="U003268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20"/>
    <m/>
    <m/>
    <n v="2"/>
    <s v="01"/>
    <s v="408"/>
    <s v="006"/>
    <s v="00"/>
    <s v="S"/>
    <s v="P"/>
    <s v="01"/>
    <s v="04"/>
    <s v="False"/>
    <s v="True"/>
    <s v="U0032683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5"/>
    <s v="BONIS SPA"/>
    <s v="STOCK SCAFFALE MP"/>
    <x v="20"/>
    <m/>
    <m/>
    <n v="2"/>
    <s v="01"/>
    <s v="408"/>
    <s v="006"/>
    <s v="00"/>
    <s v="S"/>
    <s v="P"/>
    <s v="01"/>
    <s v="04"/>
    <s v="False"/>
    <s v="True"/>
    <s v="U003268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5"/>
    <s v="BONIS SPA"/>
    <s v="STOCK SCAFFALE MP"/>
    <x v="20"/>
    <m/>
    <m/>
    <n v="1"/>
    <s v="01"/>
    <s v="408"/>
    <s v="006"/>
    <s v="00"/>
    <s v="S"/>
    <s v="P"/>
    <s v="01"/>
    <s v="04"/>
    <s v="False"/>
    <s v="True"/>
    <s v="U003268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20"/>
    <m/>
    <m/>
    <n v="1"/>
    <s v="01"/>
    <s v="408"/>
    <s v="006"/>
    <s v="00"/>
    <s v="S"/>
    <s v="P"/>
    <s v="01"/>
    <s v="04"/>
    <s v="False"/>
    <s v="True"/>
    <s v="U003268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3"/>
    <s v="BONIS SPA"/>
    <s v="STOCK SCAFFALE MP"/>
    <x v="20"/>
    <m/>
    <m/>
    <n v="3"/>
    <s v="01"/>
    <s v="408"/>
    <s v="006"/>
    <s v="00"/>
    <s v="S"/>
    <s v="P"/>
    <s v="01"/>
    <s v="04"/>
    <s v="False"/>
    <s v="True"/>
    <s v="U003268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2"/>
    <s v="BONIS SPA"/>
    <s v="STOCK SCAFFALE MP"/>
    <x v="20"/>
    <m/>
    <m/>
    <n v="2"/>
    <s v="01"/>
    <s v="408"/>
    <s v="006"/>
    <s v="00"/>
    <s v="S"/>
    <s v="P"/>
    <s v="01"/>
    <s v="04"/>
    <s v="False"/>
    <s v="True"/>
    <s v="U003268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20"/>
    <m/>
    <m/>
    <n v="1"/>
    <s v="01"/>
    <s v="408"/>
    <s v="006"/>
    <s v="00"/>
    <s v="S"/>
    <s v="P"/>
    <s v="01"/>
    <s v="04"/>
    <s v="False"/>
    <s v="True"/>
    <s v="U003268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0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4"/>
    <s v="BONIS SPA"/>
    <s v="STOCK SCAFFALE MP"/>
    <x v="20"/>
    <m/>
    <m/>
    <n v="2"/>
    <s v="01"/>
    <s v="408"/>
    <s v="006"/>
    <s v="00"/>
    <s v="S"/>
    <s v="P"/>
    <s v="01"/>
    <s v="04"/>
    <s v="False"/>
    <s v="True"/>
    <s v="U003268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3"/>
    <s v="BONIS SPA"/>
    <s v="STOCK SCAFFALE MP"/>
    <x v="20"/>
    <m/>
    <m/>
    <n v="1"/>
    <s v="01"/>
    <s v="408"/>
    <s v="006"/>
    <s v="00"/>
    <s v="S"/>
    <s v="P"/>
    <s v="01"/>
    <s v="04"/>
    <s v="False"/>
    <s v="True"/>
    <s v="U003268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22"/>
    <s v="BONIS SPA"/>
    <s v="STOCK SCAFFALE MP"/>
    <x v="20"/>
    <m/>
    <m/>
    <n v="2"/>
    <s v="01"/>
    <s v="408"/>
    <s v="006"/>
    <s v="00"/>
    <s v="S"/>
    <s v="P"/>
    <s v="01"/>
    <s v="04"/>
    <s v="False"/>
    <s v="True"/>
    <s v="U003268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3"/>
    <x v="65"/>
    <m/>
    <x v="17"/>
    <s v="BONIS SPA"/>
    <s v="STOCK SCAFFALE MP"/>
    <x v="20"/>
    <m/>
    <m/>
    <n v="1"/>
    <s v="01"/>
    <s v="408"/>
    <s v="006"/>
    <s v="00"/>
    <s v="S"/>
    <s v="P"/>
    <s v="01"/>
    <s v="04"/>
    <s v="False"/>
    <s v="True"/>
    <s v="U0032682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476"/>
    <x v="19"/>
    <m/>
    <x v="17"/>
    <s v="BONIS SPA"/>
    <s v="STOCK SCAFFALE MP"/>
    <x v="2"/>
    <m/>
    <m/>
    <n v="1"/>
    <s v="01"/>
    <s v="408"/>
    <s v="007"/>
    <s v="00"/>
    <s v="S"/>
    <s v="P"/>
    <s v="01"/>
    <s v="04"/>
    <s v="False"/>
    <s v="True"/>
    <s v="U0032743"/>
    <n v="1"/>
    <m/>
    <n v="0"/>
    <n v="0"/>
    <m/>
    <m/>
    <m/>
    <m/>
    <m/>
    <m/>
    <m/>
    <m/>
    <s v="F06"/>
    <s v="WOMAN"/>
    <s v="PA"/>
    <m/>
    <m/>
    <m/>
    <m/>
    <s v="False"/>
    <m/>
    <s v="ETNA"/>
    <m/>
    <m/>
    <m/>
    <m/>
    <m/>
    <m/>
    <s v="PF"/>
    <n v="0"/>
    <n v="0"/>
    <n v="0"/>
    <n v="0"/>
    <n v="0"/>
    <s v="A+TOMAIA PU"/>
    <s v="Bonis SpA"/>
    <m/>
    <m/>
    <m/>
    <m/>
    <m/>
    <m/>
    <m/>
    <m/>
    <m/>
    <m/>
    <m/>
    <m/>
  </r>
  <r>
    <m/>
    <n v="2491"/>
    <x v="18"/>
    <m/>
    <x v="14"/>
    <s v="BONIS SPA"/>
    <s v="STOCK SCAFFALE MP"/>
    <x v="29"/>
    <m/>
    <m/>
    <n v="1"/>
    <s v="01"/>
    <s v="408"/>
    <s v="012"/>
    <s v="00"/>
    <s v="S"/>
    <s v="P"/>
    <s v="01"/>
    <s v="04"/>
    <s v="False"/>
    <s v="True"/>
    <s v="U0033220"/>
    <n v="1"/>
    <m/>
    <n v="0"/>
    <n v="0"/>
    <m/>
    <m/>
    <m/>
    <m/>
    <m/>
    <m/>
    <m/>
    <m/>
    <s v="F10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85"/>
    <x v="18"/>
    <m/>
    <x v="14"/>
    <s v="BONIS SPA"/>
    <s v="STOCK SCAFFALE MP"/>
    <x v="29"/>
    <m/>
    <m/>
    <n v="1"/>
    <s v="01"/>
    <s v="408"/>
    <s v="010"/>
    <s v="00"/>
    <s v="S"/>
    <s v="P"/>
    <s v="01"/>
    <s v="04"/>
    <s v="False"/>
    <s v="True"/>
    <s v="U0032676"/>
    <n v="1"/>
    <m/>
    <n v="0"/>
    <n v="0"/>
    <m/>
    <m/>
    <m/>
    <m/>
    <m/>
    <m/>
    <m/>
    <m/>
    <s v="106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76"/>
    <x v="18"/>
    <m/>
    <x v="17"/>
    <s v="BONIS SPA"/>
    <s v="STOCK SCAFFALE MP"/>
    <x v="29"/>
    <m/>
    <m/>
    <n v="1"/>
    <s v="01"/>
    <s v="408"/>
    <s v="007"/>
    <s v="00"/>
    <s v="S"/>
    <s v="P"/>
    <s v="01"/>
    <s v="04"/>
    <s v="False"/>
    <s v="True"/>
    <s v="U0032743"/>
    <n v="1"/>
    <m/>
    <n v="0"/>
    <n v="0"/>
    <m/>
    <m/>
    <m/>
    <m/>
    <m/>
    <m/>
    <m/>
    <m/>
    <s v="F06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85"/>
    <x v="18"/>
    <m/>
    <x v="17"/>
    <s v="BONIS SPA"/>
    <s v="STOCK SCAFFALE MP"/>
    <x v="29"/>
    <m/>
    <m/>
    <n v="3"/>
    <s v="01"/>
    <s v="408"/>
    <s v="010"/>
    <s v="00"/>
    <s v="S"/>
    <s v="P"/>
    <s v="01"/>
    <s v="04"/>
    <s v="False"/>
    <s v="True"/>
    <s v="U0032662"/>
    <n v="1"/>
    <m/>
    <n v="0"/>
    <n v="0"/>
    <m/>
    <m/>
    <m/>
    <m/>
    <m/>
    <m/>
    <m/>
    <m/>
    <s v="F11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85"/>
    <x v="18"/>
    <m/>
    <x v="16"/>
    <s v="BONIS SPA"/>
    <s v="STOCK SCAFFALE MP"/>
    <x v="29"/>
    <m/>
    <m/>
    <n v="2"/>
    <s v="01"/>
    <s v="408"/>
    <s v="010"/>
    <s v="00"/>
    <s v="S"/>
    <s v="P"/>
    <s v="01"/>
    <s v="04"/>
    <s v="False"/>
    <s v="True"/>
    <s v="U0032662"/>
    <n v="1"/>
    <m/>
    <n v="0"/>
    <n v="0"/>
    <m/>
    <m/>
    <m/>
    <m/>
    <m/>
    <m/>
    <m/>
    <m/>
    <s v="F11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85"/>
    <x v="18"/>
    <m/>
    <x v="14"/>
    <s v="BONIS SPA"/>
    <s v="STOCK SCAFFALE MP"/>
    <x v="29"/>
    <m/>
    <m/>
    <n v="1"/>
    <s v="01"/>
    <s v="408"/>
    <s v="010"/>
    <s v="00"/>
    <s v="S"/>
    <s v="P"/>
    <s v="01"/>
    <s v="04"/>
    <s v="False"/>
    <s v="True"/>
    <s v="U0032662"/>
    <n v="1"/>
    <m/>
    <n v="0"/>
    <n v="0"/>
    <m/>
    <m/>
    <m/>
    <m/>
    <m/>
    <m/>
    <m/>
    <m/>
    <s v="F11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85"/>
    <x v="18"/>
    <m/>
    <x v="15"/>
    <s v="BONIS SPA"/>
    <s v="STOCK SCAFFALE MP"/>
    <x v="29"/>
    <m/>
    <m/>
    <n v="2"/>
    <s v="01"/>
    <s v="408"/>
    <s v="010"/>
    <s v="00"/>
    <s v="S"/>
    <s v="P"/>
    <s v="01"/>
    <s v="04"/>
    <s v="False"/>
    <s v="True"/>
    <s v="U0032662"/>
    <n v="1"/>
    <m/>
    <n v="0"/>
    <n v="0"/>
    <m/>
    <m/>
    <m/>
    <m/>
    <m/>
    <m/>
    <m/>
    <m/>
    <s v="F11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85"/>
    <x v="18"/>
    <m/>
    <x v="16"/>
    <s v="BONIS SPA"/>
    <s v="STOCK SCAFFALE MP"/>
    <x v="29"/>
    <m/>
    <m/>
    <n v="2"/>
    <s v="01"/>
    <s v="408"/>
    <s v="010"/>
    <s v="00"/>
    <s v="S"/>
    <s v="P"/>
    <s v="01"/>
    <s v="04"/>
    <s v="False"/>
    <s v="True"/>
    <s v="U0032660"/>
    <n v="1"/>
    <m/>
    <n v="0"/>
    <n v="0"/>
    <m/>
    <m/>
    <m/>
    <m/>
    <m/>
    <m/>
    <m/>
    <m/>
    <s v="F11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85"/>
    <x v="18"/>
    <m/>
    <x v="17"/>
    <s v="BONIS SPA"/>
    <s v="STOCK SCAFFALE MP"/>
    <x v="29"/>
    <m/>
    <m/>
    <n v="2"/>
    <s v="01"/>
    <s v="408"/>
    <s v="010"/>
    <s v="00"/>
    <s v="S"/>
    <s v="P"/>
    <s v="01"/>
    <s v="04"/>
    <s v="False"/>
    <s v="True"/>
    <s v="U0032660"/>
    <n v="1"/>
    <m/>
    <n v="0"/>
    <n v="0"/>
    <m/>
    <m/>
    <m/>
    <m/>
    <m/>
    <m/>
    <m/>
    <m/>
    <s v="F11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85"/>
    <x v="18"/>
    <m/>
    <x v="15"/>
    <s v="BONIS SPA"/>
    <s v="STOCK SCAFFALE MP"/>
    <x v="29"/>
    <m/>
    <m/>
    <n v="2"/>
    <s v="01"/>
    <s v="408"/>
    <s v="010"/>
    <s v="00"/>
    <s v="S"/>
    <s v="P"/>
    <s v="01"/>
    <s v="04"/>
    <s v="False"/>
    <s v="True"/>
    <s v="U0032660"/>
    <n v="1"/>
    <m/>
    <n v="0"/>
    <n v="0"/>
    <m/>
    <m/>
    <m/>
    <m/>
    <m/>
    <m/>
    <m/>
    <m/>
    <s v="F11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85"/>
    <x v="18"/>
    <m/>
    <x v="14"/>
    <s v="BONIS SPA"/>
    <s v="STOCK SCAFFALE MP"/>
    <x v="29"/>
    <m/>
    <m/>
    <n v="2"/>
    <s v="01"/>
    <s v="408"/>
    <s v="010"/>
    <s v="00"/>
    <s v="S"/>
    <s v="P"/>
    <s v="01"/>
    <s v="04"/>
    <s v="False"/>
    <s v="True"/>
    <s v="U0032660"/>
    <n v="1"/>
    <m/>
    <n v="0"/>
    <n v="0"/>
    <m/>
    <m/>
    <m/>
    <m/>
    <m/>
    <m/>
    <m/>
    <m/>
    <s v="F11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91"/>
    <x v="18"/>
    <m/>
    <x v="16"/>
    <s v="BONIS SPA"/>
    <s v="STOCK SCAFFALE MP"/>
    <x v="29"/>
    <m/>
    <m/>
    <n v="1"/>
    <s v="01"/>
    <s v="408"/>
    <s v="012"/>
    <s v="00"/>
    <s v="S"/>
    <s v="P"/>
    <s v="01"/>
    <s v="04"/>
    <s v="False"/>
    <s v="True"/>
    <s v="U0033220"/>
    <n v="1"/>
    <m/>
    <n v="0"/>
    <n v="0"/>
    <m/>
    <m/>
    <m/>
    <m/>
    <m/>
    <m/>
    <m/>
    <m/>
    <s v="F10"/>
    <s v="WOMAN"/>
    <s v="PA"/>
    <m/>
    <m/>
    <m/>
    <m/>
    <s v="False"/>
    <m/>
    <s v="ELIDE"/>
    <m/>
    <m/>
    <m/>
    <m/>
    <m/>
    <m/>
    <s v="PF"/>
    <n v="0"/>
    <n v="0"/>
    <n v="0"/>
    <n v="0"/>
    <n v="0"/>
    <s v="A+TOMAIA MESH"/>
    <s v="Bonis SpA"/>
    <m/>
    <m/>
    <m/>
    <m/>
    <m/>
    <m/>
    <m/>
    <m/>
    <m/>
    <m/>
    <m/>
    <m/>
  </r>
  <r>
    <m/>
    <n v="2458"/>
    <x v="66"/>
    <m/>
    <x v="20"/>
    <s v="BONIS SPA"/>
    <s v="STOCK SCAFFALE MP"/>
    <x v="10"/>
    <m/>
    <m/>
    <n v="4"/>
    <s v="01"/>
    <s v="408"/>
    <s v="001"/>
    <s v="00"/>
    <s v="S"/>
    <s v="P"/>
    <s v="01"/>
    <s v="04"/>
    <s v="False"/>
    <s v="True"/>
    <s v="U0032656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19"/>
    <s v="BONIS SPA"/>
    <s v="STOCK SCAFFALE MP"/>
    <x v="10"/>
    <m/>
    <m/>
    <n v="3"/>
    <s v="01"/>
    <s v="408"/>
    <s v="001"/>
    <s v="00"/>
    <s v="S"/>
    <s v="P"/>
    <s v="01"/>
    <s v="04"/>
    <s v="False"/>
    <s v="True"/>
    <s v="U0032656"/>
    <n v="1"/>
    <m/>
    <n v="0"/>
    <n v="0"/>
    <m/>
    <s v="SMU"/>
    <m/>
    <m/>
    <m/>
    <m/>
    <m/>
    <m/>
    <s v="F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18"/>
    <s v="BONIS SPA"/>
    <s v="STOCK SCAFFALE MP"/>
    <x v="10"/>
    <m/>
    <m/>
    <n v="4"/>
    <s v="01"/>
    <s v="408"/>
    <s v="001"/>
    <s v="00"/>
    <s v="S"/>
    <s v="P"/>
    <s v="01"/>
    <s v="04"/>
    <s v="False"/>
    <s v="True"/>
    <s v="U0032656"/>
    <n v="1"/>
    <m/>
    <n v="0"/>
    <n v="0"/>
    <m/>
    <s v="SMU"/>
    <m/>
    <m/>
    <m/>
    <m/>
    <m/>
    <m/>
    <s v="F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9"/>
    <s v="BONIS SPA"/>
    <s v="STOCK SCAFFALE MP"/>
    <x v="10"/>
    <m/>
    <m/>
    <n v="1"/>
    <s v="01"/>
    <s v="408"/>
    <s v="001"/>
    <s v="00"/>
    <s v="S"/>
    <s v="P"/>
    <s v="01"/>
    <s v="04"/>
    <s v="False"/>
    <s v="True"/>
    <s v="U0032656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9"/>
    <s v="BONIS SPA"/>
    <s v="STOCK SCAFFALE MP"/>
    <x v="10"/>
    <m/>
    <m/>
    <n v="2"/>
    <s v="01"/>
    <s v="408"/>
    <s v="001"/>
    <s v="00"/>
    <s v="S"/>
    <s v="P"/>
    <s v="01"/>
    <s v="04"/>
    <s v="False"/>
    <s v="True"/>
    <s v="U003265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8"/>
    <s v="BONIS SPA"/>
    <s v="STOCK SCAFFALE MP"/>
    <x v="10"/>
    <m/>
    <m/>
    <n v="2"/>
    <s v="01"/>
    <s v="408"/>
    <s v="001"/>
    <s v="00"/>
    <s v="S"/>
    <s v="P"/>
    <s v="01"/>
    <s v="04"/>
    <s v="False"/>
    <s v="True"/>
    <s v="U003265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19"/>
    <s v="BONIS SPA"/>
    <s v="STOCK SCAFFALE MP"/>
    <x v="10"/>
    <m/>
    <m/>
    <n v="3"/>
    <s v="01"/>
    <s v="408"/>
    <s v="001"/>
    <s v="00"/>
    <s v="S"/>
    <s v="P"/>
    <s v="01"/>
    <s v="04"/>
    <s v="False"/>
    <s v="True"/>
    <s v="U003265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20"/>
    <s v="BONIS SPA"/>
    <s v="STOCK SCAFFALE MP"/>
    <x v="10"/>
    <m/>
    <m/>
    <n v="3"/>
    <s v="01"/>
    <s v="408"/>
    <s v="001"/>
    <s v="00"/>
    <s v="S"/>
    <s v="P"/>
    <s v="01"/>
    <s v="04"/>
    <s v="False"/>
    <s v="True"/>
    <s v="U003265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18"/>
    <s v="BONIS SPA"/>
    <s v="STOCK SCAFFALE MP"/>
    <x v="10"/>
    <m/>
    <m/>
    <n v="1"/>
    <s v="01"/>
    <s v="408"/>
    <s v="001"/>
    <s v="00"/>
    <s v="S"/>
    <s v="P"/>
    <s v="01"/>
    <s v="04"/>
    <s v="False"/>
    <s v="True"/>
    <s v="U003265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7"/>
    <m/>
    <x v="20"/>
    <s v="BONIS SPA"/>
    <s v="STOCK SCAFFALE MP"/>
    <x v="8"/>
    <m/>
    <m/>
    <n v="1"/>
    <s v="01"/>
    <s v="408"/>
    <s v="001"/>
    <s v="00"/>
    <s v="S"/>
    <s v="P"/>
    <s v="01"/>
    <s v="04"/>
    <s v="False"/>
    <s v="True"/>
    <s v="U0032655"/>
    <n v="1"/>
    <m/>
    <n v="0"/>
    <n v="0"/>
    <m/>
    <s v="SMU"/>
    <m/>
    <m/>
    <m/>
    <m/>
    <m/>
    <m/>
    <s v="F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8"/>
    <s v="BONIS SPA"/>
    <s v="STOCK SCAFFALE MP"/>
    <x v="10"/>
    <m/>
    <m/>
    <n v="1"/>
    <s v="01"/>
    <s v="408"/>
    <s v="001"/>
    <s v="00"/>
    <s v="S"/>
    <s v="P"/>
    <s v="01"/>
    <s v="04"/>
    <s v="False"/>
    <s v="True"/>
    <s v="U0032645"/>
    <n v="1"/>
    <m/>
    <n v="0"/>
    <n v="0"/>
    <m/>
    <s v="SMU"/>
    <m/>
    <m/>
    <m/>
    <m/>
    <m/>
    <m/>
    <s v="F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9"/>
    <s v="BONIS SPA"/>
    <s v="STOCK SCAFFALE MP"/>
    <x v="10"/>
    <m/>
    <m/>
    <n v="1"/>
    <s v="01"/>
    <s v="408"/>
    <s v="001"/>
    <s v="00"/>
    <s v="S"/>
    <s v="P"/>
    <s v="01"/>
    <s v="04"/>
    <s v="False"/>
    <s v="True"/>
    <s v="U0032645"/>
    <n v="1"/>
    <m/>
    <n v="0"/>
    <n v="0"/>
    <m/>
    <s v="SMU"/>
    <m/>
    <m/>
    <m/>
    <m/>
    <m/>
    <m/>
    <s v="F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6"/>
    <m/>
    <x v="9"/>
    <s v="BONIS SPA"/>
    <s v="STOCK SCAFFALE MP"/>
    <x v="10"/>
    <m/>
    <m/>
    <n v="3"/>
    <s v="01"/>
    <s v="408"/>
    <s v="001"/>
    <s v="00"/>
    <s v="S"/>
    <s v="P"/>
    <s v="01"/>
    <s v="04"/>
    <s v="False"/>
    <s v="True"/>
    <s v="U0032645"/>
    <n v="1"/>
    <m/>
    <n v="0"/>
    <n v="0"/>
    <m/>
    <s v="SMU"/>
    <m/>
    <m/>
    <m/>
    <m/>
    <m/>
    <m/>
    <s v="F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19"/>
    <s v="BONIS SPA"/>
    <s v="STOCK SCAFFALE MP"/>
    <x v="10"/>
    <m/>
    <m/>
    <n v="1"/>
    <s v="01"/>
    <s v="408"/>
    <s v="001"/>
    <s v="00"/>
    <s v="S"/>
    <s v="P"/>
    <s v="01"/>
    <s v="04"/>
    <s v="False"/>
    <s v="True"/>
    <s v="U0032645"/>
    <n v="1"/>
    <m/>
    <n v="0"/>
    <n v="0"/>
    <m/>
    <s v="SMU"/>
    <m/>
    <m/>
    <m/>
    <m/>
    <m/>
    <m/>
    <s v="F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7"/>
    <m/>
    <x v="19"/>
    <s v="BONIS SPA"/>
    <s v="STOCK SCAFFALE MP"/>
    <x v="8"/>
    <m/>
    <m/>
    <n v="2"/>
    <s v="01"/>
    <s v="408"/>
    <s v="001"/>
    <s v="00"/>
    <s v="S"/>
    <s v="P"/>
    <s v="01"/>
    <s v="04"/>
    <s v="False"/>
    <s v="True"/>
    <s v="U003265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8"/>
    <s v="BONIS SPA"/>
    <s v="STOCK SCAFFALE MP"/>
    <x v="8"/>
    <m/>
    <m/>
    <n v="3"/>
    <s v="01"/>
    <s v="408"/>
    <s v="001"/>
    <s v="00"/>
    <s v="S"/>
    <s v="P"/>
    <s v="01"/>
    <s v="04"/>
    <s v="False"/>
    <s v="True"/>
    <s v="U003265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8"/>
    <s v="BONIS SPA"/>
    <s v="STOCK SCAFFALE MP"/>
    <x v="8"/>
    <m/>
    <m/>
    <n v="1"/>
    <s v="01"/>
    <s v="408"/>
    <s v="001"/>
    <s v="00"/>
    <s v="S"/>
    <s v="P"/>
    <s v="01"/>
    <s v="04"/>
    <s v="False"/>
    <s v="True"/>
    <s v="U003265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20"/>
    <s v="BONIS SPA"/>
    <s v="STOCK SCAFFALE MP"/>
    <x v="8"/>
    <m/>
    <m/>
    <n v="3"/>
    <s v="01"/>
    <s v="408"/>
    <s v="001"/>
    <s v="00"/>
    <s v="S"/>
    <s v="P"/>
    <s v="01"/>
    <s v="04"/>
    <s v="False"/>
    <s v="True"/>
    <s v="U003265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9"/>
    <s v="BONIS SPA"/>
    <s v="STOCK SCAFFALE MP"/>
    <x v="8"/>
    <m/>
    <m/>
    <n v="3"/>
    <s v="01"/>
    <s v="408"/>
    <s v="001"/>
    <s v="00"/>
    <s v="S"/>
    <s v="P"/>
    <s v="01"/>
    <s v="04"/>
    <s v="False"/>
    <s v="True"/>
    <s v="U003265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8"/>
    <s v="BONIS SPA"/>
    <s v="STOCK SCAFFALE MP"/>
    <x v="8"/>
    <m/>
    <m/>
    <n v="3"/>
    <s v="01"/>
    <s v="408"/>
    <s v="001"/>
    <s v="00"/>
    <s v="S"/>
    <s v="P"/>
    <s v="01"/>
    <s v="04"/>
    <s v="False"/>
    <s v="True"/>
    <s v="U0032649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9"/>
    <s v="BONIS SPA"/>
    <s v="STOCK SCAFFALE MP"/>
    <x v="8"/>
    <m/>
    <m/>
    <n v="2"/>
    <s v="01"/>
    <s v="408"/>
    <s v="001"/>
    <s v="00"/>
    <s v="S"/>
    <s v="P"/>
    <s v="01"/>
    <s v="04"/>
    <s v="False"/>
    <s v="True"/>
    <s v="U0032649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20"/>
    <s v="BONIS SPA"/>
    <s v="STOCK SCAFFALE MP"/>
    <x v="8"/>
    <m/>
    <m/>
    <n v="3"/>
    <s v="01"/>
    <s v="408"/>
    <s v="001"/>
    <s v="00"/>
    <s v="S"/>
    <s v="P"/>
    <s v="01"/>
    <s v="04"/>
    <s v="False"/>
    <s v="True"/>
    <s v="U0032649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9"/>
    <s v="BONIS SPA"/>
    <s v="STOCK SCAFFALE MP"/>
    <x v="8"/>
    <m/>
    <m/>
    <n v="3"/>
    <s v="01"/>
    <s v="408"/>
    <s v="001"/>
    <s v="00"/>
    <s v="S"/>
    <s v="P"/>
    <s v="01"/>
    <s v="04"/>
    <s v="False"/>
    <s v="True"/>
    <s v="U0032649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8"/>
    <s v="BONIS SPA"/>
    <s v="STOCK SCAFFALE MP"/>
    <x v="8"/>
    <m/>
    <m/>
    <n v="1"/>
    <s v="01"/>
    <s v="408"/>
    <s v="001"/>
    <s v="00"/>
    <s v="S"/>
    <s v="P"/>
    <s v="01"/>
    <s v="04"/>
    <s v="False"/>
    <s v="True"/>
    <s v="U0032647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9"/>
    <s v="BONIS SPA"/>
    <s v="STOCK SCAFFALE MP"/>
    <x v="8"/>
    <m/>
    <m/>
    <n v="2"/>
    <s v="01"/>
    <s v="408"/>
    <s v="001"/>
    <s v="00"/>
    <s v="S"/>
    <s v="P"/>
    <s v="01"/>
    <s v="04"/>
    <s v="False"/>
    <s v="True"/>
    <s v="U0032647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20"/>
    <s v="BONIS SPA"/>
    <s v="STOCK SCAFFALE MP"/>
    <x v="8"/>
    <m/>
    <m/>
    <n v="3"/>
    <s v="01"/>
    <s v="408"/>
    <s v="001"/>
    <s v="00"/>
    <s v="S"/>
    <s v="P"/>
    <s v="01"/>
    <s v="04"/>
    <s v="False"/>
    <s v="True"/>
    <s v="U0032647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9"/>
    <s v="BONIS SPA"/>
    <s v="STOCK SCAFFALE MP"/>
    <x v="8"/>
    <m/>
    <m/>
    <n v="4"/>
    <s v="01"/>
    <s v="408"/>
    <s v="001"/>
    <s v="00"/>
    <s v="S"/>
    <s v="P"/>
    <s v="01"/>
    <s v="04"/>
    <s v="False"/>
    <s v="True"/>
    <s v="U0032647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8"/>
    <s v="BONIS SPA"/>
    <s v="STOCK SCAFFALE MP"/>
    <x v="8"/>
    <m/>
    <m/>
    <n v="2"/>
    <s v="01"/>
    <s v="408"/>
    <s v="001"/>
    <s v="00"/>
    <s v="S"/>
    <s v="P"/>
    <s v="01"/>
    <s v="04"/>
    <s v="False"/>
    <s v="True"/>
    <s v="U0032647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9"/>
    <s v="BONIS SPA"/>
    <s v="STOCK SCAFFALE MP"/>
    <x v="8"/>
    <m/>
    <m/>
    <n v="4"/>
    <s v="01"/>
    <s v="408"/>
    <s v="001"/>
    <s v="00"/>
    <s v="S"/>
    <s v="P"/>
    <s v="01"/>
    <s v="04"/>
    <s v="False"/>
    <s v="True"/>
    <s v="U0032646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8"/>
    <s v="BONIS SPA"/>
    <s v="STOCK SCAFFALE MP"/>
    <x v="8"/>
    <m/>
    <m/>
    <n v="1"/>
    <s v="01"/>
    <s v="408"/>
    <s v="001"/>
    <s v="00"/>
    <s v="S"/>
    <s v="P"/>
    <s v="01"/>
    <s v="04"/>
    <s v="False"/>
    <s v="True"/>
    <s v="U0032646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20"/>
    <s v="BONIS SPA"/>
    <s v="STOCK SCAFFALE MP"/>
    <x v="8"/>
    <m/>
    <m/>
    <n v="3"/>
    <s v="01"/>
    <s v="408"/>
    <s v="001"/>
    <s v="00"/>
    <s v="S"/>
    <s v="P"/>
    <s v="01"/>
    <s v="04"/>
    <s v="False"/>
    <s v="True"/>
    <s v="U0032646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8"/>
    <s v="BONIS SPA"/>
    <s v="STOCK SCAFFALE MP"/>
    <x v="8"/>
    <m/>
    <m/>
    <n v="2"/>
    <s v="01"/>
    <s v="408"/>
    <s v="001"/>
    <s v="00"/>
    <s v="S"/>
    <s v="P"/>
    <s v="01"/>
    <s v="04"/>
    <s v="False"/>
    <s v="True"/>
    <s v="U0032646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9"/>
    <s v="BONIS SPA"/>
    <s v="STOCK SCAFFALE MP"/>
    <x v="8"/>
    <m/>
    <m/>
    <n v="2"/>
    <s v="01"/>
    <s v="408"/>
    <s v="001"/>
    <s v="00"/>
    <s v="S"/>
    <s v="P"/>
    <s v="01"/>
    <s v="04"/>
    <s v="False"/>
    <s v="True"/>
    <s v="U0032646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9"/>
    <s v="BONIS SPA"/>
    <s v="STOCK SCAFFALE MP"/>
    <x v="8"/>
    <m/>
    <m/>
    <n v="1"/>
    <s v="01"/>
    <s v="408"/>
    <s v="001"/>
    <s v="00"/>
    <s v="S"/>
    <s v="P"/>
    <s v="01"/>
    <s v="04"/>
    <s v="False"/>
    <s v="True"/>
    <s v="U003264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9"/>
    <s v="BONIS SPA"/>
    <s v="STOCK SCAFFALE MP"/>
    <x v="8"/>
    <m/>
    <m/>
    <n v="2"/>
    <s v="01"/>
    <s v="408"/>
    <s v="001"/>
    <s v="00"/>
    <s v="S"/>
    <s v="P"/>
    <s v="01"/>
    <s v="04"/>
    <s v="False"/>
    <s v="True"/>
    <s v="U003264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20"/>
    <s v="BONIS SPA"/>
    <s v="STOCK SCAFFALE MP"/>
    <x v="8"/>
    <m/>
    <m/>
    <n v="1"/>
    <s v="01"/>
    <s v="408"/>
    <s v="001"/>
    <s v="00"/>
    <s v="S"/>
    <s v="P"/>
    <s v="01"/>
    <s v="04"/>
    <s v="False"/>
    <s v="True"/>
    <s v="U003264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6"/>
    <m/>
    <x v="19"/>
    <s v="BONIS SPA"/>
    <s v="STOCK SCAFFALE MP"/>
    <x v="10"/>
    <m/>
    <m/>
    <n v="4"/>
    <s v="01"/>
    <s v="408"/>
    <s v="001"/>
    <s v="00"/>
    <s v="S"/>
    <s v="P"/>
    <s v="01"/>
    <s v="04"/>
    <s v="False"/>
    <s v="True"/>
    <s v="U0032644"/>
    <n v="1"/>
    <m/>
    <n v="0"/>
    <n v="0"/>
    <m/>
    <s v="SMU"/>
    <m/>
    <m/>
    <m/>
    <m/>
    <m/>
    <m/>
    <s v="F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18"/>
    <s v="BONIS SPA"/>
    <s v="STOCK SCAFFALE MP"/>
    <x v="10"/>
    <m/>
    <m/>
    <n v="1"/>
    <s v="01"/>
    <s v="408"/>
    <s v="001"/>
    <s v="00"/>
    <s v="S"/>
    <s v="P"/>
    <s v="01"/>
    <s v="04"/>
    <s v="False"/>
    <s v="True"/>
    <s v="U0032644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20"/>
    <s v="BONIS SPA"/>
    <s v="STOCK SCAFFALE MP"/>
    <x v="10"/>
    <m/>
    <m/>
    <n v="4"/>
    <s v="01"/>
    <s v="408"/>
    <s v="001"/>
    <s v="00"/>
    <s v="S"/>
    <s v="P"/>
    <s v="01"/>
    <s v="04"/>
    <s v="False"/>
    <s v="True"/>
    <s v="U0032644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9"/>
    <s v="BONIS SPA"/>
    <s v="STOCK SCAFFALE MP"/>
    <x v="10"/>
    <m/>
    <m/>
    <n v="3"/>
    <s v="01"/>
    <s v="408"/>
    <s v="001"/>
    <s v="00"/>
    <s v="S"/>
    <s v="P"/>
    <s v="01"/>
    <s v="04"/>
    <s v="False"/>
    <s v="True"/>
    <s v="U0032644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7"/>
    <m/>
    <x v="9"/>
    <s v="BONIS SPA"/>
    <s v="STOCK SCAFFALE MP"/>
    <x v="8"/>
    <m/>
    <m/>
    <n v="4"/>
    <s v="01"/>
    <s v="408"/>
    <s v="001"/>
    <s v="00"/>
    <s v="S"/>
    <s v="P"/>
    <s v="01"/>
    <s v="04"/>
    <s v="False"/>
    <s v="True"/>
    <s v="U0032643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20"/>
    <s v="BONIS SPA"/>
    <s v="STOCK SCAFFALE MP"/>
    <x v="8"/>
    <m/>
    <m/>
    <n v="3"/>
    <s v="01"/>
    <s v="408"/>
    <s v="001"/>
    <s v="00"/>
    <s v="S"/>
    <s v="P"/>
    <s v="01"/>
    <s v="04"/>
    <s v="False"/>
    <s v="True"/>
    <s v="U0032643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8"/>
    <s v="BONIS SPA"/>
    <s v="STOCK SCAFFALE MP"/>
    <x v="8"/>
    <m/>
    <m/>
    <n v="1"/>
    <s v="01"/>
    <s v="408"/>
    <s v="001"/>
    <s v="00"/>
    <s v="S"/>
    <s v="P"/>
    <s v="01"/>
    <s v="04"/>
    <s v="False"/>
    <s v="True"/>
    <s v="U0032643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9"/>
    <s v="BONIS SPA"/>
    <s v="STOCK SCAFFALE MP"/>
    <x v="8"/>
    <m/>
    <m/>
    <n v="2"/>
    <s v="01"/>
    <s v="408"/>
    <s v="001"/>
    <s v="00"/>
    <s v="S"/>
    <s v="P"/>
    <s v="01"/>
    <s v="04"/>
    <s v="False"/>
    <s v="True"/>
    <s v="U0032643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8"/>
    <s v="BONIS SPA"/>
    <s v="STOCK SCAFFALE MP"/>
    <x v="8"/>
    <m/>
    <m/>
    <n v="2"/>
    <s v="01"/>
    <s v="408"/>
    <s v="001"/>
    <s v="00"/>
    <s v="S"/>
    <s v="P"/>
    <s v="01"/>
    <s v="04"/>
    <s v="False"/>
    <s v="True"/>
    <s v="U0032643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9"/>
    <s v="BONIS SPA"/>
    <s v="STOCK SCAFFALE MP"/>
    <x v="8"/>
    <m/>
    <m/>
    <n v="3"/>
    <s v="01"/>
    <s v="408"/>
    <s v="003"/>
    <s v="00"/>
    <s v="S"/>
    <s v="P"/>
    <s v="01"/>
    <s v="04"/>
    <s v="False"/>
    <s v="True"/>
    <s v="U0033324"/>
    <n v="1"/>
    <m/>
    <n v="0"/>
    <n v="0"/>
    <m/>
    <s v="SMU"/>
    <m/>
    <m/>
    <m/>
    <m/>
    <m/>
    <m/>
    <s v="1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20"/>
    <s v="BONIS SPA"/>
    <s v="STOCK SCAFFALE MP"/>
    <x v="8"/>
    <m/>
    <m/>
    <n v="1"/>
    <s v="01"/>
    <s v="408"/>
    <s v="003"/>
    <s v="00"/>
    <s v="S"/>
    <s v="P"/>
    <s v="01"/>
    <s v="04"/>
    <s v="False"/>
    <s v="True"/>
    <s v="U0033313"/>
    <n v="1"/>
    <m/>
    <n v="0"/>
    <n v="0"/>
    <m/>
    <s v="SMU"/>
    <m/>
    <m/>
    <m/>
    <m/>
    <m/>
    <m/>
    <s v="1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6"/>
    <m/>
    <x v="19"/>
    <s v="BONIS SPA"/>
    <s v="STOCK SCAFFALE MP"/>
    <x v="10"/>
    <m/>
    <m/>
    <n v="2"/>
    <s v="01"/>
    <s v="408"/>
    <s v="001"/>
    <s v="00"/>
    <s v="S"/>
    <s v="P"/>
    <s v="01"/>
    <s v="04"/>
    <s v="False"/>
    <s v="True"/>
    <s v="U003264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8"/>
    <s v="BONIS SPA"/>
    <s v="STOCK SCAFFALE MP"/>
    <x v="10"/>
    <m/>
    <m/>
    <n v="2"/>
    <s v="01"/>
    <s v="408"/>
    <s v="001"/>
    <s v="00"/>
    <s v="S"/>
    <s v="P"/>
    <s v="01"/>
    <s v="04"/>
    <s v="False"/>
    <s v="True"/>
    <s v="U003264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20"/>
    <s v="BONIS SPA"/>
    <s v="STOCK SCAFFALE MP"/>
    <x v="10"/>
    <m/>
    <m/>
    <n v="4"/>
    <s v="01"/>
    <s v="408"/>
    <s v="001"/>
    <s v="00"/>
    <s v="S"/>
    <s v="P"/>
    <s v="01"/>
    <s v="04"/>
    <s v="False"/>
    <s v="True"/>
    <s v="U003264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18"/>
    <s v="BONIS SPA"/>
    <s v="STOCK SCAFFALE MP"/>
    <x v="10"/>
    <m/>
    <m/>
    <n v="1"/>
    <s v="01"/>
    <s v="408"/>
    <s v="001"/>
    <s v="00"/>
    <s v="S"/>
    <s v="P"/>
    <s v="01"/>
    <s v="04"/>
    <s v="False"/>
    <s v="True"/>
    <s v="U003264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9"/>
    <s v="BONIS SPA"/>
    <s v="STOCK SCAFFALE MP"/>
    <x v="10"/>
    <m/>
    <m/>
    <n v="3"/>
    <s v="01"/>
    <s v="408"/>
    <s v="001"/>
    <s v="00"/>
    <s v="S"/>
    <s v="P"/>
    <s v="01"/>
    <s v="04"/>
    <s v="False"/>
    <s v="True"/>
    <s v="U003264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20"/>
    <s v="BONIS SPA"/>
    <s v="STOCK SCAFFALE MP"/>
    <x v="10"/>
    <m/>
    <m/>
    <n v="4"/>
    <s v="01"/>
    <s v="408"/>
    <s v="001"/>
    <s v="00"/>
    <s v="S"/>
    <s v="P"/>
    <s v="01"/>
    <s v="04"/>
    <s v="False"/>
    <s v="True"/>
    <s v="U0032639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9"/>
    <s v="BONIS SPA"/>
    <s v="STOCK SCAFFALE MP"/>
    <x v="10"/>
    <m/>
    <m/>
    <n v="8"/>
    <s v="01"/>
    <s v="408"/>
    <s v="001"/>
    <s v="00"/>
    <s v="S"/>
    <s v="P"/>
    <s v="01"/>
    <s v="04"/>
    <s v="False"/>
    <s v="True"/>
    <s v="U0032639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7"/>
    <m/>
    <x v="19"/>
    <s v="BONIS SPA"/>
    <s v="STOCK SCAFFALE MP"/>
    <x v="6"/>
    <m/>
    <m/>
    <n v="4"/>
    <s v="01"/>
    <s v="408"/>
    <s v="001"/>
    <s v="00"/>
    <s v="S"/>
    <s v="P"/>
    <s v="01"/>
    <s v="04"/>
    <s v="False"/>
    <s v="True"/>
    <s v="U0032638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20"/>
    <s v="BONIS SPA"/>
    <s v="STOCK SCAFFALE MP"/>
    <x v="6"/>
    <m/>
    <m/>
    <n v="4"/>
    <s v="01"/>
    <s v="408"/>
    <s v="001"/>
    <s v="00"/>
    <s v="S"/>
    <s v="P"/>
    <s v="01"/>
    <s v="04"/>
    <s v="False"/>
    <s v="True"/>
    <s v="U0032638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8"/>
    <s v="BONIS SPA"/>
    <s v="STOCK SCAFFALE MP"/>
    <x v="6"/>
    <m/>
    <m/>
    <n v="4"/>
    <s v="01"/>
    <s v="408"/>
    <s v="001"/>
    <s v="00"/>
    <s v="S"/>
    <s v="P"/>
    <s v="01"/>
    <s v="04"/>
    <s v="False"/>
    <s v="True"/>
    <s v="U0032638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6"/>
    <m/>
    <x v="8"/>
    <s v="BONIS SPA"/>
    <s v="STOCK SCAFFALE MP"/>
    <x v="10"/>
    <m/>
    <m/>
    <n v="2"/>
    <s v="01"/>
    <s v="408"/>
    <s v="001"/>
    <s v="00"/>
    <s v="S"/>
    <s v="P"/>
    <s v="01"/>
    <s v="04"/>
    <s v="False"/>
    <s v="True"/>
    <s v="U0033337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19"/>
    <s v="BONIS SPA"/>
    <s v="STOCK SCAFFALE MP"/>
    <x v="10"/>
    <m/>
    <m/>
    <n v="3"/>
    <s v="01"/>
    <s v="408"/>
    <s v="001"/>
    <s v="00"/>
    <s v="S"/>
    <s v="P"/>
    <s v="01"/>
    <s v="04"/>
    <s v="False"/>
    <s v="True"/>
    <s v="U0033337"/>
    <n v="1"/>
    <m/>
    <n v="0"/>
    <n v="0"/>
    <m/>
    <s v="SMU"/>
    <m/>
    <m/>
    <m/>
    <m/>
    <m/>
    <m/>
    <s v="F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9"/>
    <s v="BONIS SPA"/>
    <s v="STOCK SCAFFALE MP"/>
    <x v="10"/>
    <m/>
    <m/>
    <n v="3"/>
    <s v="01"/>
    <s v="408"/>
    <s v="001"/>
    <s v="00"/>
    <s v="S"/>
    <s v="P"/>
    <s v="01"/>
    <s v="04"/>
    <s v="False"/>
    <s v="True"/>
    <s v="U0033337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18"/>
    <s v="BONIS SPA"/>
    <s v="STOCK SCAFFALE MP"/>
    <x v="10"/>
    <m/>
    <m/>
    <n v="1"/>
    <s v="01"/>
    <s v="408"/>
    <s v="001"/>
    <s v="00"/>
    <s v="S"/>
    <s v="P"/>
    <s v="01"/>
    <s v="04"/>
    <s v="False"/>
    <s v="True"/>
    <s v="U0033337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6"/>
    <m/>
    <x v="20"/>
    <s v="BONIS SPA"/>
    <s v="STOCK SCAFFALE MP"/>
    <x v="10"/>
    <m/>
    <m/>
    <n v="3"/>
    <s v="01"/>
    <s v="408"/>
    <s v="001"/>
    <s v="00"/>
    <s v="S"/>
    <s v="P"/>
    <s v="01"/>
    <s v="04"/>
    <s v="False"/>
    <s v="True"/>
    <s v="U0033337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TEXTILE JEANS"/>
    <s v="Bonis SpA"/>
    <m/>
    <m/>
    <m/>
    <m/>
    <m/>
    <m/>
    <m/>
    <m/>
    <m/>
    <m/>
    <m/>
    <m/>
  </r>
  <r>
    <m/>
    <n v="2458"/>
    <x v="67"/>
    <m/>
    <x v="20"/>
    <s v="BONIS SPA"/>
    <s v="STOCK SCAFFALE MP"/>
    <x v="6"/>
    <m/>
    <m/>
    <n v="1"/>
    <s v="01"/>
    <s v="408"/>
    <s v="001"/>
    <s v="00"/>
    <s v="S"/>
    <s v="P"/>
    <s v="01"/>
    <s v="04"/>
    <s v="False"/>
    <s v="True"/>
    <s v="U0032649"/>
    <n v="1"/>
    <m/>
    <n v="0"/>
    <n v="0"/>
    <m/>
    <s v="SMU"/>
    <m/>
    <m/>
    <m/>
    <m/>
    <m/>
    <m/>
    <s v="F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8"/>
    <s v="BONIS SPA"/>
    <s v="STOCK SCAFFALE MP"/>
    <x v="6"/>
    <m/>
    <m/>
    <n v="1"/>
    <s v="01"/>
    <s v="408"/>
    <s v="001"/>
    <s v="00"/>
    <s v="S"/>
    <s v="P"/>
    <s v="01"/>
    <s v="04"/>
    <s v="False"/>
    <s v="True"/>
    <s v="U003333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9"/>
    <s v="BONIS SPA"/>
    <s v="STOCK SCAFFALE MP"/>
    <x v="6"/>
    <m/>
    <m/>
    <n v="2"/>
    <s v="01"/>
    <s v="408"/>
    <s v="001"/>
    <s v="00"/>
    <s v="S"/>
    <s v="P"/>
    <s v="01"/>
    <s v="04"/>
    <s v="False"/>
    <s v="True"/>
    <s v="U003333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20"/>
    <s v="BONIS SPA"/>
    <s v="STOCK SCAFFALE MP"/>
    <x v="6"/>
    <m/>
    <m/>
    <n v="3"/>
    <s v="01"/>
    <s v="408"/>
    <s v="001"/>
    <s v="00"/>
    <s v="S"/>
    <s v="P"/>
    <s v="01"/>
    <s v="04"/>
    <s v="False"/>
    <s v="True"/>
    <s v="U003333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8"/>
    <s v="BONIS SPA"/>
    <s v="STOCK SCAFFALE MP"/>
    <x v="6"/>
    <m/>
    <m/>
    <n v="2"/>
    <s v="01"/>
    <s v="408"/>
    <s v="001"/>
    <s v="00"/>
    <s v="S"/>
    <s v="P"/>
    <s v="01"/>
    <s v="04"/>
    <s v="False"/>
    <s v="True"/>
    <s v="U003333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58"/>
    <x v="67"/>
    <m/>
    <x v="19"/>
    <s v="BONIS SPA"/>
    <s v="STOCK SCAFFALE MP"/>
    <x v="6"/>
    <m/>
    <m/>
    <n v="2"/>
    <s v="01"/>
    <s v="408"/>
    <s v="001"/>
    <s v="00"/>
    <s v="S"/>
    <s v="P"/>
    <s v="01"/>
    <s v="04"/>
    <s v="False"/>
    <s v="True"/>
    <s v="U0033335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9"/>
    <s v="BONIS SPA"/>
    <s v="STOCK SCAFFALE MP"/>
    <x v="8"/>
    <m/>
    <m/>
    <n v="3"/>
    <s v="01"/>
    <s v="408"/>
    <s v="003"/>
    <s v="00"/>
    <s v="S"/>
    <s v="P"/>
    <s v="01"/>
    <s v="04"/>
    <s v="False"/>
    <s v="True"/>
    <s v="U0033327"/>
    <n v="1"/>
    <m/>
    <n v="0"/>
    <n v="0"/>
    <m/>
    <s v="SMU"/>
    <m/>
    <m/>
    <m/>
    <m/>
    <m/>
    <m/>
    <s v="1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20"/>
    <s v="BONIS SPA"/>
    <s v="STOCK SCAFFALE MP"/>
    <x v="8"/>
    <m/>
    <m/>
    <n v="1"/>
    <s v="01"/>
    <s v="408"/>
    <s v="003"/>
    <s v="00"/>
    <s v="S"/>
    <s v="P"/>
    <s v="01"/>
    <s v="04"/>
    <s v="False"/>
    <s v="True"/>
    <s v="U0033327"/>
    <n v="1"/>
    <m/>
    <n v="0"/>
    <n v="0"/>
    <m/>
    <s v="SMU"/>
    <m/>
    <m/>
    <m/>
    <m/>
    <m/>
    <m/>
    <s v="1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20"/>
    <s v="BONIS SPA"/>
    <s v="STOCK SCAFFALE MP"/>
    <x v="8"/>
    <m/>
    <m/>
    <n v="1"/>
    <s v="01"/>
    <s v="408"/>
    <s v="003"/>
    <s v="00"/>
    <s v="S"/>
    <s v="P"/>
    <s v="01"/>
    <s v="04"/>
    <s v="False"/>
    <s v="True"/>
    <s v="U0033318"/>
    <n v="1"/>
    <m/>
    <n v="0"/>
    <n v="0"/>
    <m/>
    <s v="SMU"/>
    <m/>
    <m/>
    <m/>
    <m/>
    <m/>
    <m/>
    <s v="1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20"/>
    <s v="BONIS SPA"/>
    <s v="STOCK SCAFFALE MP"/>
    <x v="8"/>
    <m/>
    <m/>
    <n v="1"/>
    <s v="01"/>
    <s v="408"/>
    <s v="003"/>
    <s v="00"/>
    <s v="S"/>
    <s v="P"/>
    <s v="01"/>
    <s v="04"/>
    <s v="False"/>
    <s v="True"/>
    <s v="U0033317"/>
    <n v="1"/>
    <m/>
    <n v="0"/>
    <n v="0"/>
    <m/>
    <s v="SMU"/>
    <m/>
    <m/>
    <m/>
    <m/>
    <m/>
    <m/>
    <s v="1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19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18"/>
    <n v="1"/>
    <m/>
    <n v="0"/>
    <n v="0"/>
    <m/>
    <s v="SMU"/>
    <m/>
    <m/>
    <m/>
    <m/>
    <m/>
    <m/>
    <s v="1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18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32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9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32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20"/>
    <s v="BONIS SPA"/>
    <s v="STOCK SCAFFALE MP"/>
    <x v="8"/>
    <m/>
    <m/>
    <n v="4"/>
    <s v="01"/>
    <s v="408"/>
    <s v="003"/>
    <s v="00"/>
    <s v="S"/>
    <s v="P"/>
    <s v="01"/>
    <s v="04"/>
    <s v="False"/>
    <s v="True"/>
    <s v="U0033332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19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32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8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32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9"/>
    <s v="BONIS SPA"/>
    <s v="STOCK SCAFFALE MP"/>
    <x v="8"/>
    <m/>
    <m/>
    <n v="10"/>
    <s v="01"/>
    <s v="408"/>
    <s v="003"/>
    <s v="00"/>
    <s v="S"/>
    <s v="P"/>
    <s v="01"/>
    <s v="04"/>
    <s v="False"/>
    <s v="True"/>
    <s v="U0033331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20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31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7"/>
    <m/>
    <x v="8"/>
    <s v="BONIS SPA"/>
    <s v="STOCK SCAFFALE MP"/>
    <x v="6"/>
    <m/>
    <m/>
    <n v="2"/>
    <s v="01"/>
    <s v="408"/>
    <s v="003"/>
    <s v="00"/>
    <s v="S"/>
    <s v="P"/>
    <s v="01"/>
    <s v="04"/>
    <s v="False"/>
    <s v="True"/>
    <s v="U003333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7"/>
    <m/>
    <x v="19"/>
    <s v="BONIS SPA"/>
    <s v="STOCK SCAFFALE MP"/>
    <x v="6"/>
    <m/>
    <m/>
    <n v="3"/>
    <s v="01"/>
    <s v="408"/>
    <s v="003"/>
    <s v="00"/>
    <s v="S"/>
    <s v="P"/>
    <s v="01"/>
    <s v="04"/>
    <s v="False"/>
    <s v="True"/>
    <s v="U003333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7"/>
    <m/>
    <x v="20"/>
    <s v="BONIS SPA"/>
    <s v="STOCK SCAFFALE MP"/>
    <x v="6"/>
    <m/>
    <m/>
    <n v="3"/>
    <s v="01"/>
    <s v="408"/>
    <s v="003"/>
    <s v="00"/>
    <s v="S"/>
    <s v="P"/>
    <s v="01"/>
    <s v="04"/>
    <s v="False"/>
    <s v="True"/>
    <s v="U003333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7"/>
    <m/>
    <x v="18"/>
    <s v="BONIS SPA"/>
    <s v="STOCK SCAFFALE MP"/>
    <x v="6"/>
    <m/>
    <m/>
    <n v="1"/>
    <s v="01"/>
    <s v="408"/>
    <s v="003"/>
    <s v="00"/>
    <s v="S"/>
    <s v="P"/>
    <s v="01"/>
    <s v="04"/>
    <s v="False"/>
    <s v="True"/>
    <s v="U003333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7"/>
    <m/>
    <x v="9"/>
    <s v="BONIS SPA"/>
    <s v="STOCK SCAFFALE MP"/>
    <x v="6"/>
    <m/>
    <m/>
    <n v="3"/>
    <s v="01"/>
    <s v="408"/>
    <s v="003"/>
    <s v="00"/>
    <s v="S"/>
    <s v="P"/>
    <s v="01"/>
    <s v="04"/>
    <s v="False"/>
    <s v="True"/>
    <s v="U0033330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7"/>
    <m/>
    <x v="19"/>
    <s v="BONIS SPA"/>
    <s v="STOCK SCAFFALE MP"/>
    <x v="8"/>
    <m/>
    <m/>
    <n v="3"/>
    <s v="01"/>
    <s v="408"/>
    <s v="003"/>
    <s v="00"/>
    <s v="S"/>
    <s v="P"/>
    <s v="01"/>
    <s v="04"/>
    <s v="False"/>
    <s v="True"/>
    <s v="U0033327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7"/>
    <m/>
    <x v="18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27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9"/>
    <m/>
    <x v="17"/>
    <s v="BONIS SPA"/>
    <s v="STOCK SCAFFALE MP"/>
    <x v="2"/>
    <m/>
    <m/>
    <n v="2"/>
    <s v="01"/>
    <s v="408"/>
    <s v="003"/>
    <s v="00"/>
    <s v="S"/>
    <s v="P"/>
    <s v="01"/>
    <s v="04"/>
    <s v="False"/>
    <s v="True"/>
    <s v="U0033324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8"/>
    <m/>
    <x v="19"/>
    <s v="BONIS SPA"/>
    <s v="STOCK SCAFFALE MP"/>
    <x v="8"/>
    <m/>
    <m/>
    <n v="5"/>
    <s v="01"/>
    <s v="408"/>
    <s v="003"/>
    <s v="00"/>
    <s v="S"/>
    <s v="P"/>
    <s v="01"/>
    <s v="04"/>
    <s v="False"/>
    <s v="True"/>
    <s v="U0033324"/>
    <n v="1"/>
    <m/>
    <n v="0"/>
    <n v="0"/>
    <m/>
    <s v="SMU"/>
    <m/>
    <m/>
    <m/>
    <m/>
    <m/>
    <m/>
    <s v="F11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8"/>
    <m/>
    <x v="20"/>
    <s v="BONIS SPA"/>
    <s v="STOCK SCAFFALE MP"/>
    <x v="8"/>
    <m/>
    <m/>
    <n v="3"/>
    <s v="01"/>
    <s v="408"/>
    <s v="003"/>
    <s v="00"/>
    <s v="S"/>
    <s v="P"/>
    <s v="01"/>
    <s v="04"/>
    <s v="False"/>
    <s v="True"/>
    <s v="U0033324"/>
    <n v="1"/>
    <m/>
    <n v="0"/>
    <n v="0"/>
    <m/>
    <s v="SMU"/>
    <m/>
    <m/>
    <m/>
    <m/>
    <m/>
    <m/>
    <s v="106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64"/>
    <x v="69"/>
    <m/>
    <x v="16"/>
    <s v="BONIS SPA"/>
    <s v="STOCK SCAFFALE MP"/>
    <x v="30"/>
    <m/>
    <m/>
    <n v="1"/>
    <s v="01"/>
    <s v="408"/>
    <s v="003"/>
    <s v="00"/>
    <s v="S"/>
    <s v="P"/>
    <s v="01"/>
    <s v="04"/>
    <s v="False"/>
    <s v="True"/>
    <s v="U0033327"/>
    <n v="1"/>
    <m/>
    <n v="0"/>
    <n v="0"/>
    <m/>
    <s v="SMU"/>
    <m/>
    <m/>
    <m/>
    <m/>
    <m/>
    <m/>
    <s v="106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7"/>
    <s v="BONIS SPA"/>
    <s v="STOCK SCAFFALE MP"/>
    <x v="30"/>
    <m/>
    <m/>
    <n v="1"/>
    <s v="01"/>
    <s v="408"/>
    <s v="003"/>
    <s v="00"/>
    <s v="S"/>
    <s v="P"/>
    <s v="01"/>
    <s v="04"/>
    <s v="False"/>
    <s v="True"/>
    <s v="U0033327"/>
    <n v="1"/>
    <m/>
    <n v="0"/>
    <n v="0"/>
    <m/>
    <s v="SMU"/>
    <m/>
    <m/>
    <m/>
    <m/>
    <m/>
    <m/>
    <s v="106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7"/>
    <s v="BONIS SPA"/>
    <s v="STOCK SCAFFALE MP"/>
    <x v="8"/>
    <m/>
    <m/>
    <n v="5"/>
    <s v="01"/>
    <s v="408"/>
    <s v="003"/>
    <s v="00"/>
    <s v="S"/>
    <s v="P"/>
    <s v="01"/>
    <s v="04"/>
    <s v="False"/>
    <s v="True"/>
    <s v="U0033320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6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20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4"/>
    <s v="BONIS SPA"/>
    <s v="STOCK SCAFFALE MP"/>
    <x v="8"/>
    <m/>
    <m/>
    <n v="1"/>
    <s v="01"/>
    <s v="408"/>
    <s v="003"/>
    <s v="00"/>
    <s v="S"/>
    <s v="P"/>
    <s v="01"/>
    <s v="04"/>
    <s v="False"/>
    <s v="True"/>
    <s v="U0033320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8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20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5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20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7"/>
    <s v="BONIS SPA"/>
    <s v="STOCK SCAFFALE MP"/>
    <x v="30"/>
    <m/>
    <m/>
    <n v="3"/>
    <s v="01"/>
    <s v="408"/>
    <s v="003"/>
    <s v="00"/>
    <s v="S"/>
    <s v="P"/>
    <s v="01"/>
    <s v="04"/>
    <s v="False"/>
    <s v="True"/>
    <s v="U0033319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9"/>
    <s v="BONIS SPA"/>
    <s v="STOCK SCAFFALE MP"/>
    <x v="30"/>
    <m/>
    <m/>
    <n v="1"/>
    <s v="01"/>
    <s v="408"/>
    <s v="003"/>
    <s v="00"/>
    <s v="S"/>
    <s v="P"/>
    <s v="01"/>
    <s v="04"/>
    <s v="False"/>
    <s v="True"/>
    <s v="U0033319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4"/>
    <s v="BONIS SPA"/>
    <s v="STOCK SCAFFALE MP"/>
    <x v="30"/>
    <m/>
    <m/>
    <n v="1"/>
    <s v="01"/>
    <s v="408"/>
    <s v="003"/>
    <s v="00"/>
    <s v="S"/>
    <s v="P"/>
    <s v="01"/>
    <s v="04"/>
    <s v="False"/>
    <s v="True"/>
    <s v="U0033319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6"/>
    <s v="BONIS SPA"/>
    <s v="STOCK SCAFFALE MP"/>
    <x v="30"/>
    <m/>
    <m/>
    <n v="3"/>
    <s v="01"/>
    <s v="408"/>
    <s v="003"/>
    <s v="00"/>
    <s v="S"/>
    <s v="P"/>
    <s v="01"/>
    <s v="04"/>
    <s v="False"/>
    <s v="True"/>
    <s v="U0033319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5"/>
    <s v="BONIS SPA"/>
    <s v="STOCK SCAFFALE MP"/>
    <x v="30"/>
    <m/>
    <m/>
    <n v="2"/>
    <s v="01"/>
    <s v="408"/>
    <s v="003"/>
    <s v="00"/>
    <s v="S"/>
    <s v="P"/>
    <s v="01"/>
    <s v="04"/>
    <s v="False"/>
    <s v="True"/>
    <s v="U0033319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8"/>
    <s v="BONIS SPA"/>
    <s v="STOCK SCAFFALE MP"/>
    <x v="30"/>
    <m/>
    <m/>
    <n v="2"/>
    <s v="01"/>
    <s v="408"/>
    <s v="003"/>
    <s v="00"/>
    <s v="S"/>
    <s v="P"/>
    <s v="01"/>
    <s v="04"/>
    <s v="False"/>
    <s v="True"/>
    <s v="U0033319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7"/>
    <s v="BONIS SPA"/>
    <s v="STOCK SCAFFALE MP"/>
    <x v="30"/>
    <m/>
    <m/>
    <n v="2"/>
    <s v="01"/>
    <s v="408"/>
    <s v="003"/>
    <s v="00"/>
    <s v="S"/>
    <s v="P"/>
    <s v="01"/>
    <s v="04"/>
    <s v="False"/>
    <s v="True"/>
    <s v="U0033318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9"/>
    <s v="BONIS SPA"/>
    <s v="STOCK SCAFFALE MP"/>
    <x v="30"/>
    <m/>
    <m/>
    <n v="1"/>
    <s v="01"/>
    <s v="408"/>
    <s v="003"/>
    <s v="00"/>
    <s v="S"/>
    <s v="P"/>
    <s v="01"/>
    <s v="04"/>
    <s v="False"/>
    <s v="True"/>
    <s v="U0033318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4"/>
    <s v="BONIS SPA"/>
    <s v="STOCK SCAFFALE MP"/>
    <x v="30"/>
    <m/>
    <m/>
    <n v="1"/>
    <s v="01"/>
    <s v="408"/>
    <s v="003"/>
    <s v="00"/>
    <s v="S"/>
    <s v="P"/>
    <s v="01"/>
    <s v="04"/>
    <s v="False"/>
    <s v="True"/>
    <s v="U0033318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6"/>
    <s v="BONIS SPA"/>
    <s v="STOCK SCAFFALE MP"/>
    <x v="30"/>
    <m/>
    <m/>
    <n v="1"/>
    <s v="01"/>
    <s v="408"/>
    <s v="003"/>
    <s v="00"/>
    <s v="S"/>
    <s v="P"/>
    <s v="01"/>
    <s v="04"/>
    <s v="False"/>
    <s v="True"/>
    <s v="U0033318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8"/>
    <s v="BONIS SPA"/>
    <s v="STOCK SCAFFALE MP"/>
    <x v="30"/>
    <m/>
    <m/>
    <n v="2"/>
    <s v="01"/>
    <s v="408"/>
    <s v="003"/>
    <s v="00"/>
    <s v="S"/>
    <s v="P"/>
    <s v="01"/>
    <s v="04"/>
    <s v="False"/>
    <s v="True"/>
    <s v="U0033318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5"/>
    <s v="BONIS SPA"/>
    <s v="STOCK SCAFFALE MP"/>
    <x v="30"/>
    <m/>
    <m/>
    <n v="2"/>
    <s v="01"/>
    <s v="408"/>
    <s v="003"/>
    <s v="00"/>
    <s v="S"/>
    <s v="P"/>
    <s v="01"/>
    <s v="04"/>
    <s v="False"/>
    <s v="True"/>
    <s v="U0033318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5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17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8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17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4"/>
    <s v="BONIS SPA"/>
    <s v="STOCK SCAFFALE MP"/>
    <x v="8"/>
    <m/>
    <m/>
    <n v="1"/>
    <s v="01"/>
    <s v="408"/>
    <s v="003"/>
    <s v="00"/>
    <s v="S"/>
    <s v="P"/>
    <s v="01"/>
    <s v="04"/>
    <s v="False"/>
    <s v="True"/>
    <s v="U0033317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6"/>
    <s v="BONIS SPA"/>
    <s v="STOCK SCAFFALE MP"/>
    <x v="8"/>
    <m/>
    <m/>
    <n v="1"/>
    <s v="01"/>
    <s v="408"/>
    <s v="003"/>
    <s v="00"/>
    <s v="S"/>
    <s v="P"/>
    <s v="01"/>
    <s v="04"/>
    <s v="False"/>
    <s v="True"/>
    <s v="U0033317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7"/>
    <s v="BONIS SPA"/>
    <s v="STOCK SCAFFALE MP"/>
    <x v="8"/>
    <m/>
    <m/>
    <n v="4"/>
    <s v="01"/>
    <s v="408"/>
    <s v="003"/>
    <s v="00"/>
    <s v="S"/>
    <s v="P"/>
    <s v="01"/>
    <s v="04"/>
    <s v="False"/>
    <s v="True"/>
    <s v="U0033317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7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10"/>
    <n v="1"/>
    <m/>
    <n v="0"/>
    <n v="0"/>
    <m/>
    <s v="SMU"/>
    <m/>
    <m/>
    <m/>
    <m/>
    <m/>
    <m/>
    <s v="106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70"/>
    <m/>
    <x v="14"/>
    <s v="BONIS SPA"/>
    <s v="STOCK SCAFFALE MP"/>
    <x v="10"/>
    <m/>
    <m/>
    <n v="1"/>
    <s v="01"/>
    <s v="408"/>
    <s v="003"/>
    <s v="00"/>
    <s v="S"/>
    <s v="P"/>
    <s v="01"/>
    <s v="04"/>
    <s v="False"/>
    <s v="True"/>
    <s v="U0033317"/>
    <n v="1"/>
    <m/>
    <n v="0"/>
    <n v="0"/>
    <m/>
    <s v="SMU"/>
    <m/>
    <m/>
    <m/>
    <m/>
    <m/>
    <m/>
    <s v="106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TEXTILE JEANS"/>
    <s v="Bonis SpA"/>
    <m/>
    <m/>
    <m/>
    <m/>
    <m/>
    <m/>
    <m/>
    <m/>
    <m/>
    <m/>
    <m/>
    <m/>
  </r>
  <r>
    <m/>
    <n v="2464"/>
    <x v="69"/>
    <m/>
    <x v="17"/>
    <s v="BONIS SPA"/>
    <s v="STOCK SCAFFALE MP"/>
    <x v="8"/>
    <m/>
    <m/>
    <n v="3"/>
    <s v="01"/>
    <s v="408"/>
    <s v="003"/>
    <s v="00"/>
    <s v="S"/>
    <s v="P"/>
    <s v="01"/>
    <s v="04"/>
    <s v="False"/>
    <s v="True"/>
    <s v="U0033313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4"/>
    <s v="BONIS SPA"/>
    <s v="STOCK SCAFFALE MP"/>
    <x v="8"/>
    <m/>
    <m/>
    <n v="1"/>
    <s v="01"/>
    <s v="408"/>
    <s v="003"/>
    <s v="00"/>
    <s v="S"/>
    <s v="P"/>
    <s v="01"/>
    <s v="04"/>
    <s v="False"/>
    <s v="True"/>
    <s v="U0033313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6"/>
    <s v="BONIS SPA"/>
    <s v="STOCK SCAFFALE MP"/>
    <x v="8"/>
    <m/>
    <m/>
    <n v="3"/>
    <s v="01"/>
    <s v="408"/>
    <s v="003"/>
    <s v="00"/>
    <s v="S"/>
    <s v="P"/>
    <s v="01"/>
    <s v="04"/>
    <s v="False"/>
    <s v="True"/>
    <s v="U0033313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5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13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8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13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8"/>
    <s v="BONIS SPA"/>
    <s v="STOCK SCAFFALE MP"/>
    <x v="30"/>
    <m/>
    <m/>
    <n v="2"/>
    <s v="01"/>
    <s v="408"/>
    <s v="003"/>
    <s v="00"/>
    <s v="S"/>
    <s v="P"/>
    <s v="01"/>
    <s v="04"/>
    <s v="False"/>
    <s v="True"/>
    <s v="U0033312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9"/>
    <s v="BONIS SPA"/>
    <s v="STOCK SCAFFALE MP"/>
    <x v="30"/>
    <m/>
    <m/>
    <n v="1"/>
    <s v="01"/>
    <s v="408"/>
    <s v="003"/>
    <s v="00"/>
    <s v="S"/>
    <s v="P"/>
    <s v="01"/>
    <s v="04"/>
    <s v="False"/>
    <s v="True"/>
    <s v="U0033312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5"/>
    <s v="BONIS SPA"/>
    <s v="STOCK SCAFFALE MP"/>
    <x v="30"/>
    <m/>
    <m/>
    <n v="2"/>
    <s v="01"/>
    <s v="408"/>
    <s v="003"/>
    <s v="00"/>
    <s v="S"/>
    <s v="P"/>
    <s v="01"/>
    <s v="04"/>
    <s v="False"/>
    <s v="True"/>
    <s v="U0033312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4"/>
    <s v="BONIS SPA"/>
    <s v="STOCK SCAFFALE MP"/>
    <x v="30"/>
    <m/>
    <m/>
    <n v="1"/>
    <s v="01"/>
    <s v="408"/>
    <s v="003"/>
    <s v="00"/>
    <s v="S"/>
    <s v="P"/>
    <s v="01"/>
    <s v="04"/>
    <s v="False"/>
    <s v="True"/>
    <s v="U0033312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6"/>
    <s v="BONIS SPA"/>
    <s v="STOCK SCAFFALE MP"/>
    <x v="30"/>
    <m/>
    <m/>
    <n v="3"/>
    <s v="01"/>
    <s v="408"/>
    <s v="003"/>
    <s v="00"/>
    <s v="S"/>
    <s v="P"/>
    <s v="01"/>
    <s v="04"/>
    <s v="False"/>
    <s v="True"/>
    <s v="U0033312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7"/>
    <s v="BONIS SPA"/>
    <s v="STOCK SCAFFALE MP"/>
    <x v="30"/>
    <m/>
    <m/>
    <n v="3"/>
    <s v="01"/>
    <s v="408"/>
    <s v="003"/>
    <s v="00"/>
    <s v="S"/>
    <s v="P"/>
    <s v="01"/>
    <s v="04"/>
    <s v="False"/>
    <s v="True"/>
    <s v="U0033312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91"/>
    <x v="70"/>
    <m/>
    <x v="15"/>
    <s v="BONIS SPA"/>
    <s v="STOCK SCAFFALE MP"/>
    <x v="10"/>
    <m/>
    <m/>
    <n v="3"/>
    <s v="01"/>
    <s v="408"/>
    <s v="012"/>
    <s v="00"/>
    <s v="S"/>
    <s v="P"/>
    <s v="01"/>
    <s v="04"/>
    <s v="False"/>
    <s v="True"/>
    <s v="U0033311"/>
    <n v="1"/>
    <m/>
    <n v="0"/>
    <n v="0"/>
    <m/>
    <s v="SMU"/>
    <m/>
    <m/>
    <m/>
    <m/>
    <m/>
    <m/>
    <s v="F10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TEXTILE JEANS"/>
    <s v="Bonis SpA"/>
    <m/>
    <m/>
    <m/>
    <m/>
    <m/>
    <m/>
    <m/>
    <m/>
    <m/>
    <m/>
    <m/>
    <m/>
  </r>
  <r>
    <m/>
    <n v="2491"/>
    <x v="69"/>
    <m/>
    <x v="15"/>
    <s v="BONIS SPA"/>
    <s v="STOCK SCAFFALE MP"/>
    <x v="8"/>
    <m/>
    <m/>
    <n v="1"/>
    <s v="01"/>
    <s v="408"/>
    <s v="012"/>
    <s v="00"/>
    <s v="S"/>
    <s v="P"/>
    <s v="01"/>
    <s v="04"/>
    <s v="False"/>
    <s v="True"/>
    <s v="U0033311"/>
    <n v="1"/>
    <m/>
    <n v="0"/>
    <n v="0"/>
    <m/>
    <s v="SMU"/>
    <m/>
    <m/>
    <m/>
    <m/>
    <m/>
    <m/>
    <s v="F10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91"/>
    <x v="69"/>
    <m/>
    <x v="15"/>
    <s v="BONIS SPA"/>
    <s v="STOCK SCAFFALE MP"/>
    <x v="30"/>
    <m/>
    <m/>
    <n v="3"/>
    <s v="01"/>
    <s v="408"/>
    <s v="012"/>
    <s v="00"/>
    <s v="S"/>
    <s v="P"/>
    <s v="01"/>
    <s v="04"/>
    <s v="False"/>
    <s v="True"/>
    <s v="U0033311"/>
    <n v="1"/>
    <m/>
    <n v="0"/>
    <n v="0"/>
    <m/>
    <s v="SMU"/>
    <m/>
    <m/>
    <m/>
    <m/>
    <m/>
    <m/>
    <s v="F10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91"/>
    <x v="69"/>
    <m/>
    <x v="14"/>
    <s v="BONIS SPA"/>
    <s v="STOCK SCAFFALE MP"/>
    <x v="30"/>
    <m/>
    <m/>
    <n v="2"/>
    <s v="01"/>
    <s v="408"/>
    <s v="012"/>
    <s v="00"/>
    <s v="S"/>
    <s v="P"/>
    <s v="01"/>
    <s v="04"/>
    <s v="False"/>
    <s v="True"/>
    <s v="U0033311"/>
    <n v="1"/>
    <m/>
    <n v="0"/>
    <n v="0"/>
    <m/>
    <s v="SMU"/>
    <m/>
    <m/>
    <m/>
    <m/>
    <m/>
    <m/>
    <s v="F10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91"/>
    <x v="69"/>
    <m/>
    <x v="17"/>
    <s v="BONIS SPA"/>
    <s v="STOCK SCAFFALE MP"/>
    <x v="30"/>
    <m/>
    <m/>
    <n v="2"/>
    <s v="01"/>
    <s v="408"/>
    <s v="012"/>
    <s v="00"/>
    <s v="S"/>
    <s v="P"/>
    <s v="01"/>
    <s v="04"/>
    <s v="False"/>
    <s v="True"/>
    <s v="U0033311"/>
    <n v="1"/>
    <m/>
    <n v="0"/>
    <n v="0"/>
    <m/>
    <s v="SMU"/>
    <m/>
    <m/>
    <m/>
    <m/>
    <m/>
    <m/>
    <s v="F10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7"/>
    <s v="BONIS SPA"/>
    <s v="STOCK SCAFFALE MP"/>
    <x v="30"/>
    <m/>
    <m/>
    <n v="3"/>
    <s v="01"/>
    <s v="408"/>
    <s v="003"/>
    <s v="00"/>
    <s v="S"/>
    <s v="P"/>
    <s v="01"/>
    <s v="04"/>
    <s v="False"/>
    <s v="True"/>
    <s v="U0033310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6"/>
    <s v="BONIS SPA"/>
    <s v="STOCK SCAFFALE MP"/>
    <x v="30"/>
    <m/>
    <m/>
    <n v="3"/>
    <s v="01"/>
    <s v="408"/>
    <s v="003"/>
    <s v="00"/>
    <s v="S"/>
    <s v="P"/>
    <s v="01"/>
    <s v="04"/>
    <s v="False"/>
    <s v="True"/>
    <s v="U0033310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5"/>
    <s v="BONIS SPA"/>
    <s v="STOCK SCAFFALE MP"/>
    <x v="30"/>
    <m/>
    <m/>
    <n v="2"/>
    <s v="01"/>
    <s v="408"/>
    <s v="003"/>
    <s v="00"/>
    <s v="S"/>
    <s v="P"/>
    <s v="01"/>
    <s v="04"/>
    <s v="False"/>
    <s v="True"/>
    <s v="U0033310"/>
    <n v="1"/>
    <m/>
    <n v="0"/>
    <n v="0"/>
    <m/>
    <s v="SMU"/>
    <m/>
    <m/>
    <m/>
    <m/>
    <m/>
    <m/>
    <s v="F11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4"/>
    <s v="BONIS SPA"/>
    <s v="STOCK SCAFFALE MP"/>
    <x v="8"/>
    <m/>
    <m/>
    <n v="2"/>
    <s v="01"/>
    <s v="408"/>
    <s v="003"/>
    <s v="00"/>
    <s v="S"/>
    <s v="P"/>
    <s v="01"/>
    <s v="04"/>
    <s v="False"/>
    <s v="True"/>
    <s v="U0033310"/>
    <n v="1"/>
    <m/>
    <n v="0"/>
    <n v="0"/>
    <m/>
    <s v="SMU"/>
    <m/>
    <m/>
    <m/>
    <m/>
    <m/>
    <m/>
    <s v="106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4"/>
    <s v="BONIS SPA"/>
    <s v="STOCK SCAFFALE MP"/>
    <x v="8"/>
    <m/>
    <m/>
    <n v="1"/>
    <s v="01"/>
    <s v="408"/>
    <s v="003"/>
    <s v="00"/>
    <s v="S"/>
    <s v="P"/>
    <s v="01"/>
    <s v="04"/>
    <s v="False"/>
    <s v="True"/>
    <s v="U0033327"/>
    <n v="1"/>
    <m/>
    <n v="0"/>
    <n v="0"/>
    <m/>
    <s v="SMU"/>
    <m/>
    <m/>
    <m/>
    <m/>
    <m/>
    <m/>
    <s v="106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7"/>
    <s v="BONIS SPA"/>
    <s v="STOCK SCAFFALE MP"/>
    <x v="8"/>
    <m/>
    <m/>
    <n v="1"/>
    <s v="01"/>
    <s v="408"/>
    <s v="003"/>
    <s v="00"/>
    <s v="S"/>
    <s v="P"/>
    <s v="01"/>
    <s v="04"/>
    <s v="False"/>
    <s v="True"/>
    <s v="U0033327"/>
    <n v="1"/>
    <m/>
    <n v="0"/>
    <n v="0"/>
    <m/>
    <s v="SMU"/>
    <m/>
    <m/>
    <m/>
    <m/>
    <m/>
    <m/>
    <s v="106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64"/>
    <x v="69"/>
    <m/>
    <x v="15"/>
    <s v="BONIS SPA"/>
    <s v="STOCK SCAFFALE MP"/>
    <x v="8"/>
    <m/>
    <m/>
    <n v="1"/>
    <s v="01"/>
    <s v="408"/>
    <s v="003"/>
    <s v="00"/>
    <s v="S"/>
    <s v="P"/>
    <s v="01"/>
    <s v="04"/>
    <s v="False"/>
    <s v="True"/>
    <s v="U0033327"/>
    <n v="1"/>
    <m/>
    <n v="0"/>
    <n v="0"/>
    <m/>
    <s v="SMU"/>
    <m/>
    <m/>
    <m/>
    <m/>
    <m/>
    <m/>
    <s v="106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91"/>
    <x v="71"/>
    <m/>
    <x v="18"/>
    <s v="BONIS SPA"/>
    <s v="STOCK SCAFFALE MP"/>
    <x v="13"/>
    <m/>
    <m/>
    <n v="2"/>
    <s v="01"/>
    <s v="408"/>
    <s v="012"/>
    <s v="00"/>
    <s v="S"/>
    <s v="P"/>
    <s v="01"/>
    <s v="04"/>
    <s v="False"/>
    <s v="True"/>
    <s v="U0033304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491"/>
    <x v="71"/>
    <m/>
    <x v="16"/>
    <s v="BONIS SPA"/>
    <s v="STOCK SCAFFALE MP"/>
    <x v="13"/>
    <m/>
    <m/>
    <n v="3"/>
    <s v="01"/>
    <s v="408"/>
    <s v="012"/>
    <s v="00"/>
    <s v="S"/>
    <s v="P"/>
    <s v="01"/>
    <s v="04"/>
    <s v="False"/>
    <s v="True"/>
    <s v="U0033304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491"/>
    <x v="71"/>
    <m/>
    <x v="17"/>
    <s v="BONIS SPA"/>
    <s v="STOCK SCAFFALE MP"/>
    <x v="13"/>
    <m/>
    <m/>
    <n v="5"/>
    <s v="01"/>
    <s v="408"/>
    <s v="012"/>
    <s v="00"/>
    <s v="S"/>
    <s v="P"/>
    <s v="01"/>
    <s v="04"/>
    <s v="False"/>
    <s v="True"/>
    <s v="U0033304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491"/>
    <x v="71"/>
    <m/>
    <x v="15"/>
    <s v="BONIS SPA"/>
    <s v="STOCK SCAFFALE MP"/>
    <x v="13"/>
    <m/>
    <m/>
    <n v="2"/>
    <s v="01"/>
    <s v="408"/>
    <s v="012"/>
    <s v="00"/>
    <s v="S"/>
    <s v="P"/>
    <s v="01"/>
    <s v="04"/>
    <s v="False"/>
    <s v="True"/>
    <s v="U0033295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491"/>
    <x v="71"/>
    <m/>
    <x v="17"/>
    <s v="BONIS SPA"/>
    <s v="STOCK SCAFFALE MP"/>
    <x v="13"/>
    <m/>
    <m/>
    <n v="3"/>
    <s v="01"/>
    <s v="408"/>
    <s v="012"/>
    <s v="00"/>
    <s v="S"/>
    <s v="P"/>
    <s v="01"/>
    <s v="04"/>
    <s v="False"/>
    <s v="True"/>
    <s v="U0033302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491"/>
    <x v="71"/>
    <m/>
    <x v="16"/>
    <s v="BONIS SPA"/>
    <s v="STOCK SCAFFALE MP"/>
    <x v="13"/>
    <m/>
    <m/>
    <n v="5"/>
    <s v="01"/>
    <s v="408"/>
    <s v="012"/>
    <s v="00"/>
    <s v="S"/>
    <s v="P"/>
    <s v="01"/>
    <s v="04"/>
    <s v="False"/>
    <s v="True"/>
    <s v="U0033302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491"/>
    <x v="71"/>
    <m/>
    <x v="15"/>
    <s v="BONIS SPA"/>
    <s v="STOCK SCAFFALE MP"/>
    <x v="13"/>
    <m/>
    <m/>
    <n v="2"/>
    <s v="01"/>
    <s v="408"/>
    <s v="012"/>
    <s v="00"/>
    <s v="S"/>
    <s v="P"/>
    <s v="01"/>
    <s v="04"/>
    <s v="False"/>
    <s v="True"/>
    <s v="U0033302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491"/>
    <x v="71"/>
    <m/>
    <x v="18"/>
    <s v="BONIS SPA"/>
    <s v="STOCK SCAFFALE MP"/>
    <x v="13"/>
    <m/>
    <m/>
    <n v="1"/>
    <s v="01"/>
    <s v="408"/>
    <s v="012"/>
    <s v="00"/>
    <s v="S"/>
    <s v="P"/>
    <s v="01"/>
    <s v="04"/>
    <s v="False"/>
    <s v="True"/>
    <s v="U0033302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491"/>
    <x v="72"/>
    <m/>
    <x v="18"/>
    <s v="BONIS SPA"/>
    <s v="STOCK SCAFFALE MP"/>
    <x v="8"/>
    <m/>
    <m/>
    <n v="3"/>
    <s v="01"/>
    <s v="408"/>
    <s v="012"/>
    <s v="00"/>
    <s v="S"/>
    <s v="P"/>
    <s v="01"/>
    <s v="04"/>
    <s v="False"/>
    <s v="True"/>
    <s v="U0033300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5"/>
    <s v="BONIS SPA"/>
    <s v="STOCK SCAFFALE MP"/>
    <x v="8"/>
    <m/>
    <m/>
    <n v="4"/>
    <s v="01"/>
    <s v="408"/>
    <s v="012"/>
    <s v="00"/>
    <s v="S"/>
    <s v="P"/>
    <s v="01"/>
    <s v="04"/>
    <s v="False"/>
    <s v="True"/>
    <s v="U0033300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4"/>
    <s v="BONIS SPA"/>
    <s v="STOCK SCAFFALE MP"/>
    <x v="8"/>
    <m/>
    <m/>
    <n v="1"/>
    <s v="01"/>
    <s v="408"/>
    <s v="012"/>
    <s v="00"/>
    <s v="S"/>
    <s v="P"/>
    <s v="01"/>
    <s v="04"/>
    <s v="False"/>
    <s v="True"/>
    <s v="U0033300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7"/>
    <s v="BONIS SPA"/>
    <s v="STOCK SCAFFALE MP"/>
    <x v="8"/>
    <m/>
    <m/>
    <n v="4"/>
    <s v="01"/>
    <s v="408"/>
    <s v="012"/>
    <s v="00"/>
    <s v="S"/>
    <s v="P"/>
    <s v="01"/>
    <s v="04"/>
    <s v="False"/>
    <s v="True"/>
    <s v="U0033300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5"/>
    <s v="BONIS SPA"/>
    <s v="STOCK SCAFFALE MP"/>
    <x v="8"/>
    <m/>
    <m/>
    <n v="1"/>
    <s v="01"/>
    <s v="408"/>
    <s v="012"/>
    <s v="00"/>
    <s v="S"/>
    <s v="P"/>
    <s v="01"/>
    <s v="04"/>
    <s v="False"/>
    <s v="True"/>
    <s v="U0033302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7"/>
    <s v="BONIS SPA"/>
    <s v="STOCK SCAFFALE MP"/>
    <x v="11"/>
    <m/>
    <m/>
    <n v="12"/>
    <s v="01"/>
    <s v="408"/>
    <s v="012"/>
    <s v="00"/>
    <s v="S"/>
    <s v="P"/>
    <s v="01"/>
    <s v="04"/>
    <s v="False"/>
    <s v="True"/>
    <s v="U0033298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1"/>
    <m/>
    <x v="15"/>
    <s v="BONIS SPA"/>
    <s v="STOCK SCAFFALE MP"/>
    <x v="13"/>
    <m/>
    <m/>
    <n v="3"/>
    <s v="01"/>
    <s v="408"/>
    <s v="012"/>
    <s v="00"/>
    <s v="S"/>
    <s v="P"/>
    <s v="01"/>
    <s v="04"/>
    <s v="False"/>
    <s v="True"/>
    <s v="U0033289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491"/>
    <x v="72"/>
    <m/>
    <x v="17"/>
    <s v="BONIS SPA"/>
    <s v="STOCK SCAFFALE MP"/>
    <x v="11"/>
    <m/>
    <m/>
    <n v="1"/>
    <s v="01"/>
    <s v="408"/>
    <s v="012"/>
    <s v="00"/>
    <s v="S"/>
    <s v="P"/>
    <s v="01"/>
    <s v="04"/>
    <s v="False"/>
    <s v="True"/>
    <s v="U0033289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8"/>
    <s v="BONIS SPA"/>
    <s v="STOCK SCAFFALE MP"/>
    <x v="8"/>
    <m/>
    <m/>
    <n v="1"/>
    <s v="01"/>
    <s v="408"/>
    <s v="012"/>
    <s v="00"/>
    <s v="S"/>
    <s v="P"/>
    <s v="01"/>
    <s v="04"/>
    <s v="False"/>
    <s v="True"/>
    <s v="U0033294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8"/>
    <s v="BONIS SPA"/>
    <s v="STOCK SCAFFALE MP"/>
    <x v="8"/>
    <m/>
    <m/>
    <n v="4"/>
    <s v="01"/>
    <s v="408"/>
    <s v="012"/>
    <s v="00"/>
    <s v="S"/>
    <s v="P"/>
    <s v="01"/>
    <s v="04"/>
    <s v="False"/>
    <s v="True"/>
    <s v="U0033295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6"/>
    <s v="BONIS SPA"/>
    <s v="STOCK SCAFFALE MP"/>
    <x v="8"/>
    <m/>
    <m/>
    <n v="3"/>
    <s v="01"/>
    <s v="408"/>
    <s v="012"/>
    <s v="00"/>
    <s v="S"/>
    <s v="P"/>
    <s v="01"/>
    <s v="04"/>
    <s v="False"/>
    <s v="True"/>
    <s v="U0033295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7"/>
    <s v="BONIS SPA"/>
    <s v="STOCK SCAFFALE MP"/>
    <x v="8"/>
    <m/>
    <m/>
    <n v="3"/>
    <s v="01"/>
    <s v="408"/>
    <s v="012"/>
    <s v="00"/>
    <s v="S"/>
    <s v="P"/>
    <s v="01"/>
    <s v="04"/>
    <s v="False"/>
    <s v="True"/>
    <s v="U0033295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8"/>
    <s v="BONIS SPA"/>
    <s v="STOCK SCAFFALE MP"/>
    <x v="8"/>
    <m/>
    <m/>
    <n v="2"/>
    <s v="01"/>
    <s v="408"/>
    <s v="012"/>
    <s v="00"/>
    <s v="S"/>
    <s v="P"/>
    <s v="01"/>
    <s v="04"/>
    <s v="False"/>
    <s v="True"/>
    <s v="U0033304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5"/>
    <s v="BONIS SPA"/>
    <s v="STOCK SCAFFALE MP"/>
    <x v="8"/>
    <m/>
    <m/>
    <n v="3"/>
    <s v="01"/>
    <s v="408"/>
    <s v="012"/>
    <s v="00"/>
    <s v="S"/>
    <s v="P"/>
    <s v="01"/>
    <s v="04"/>
    <s v="False"/>
    <s v="True"/>
    <s v="U0033294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6"/>
    <s v="BONIS SPA"/>
    <s v="STOCK SCAFFALE MP"/>
    <x v="8"/>
    <m/>
    <m/>
    <n v="1"/>
    <s v="01"/>
    <s v="408"/>
    <s v="012"/>
    <s v="00"/>
    <s v="S"/>
    <s v="P"/>
    <s v="01"/>
    <s v="04"/>
    <s v="False"/>
    <s v="True"/>
    <s v="U0033294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7"/>
    <s v="BONIS SPA"/>
    <s v="STOCK SCAFFALE MP"/>
    <x v="8"/>
    <m/>
    <m/>
    <n v="3"/>
    <s v="01"/>
    <s v="408"/>
    <s v="012"/>
    <s v="00"/>
    <s v="S"/>
    <s v="P"/>
    <s v="01"/>
    <s v="04"/>
    <s v="False"/>
    <s v="True"/>
    <s v="U0033294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6"/>
    <s v="01"/>
    <s v="408"/>
    <s v="008"/>
    <s v="00"/>
    <s v="S"/>
    <s v="P"/>
    <s v="01"/>
    <s v="04"/>
    <s v="False"/>
    <s v="True"/>
    <s v="U003329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9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9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2"/>
    <m/>
    <m/>
    <n v="1"/>
    <s v="01"/>
    <s v="408"/>
    <s v="008"/>
    <s v="00"/>
    <s v="S"/>
    <s v="P"/>
    <s v="01"/>
    <s v="04"/>
    <s v="False"/>
    <s v="True"/>
    <s v="U003329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9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9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2"/>
    <m/>
    <m/>
    <n v="4"/>
    <s v="01"/>
    <s v="408"/>
    <s v="008"/>
    <s v="00"/>
    <s v="S"/>
    <s v="P"/>
    <s v="01"/>
    <s v="04"/>
    <s v="False"/>
    <s v="True"/>
    <s v="U003329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4"/>
    <s v="01"/>
    <s v="408"/>
    <s v="008"/>
    <s v="00"/>
    <s v="S"/>
    <s v="P"/>
    <s v="01"/>
    <s v="04"/>
    <s v="False"/>
    <s v="True"/>
    <s v="U003329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91"/>
    <x v="72"/>
    <m/>
    <x v="17"/>
    <s v="BONIS SPA"/>
    <s v="STOCK SCAFFALE MP"/>
    <x v="11"/>
    <m/>
    <m/>
    <n v="3"/>
    <s v="01"/>
    <s v="408"/>
    <s v="012"/>
    <s v="00"/>
    <s v="S"/>
    <s v="P"/>
    <s v="01"/>
    <s v="04"/>
    <s v="False"/>
    <s v="True"/>
    <s v="U0033294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5"/>
    <s v="BONIS SPA"/>
    <s v="STOCK SCAFFALE MP"/>
    <x v="11"/>
    <m/>
    <m/>
    <n v="1"/>
    <s v="01"/>
    <s v="408"/>
    <s v="012"/>
    <s v="00"/>
    <s v="S"/>
    <s v="P"/>
    <s v="01"/>
    <s v="04"/>
    <s v="False"/>
    <s v="True"/>
    <s v="U0033294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5"/>
    <s v="BONIS SPA"/>
    <s v="STOCK SCAFFALE MP"/>
    <x v="11"/>
    <m/>
    <m/>
    <n v="4"/>
    <s v="01"/>
    <s v="408"/>
    <s v="012"/>
    <s v="00"/>
    <s v="S"/>
    <s v="P"/>
    <s v="01"/>
    <s v="04"/>
    <s v="False"/>
    <s v="True"/>
    <s v="U0033289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2"/>
    <m/>
    <x v="16"/>
    <s v="BONIS SPA"/>
    <s v="STOCK SCAFFALE MP"/>
    <x v="11"/>
    <m/>
    <m/>
    <n v="2"/>
    <s v="01"/>
    <s v="408"/>
    <s v="012"/>
    <s v="00"/>
    <s v="S"/>
    <s v="P"/>
    <s v="01"/>
    <s v="04"/>
    <s v="False"/>
    <s v="True"/>
    <s v="U0033289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58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2"/>
    <m/>
    <m/>
    <n v="5"/>
    <s v="01"/>
    <s v="408"/>
    <s v="008"/>
    <s v="00"/>
    <s v="S"/>
    <s v="P"/>
    <s v="01"/>
    <s v="04"/>
    <s v="False"/>
    <s v="True"/>
    <s v="U003326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6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6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6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2"/>
    <m/>
    <m/>
    <n v="4"/>
    <s v="01"/>
    <s v="408"/>
    <s v="008"/>
    <s v="00"/>
    <s v="S"/>
    <s v="P"/>
    <s v="01"/>
    <s v="04"/>
    <s v="False"/>
    <s v="True"/>
    <s v="U0033263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63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5"/>
    <s v="01"/>
    <s v="408"/>
    <s v="008"/>
    <s v="00"/>
    <s v="S"/>
    <s v="P"/>
    <s v="01"/>
    <s v="04"/>
    <s v="False"/>
    <s v="True"/>
    <s v="U0033263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2"/>
    <m/>
    <m/>
    <n v="1"/>
    <s v="01"/>
    <s v="408"/>
    <s v="008"/>
    <s v="00"/>
    <s v="S"/>
    <s v="P"/>
    <s v="01"/>
    <s v="04"/>
    <s v="False"/>
    <s v="True"/>
    <s v="U0033263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2"/>
    <m/>
    <m/>
    <n v="4"/>
    <s v="01"/>
    <s v="408"/>
    <s v="008"/>
    <s v="00"/>
    <s v="S"/>
    <s v="P"/>
    <s v="01"/>
    <s v="04"/>
    <s v="False"/>
    <s v="True"/>
    <s v="U003326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2"/>
    <m/>
    <m/>
    <n v="1"/>
    <s v="01"/>
    <s v="408"/>
    <s v="008"/>
    <s v="00"/>
    <s v="S"/>
    <s v="P"/>
    <s v="01"/>
    <s v="04"/>
    <s v="False"/>
    <s v="True"/>
    <s v="U003326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4"/>
    <s v="01"/>
    <s v="408"/>
    <s v="008"/>
    <s v="00"/>
    <s v="S"/>
    <s v="P"/>
    <s v="01"/>
    <s v="04"/>
    <s v="False"/>
    <s v="True"/>
    <s v="U003326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6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9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6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6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6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6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6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6"/>
    <s v="01"/>
    <s v="408"/>
    <s v="008"/>
    <s v="00"/>
    <s v="S"/>
    <s v="P"/>
    <s v="01"/>
    <s v="04"/>
    <s v="False"/>
    <s v="True"/>
    <s v="U0033260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60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2"/>
    <m/>
    <m/>
    <n v="1"/>
    <s v="01"/>
    <s v="408"/>
    <s v="008"/>
    <s v="00"/>
    <s v="S"/>
    <s v="P"/>
    <s v="01"/>
    <s v="04"/>
    <s v="False"/>
    <s v="True"/>
    <s v="U0033260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60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59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59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59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59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58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2"/>
    <m/>
    <m/>
    <n v="4"/>
    <s v="01"/>
    <s v="408"/>
    <s v="008"/>
    <s v="00"/>
    <s v="S"/>
    <s v="P"/>
    <s v="01"/>
    <s v="04"/>
    <s v="False"/>
    <s v="True"/>
    <s v="U0033258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1"/>
    <s v="01"/>
    <s v="408"/>
    <s v="008"/>
    <s v="00"/>
    <s v="S"/>
    <s v="P"/>
    <s v="01"/>
    <s v="04"/>
    <s v="False"/>
    <s v="True"/>
    <s v="U003325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47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10"/>
    <m/>
    <m/>
    <n v="1"/>
    <s v="01"/>
    <s v="408"/>
    <s v="008"/>
    <s v="00"/>
    <s v="S"/>
    <s v="P"/>
    <s v="01"/>
    <s v="04"/>
    <s v="False"/>
    <s v="True"/>
    <s v="U0033258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10"/>
    <m/>
    <m/>
    <n v="1"/>
    <s v="01"/>
    <s v="408"/>
    <s v="008"/>
    <s v="00"/>
    <s v="S"/>
    <s v="P"/>
    <s v="01"/>
    <s v="04"/>
    <s v="False"/>
    <s v="True"/>
    <s v="U0033253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9"/>
    <s v="BONIS SPA"/>
    <s v="STOCK SCAFFALE MP"/>
    <x v="10"/>
    <m/>
    <m/>
    <n v="3"/>
    <s v="01"/>
    <s v="408"/>
    <s v="008"/>
    <s v="00"/>
    <s v="S"/>
    <s v="P"/>
    <s v="01"/>
    <s v="04"/>
    <s v="False"/>
    <s v="True"/>
    <s v="U0033255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10"/>
    <m/>
    <m/>
    <n v="2"/>
    <s v="01"/>
    <s v="408"/>
    <s v="008"/>
    <s v="00"/>
    <s v="S"/>
    <s v="P"/>
    <s v="01"/>
    <s v="04"/>
    <s v="False"/>
    <s v="True"/>
    <s v="U0033255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10"/>
    <m/>
    <m/>
    <n v="3"/>
    <s v="01"/>
    <s v="408"/>
    <s v="008"/>
    <s v="00"/>
    <s v="S"/>
    <s v="P"/>
    <s v="01"/>
    <s v="04"/>
    <s v="False"/>
    <s v="True"/>
    <s v="U0033255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10"/>
    <m/>
    <m/>
    <n v="4"/>
    <s v="01"/>
    <s v="408"/>
    <s v="008"/>
    <s v="00"/>
    <s v="S"/>
    <s v="P"/>
    <s v="01"/>
    <s v="04"/>
    <s v="False"/>
    <s v="True"/>
    <s v="U0033255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5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2"/>
    <m/>
    <m/>
    <n v="2"/>
    <s v="01"/>
    <s v="408"/>
    <s v="008"/>
    <s v="00"/>
    <s v="S"/>
    <s v="P"/>
    <s v="01"/>
    <s v="04"/>
    <s v="False"/>
    <s v="True"/>
    <s v="U003325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2"/>
    <m/>
    <m/>
    <n v="1"/>
    <s v="01"/>
    <s v="408"/>
    <s v="008"/>
    <s v="00"/>
    <s v="S"/>
    <s v="P"/>
    <s v="01"/>
    <s v="04"/>
    <s v="False"/>
    <s v="True"/>
    <s v="U003325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5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9"/>
    <s v="BONIS SPA"/>
    <s v="STOCK SCAFFALE MP"/>
    <x v="2"/>
    <m/>
    <m/>
    <n v="3"/>
    <s v="01"/>
    <s v="408"/>
    <s v="008"/>
    <s v="00"/>
    <s v="S"/>
    <s v="P"/>
    <s v="01"/>
    <s v="04"/>
    <s v="False"/>
    <s v="True"/>
    <s v="U003325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4"/>
    <m/>
    <m/>
    <n v="2"/>
    <s v="01"/>
    <s v="408"/>
    <s v="008"/>
    <s v="00"/>
    <s v="S"/>
    <s v="P"/>
    <s v="01"/>
    <s v="04"/>
    <s v="False"/>
    <s v="True"/>
    <s v="U0033253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4"/>
    <m/>
    <m/>
    <n v="1"/>
    <s v="01"/>
    <s v="408"/>
    <s v="008"/>
    <s v="00"/>
    <s v="S"/>
    <s v="P"/>
    <s v="01"/>
    <s v="04"/>
    <s v="False"/>
    <s v="True"/>
    <s v="U0033253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4"/>
    <m/>
    <m/>
    <n v="4"/>
    <s v="01"/>
    <s v="408"/>
    <s v="008"/>
    <s v="00"/>
    <s v="S"/>
    <s v="P"/>
    <s v="01"/>
    <s v="04"/>
    <s v="False"/>
    <s v="True"/>
    <s v="U0033253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4"/>
    <m/>
    <m/>
    <n v="3"/>
    <s v="01"/>
    <s v="408"/>
    <s v="008"/>
    <s v="00"/>
    <s v="S"/>
    <s v="P"/>
    <s v="01"/>
    <s v="04"/>
    <s v="False"/>
    <s v="True"/>
    <s v="U0033253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4"/>
    <m/>
    <x v="18"/>
    <s v="BONIS SPA"/>
    <s v="STOCK SCAFFALE MP"/>
    <x v="4"/>
    <m/>
    <m/>
    <n v="1"/>
    <s v="01"/>
    <s v="408"/>
    <s v="008"/>
    <s v="00"/>
    <s v="S"/>
    <s v="P"/>
    <s v="01"/>
    <s v="04"/>
    <s v="False"/>
    <s v="True"/>
    <s v="U0033253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E GOMMA TWILL canvas"/>
    <s v="Bonis SpA"/>
    <m/>
    <m/>
    <m/>
    <m/>
    <m/>
    <m/>
    <m/>
    <m/>
    <m/>
    <m/>
    <m/>
    <m/>
  </r>
  <r>
    <m/>
    <n v="2479"/>
    <x v="73"/>
    <m/>
    <x v="8"/>
    <s v="BONIS SPA"/>
    <s v="STOCK SCAFFALE MP"/>
    <x v="10"/>
    <m/>
    <m/>
    <n v="2"/>
    <s v="01"/>
    <s v="408"/>
    <s v="008"/>
    <s v="00"/>
    <s v="S"/>
    <s v="P"/>
    <s v="01"/>
    <s v="04"/>
    <s v="False"/>
    <s v="True"/>
    <s v="U003325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10"/>
    <m/>
    <m/>
    <n v="1"/>
    <s v="01"/>
    <s v="408"/>
    <s v="008"/>
    <s v="00"/>
    <s v="S"/>
    <s v="P"/>
    <s v="01"/>
    <s v="04"/>
    <s v="False"/>
    <s v="True"/>
    <s v="U003325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10"/>
    <m/>
    <m/>
    <n v="1"/>
    <s v="01"/>
    <s v="408"/>
    <s v="008"/>
    <s v="00"/>
    <s v="S"/>
    <s v="P"/>
    <s v="01"/>
    <s v="04"/>
    <s v="False"/>
    <s v="True"/>
    <s v="U003325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10"/>
    <m/>
    <m/>
    <n v="4"/>
    <s v="01"/>
    <s v="408"/>
    <s v="008"/>
    <s v="00"/>
    <s v="S"/>
    <s v="P"/>
    <s v="01"/>
    <s v="04"/>
    <s v="False"/>
    <s v="True"/>
    <s v="U003325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9"/>
    <s v="BONIS SPA"/>
    <s v="STOCK SCAFFALE MP"/>
    <x v="10"/>
    <m/>
    <m/>
    <n v="1"/>
    <s v="01"/>
    <s v="408"/>
    <s v="008"/>
    <s v="00"/>
    <s v="S"/>
    <s v="P"/>
    <s v="01"/>
    <s v="04"/>
    <s v="False"/>
    <s v="True"/>
    <s v="U003325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10"/>
    <m/>
    <m/>
    <n v="2"/>
    <s v="01"/>
    <s v="408"/>
    <s v="008"/>
    <s v="00"/>
    <s v="S"/>
    <s v="P"/>
    <s v="01"/>
    <s v="04"/>
    <s v="False"/>
    <s v="True"/>
    <s v="U003325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9"/>
    <s v="BONIS SPA"/>
    <s v="STOCK SCAFFALE MP"/>
    <x v="10"/>
    <m/>
    <m/>
    <n v="3"/>
    <s v="01"/>
    <s v="408"/>
    <s v="008"/>
    <s v="00"/>
    <s v="S"/>
    <s v="P"/>
    <s v="01"/>
    <s v="04"/>
    <s v="False"/>
    <s v="True"/>
    <s v="U003325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10"/>
    <m/>
    <m/>
    <n v="5"/>
    <s v="01"/>
    <s v="408"/>
    <s v="008"/>
    <s v="00"/>
    <s v="S"/>
    <s v="P"/>
    <s v="01"/>
    <s v="04"/>
    <s v="False"/>
    <s v="True"/>
    <s v="U003325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10"/>
    <m/>
    <m/>
    <n v="2"/>
    <s v="01"/>
    <s v="408"/>
    <s v="008"/>
    <s v="00"/>
    <s v="S"/>
    <s v="P"/>
    <s v="01"/>
    <s v="04"/>
    <s v="False"/>
    <s v="True"/>
    <s v="U0033251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10"/>
    <m/>
    <m/>
    <n v="4"/>
    <s v="01"/>
    <s v="408"/>
    <s v="008"/>
    <s v="00"/>
    <s v="S"/>
    <s v="P"/>
    <s v="01"/>
    <s v="04"/>
    <s v="False"/>
    <s v="True"/>
    <s v="U0033250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10"/>
    <m/>
    <m/>
    <n v="4"/>
    <s v="01"/>
    <s v="408"/>
    <s v="008"/>
    <s v="00"/>
    <s v="S"/>
    <s v="P"/>
    <s v="01"/>
    <s v="04"/>
    <s v="False"/>
    <s v="True"/>
    <s v="U0033250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10"/>
    <m/>
    <m/>
    <n v="1"/>
    <s v="01"/>
    <s v="408"/>
    <s v="008"/>
    <s v="00"/>
    <s v="S"/>
    <s v="P"/>
    <s v="01"/>
    <s v="04"/>
    <s v="False"/>
    <s v="True"/>
    <s v="U0033250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10"/>
    <m/>
    <m/>
    <n v="3"/>
    <s v="01"/>
    <s v="408"/>
    <s v="008"/>
    <s v="00"/>
    <s v="S"/>
    <s v="P"/>
    <s v="01"/>
    <s v="04"/>
    <s v="False"/>
    <s v="True"/>
    <s v="U0033250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4"/>
    <m/>
    <m/>
    <n v="1"/>
    <s v="01"/>
    <s v="408"/>
    <s v="008"/>
    <s v="00"/>
    <s v="S"/>
    <s v="P"/>
    <s v="01"/>
    <s v="04"/>
    <s v="False"/>
    <s v="True"/>
    <s v="U003325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4"/>
    <m/>
    <m/>
    <n v="2"/>
    <s v="01"/>
    <s v="408"/>
    <s v="008"/>
    <s v="00"/>
    <s v="S"/>
    <s v="P"/>
    <s v="01"/>
    <s v="04"/>
    <s v="False"/>
    <s v="True"/>
    <s v="U003325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4"/>
    <m/>
    <m/>
    <n v="3"/>
    <s v="01"/>
    <s v="408"/>
    <s v="008"/>
    <s v="00"/>
    <s v="S"/>
    <s v="P"/>
    <s v="01"/>
    <s v="04"/>
    <s v="False"/>
    <s v="True"/>
    <s v="U0033247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4"/>
    <m/>
    <m/>
    <n v="3"/>
    <s v="01"/>
    <s v="408"/>
    <s v="008"/>
    <s v="00"/>
    <s v="S"/>
    <s v="P"/>
    <s v="01"/>
    <s v="04"/>
    <s v="False"/>
    <s v="True"/>
    <s v="U0033247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20"/>
    <s v="BONIS SPA"/>
    <s v="STOCK SCAFFALE MP"/>
    <x v="4"/>
    <m/>
    <m/>
    <n v="4"/>
    <s v="01"/>
    <s v="408"/>
    <s v="008"/>
    <s v="00"/>
    <s v="S"/>
    <s v="P"/>
    <s v="01"/>
    <s v="04"/>
    <s v="False"/>
    <s v="True"/>
    <s v="U0033247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9"/>
    <s v="BONIS SPA"/>
    <s v="STOCK SCAFFALE MP"/>
    <x v="4"/>
    <m/>
    <m/>
    <n v="6"/>
    <s v="01"/>
    <s v="408"/>
    <s v="008"/>
    <s v="00"/>
    <s v="S"/>
    <s v="P"/>
    <s v="01"/>
    <s v="04"/>
    <s v="False"/>
    <s v="True"/>
    <s v="U0033246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18"/>
    <s v="BONIS SPA"/>
    <s v="STOCK SCAFFALE MP"/>
    <x v="4"/>
    <m/>
    <m/>
    <n v="5"/>
    <s v="01"/>
    <s v="408"/>
    <s v="008"/>
    <s v="00"/>
    <s v="S"/>
    <s v="P"/>
    <s v="01"/>
    <s v="04"/>
    <s v="False"/>
    <s v="True"/>
    <s v="U0033246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79"/>
    <x v="73"/>
    <m/>
    <x v="8"/>
    <s v="BONIS SPA"/>
    <s v="STOCK SCAFFALE MP"/>
    <x v="4"/>
    <m/>
    <m/>
    <n v="1"/>
    <s v="01"/>
    <s v="408"/>
    <s v="008"/>
    <s v="00"/>
    <s v="S"/>
    <s v="P"/>
    <s v="01"/>
    <s v="04"/>
    <s v="False"/>
    <s v="True"/>
    <s v="U0033246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+PU LEAT"/>
    <s v="Bonis SpA"/>
    <m/>
    <m/>
    <m/>
    <m/>
    <m/>
    <m/>
    <m/>
    <m/>
    <m/>
    <m/>
    <m/>
    <m/>
  </r>
  <r>
    <m/>
    <n v="2491"/>
    <x v="75"/>
    <m/>
    <x v="9"/>
    <s v="BONIS SPA"/>
    <s v="STOCK SCAFFALE MP"/>
    <x v="1"/>
    <m/>
    <m/>
    <n v="6"/>
    <s v="01"/>
    <s v="408"/>
    <s v="012"/>
    <s v="00"/>
    <s v="S"/>
    <s v="P"/>
    <s v="01"/>
    <s v="04"/>
    <s v="False"/>
    <s v="True"/>
    <s v="U0033229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5"/>
    <m/>
    <x v="20"/>
    <s v="BONIS SPA"/>
    <s v="STOCK SCAFFALE MP"/>
    <x v="1"/>
    <m/>
    <m/>
    <n v="4"/>
    <s v="01"/>
    <s v="408"/>
    <s v="012"/>
    <s v="00"/>
    <s v="S"/>
    <s v="P"/>
    <s v="01"/>
    <s v="04"/>
    <s v="False"/>
    <s v="True"/>
    <s v="U0033229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5"/>
    <m/>
    <x v="9"/>
    <s v="BONIS SPA"/>
    <s v="STOCK SCAFFALE MP"/>
    <x v="1"/>
    <m/>
    <m/>
    <n v="3"/>
    <s v="01"/>
    <s v="408"/>
    <s v="012"/>
    <s v="00"/>
    <s v="S"/>
    <s v="P"/>
    <s v="01"/>
    <s v="04"/>
    <s v="False"/>
    <s v="True"/>
    <s v="U0033220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5"/>
    <m/>
    <x v="20"/>
    <s v="BONIS SPA"/>
    <s v="STOCK SCAFFALE MP"/>
    <x v="1"/>
    <m/>
    <m/>
    <n v="2"/>
    <s v="01"/>
    <s v="408"/>
    <s v="012"/>
    <s v="00"/>
    <s v="S"/>
    <s v="P"/>
    <s v="01"/>
    <s v="04"/>
    <s v="False"/>
    <s v="True"/>
    <s v="U0033220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5"/>
    <m/>
    <x v="19"/>
    <s v="BONIS SPA"/>
    <s v="STOCK SCAFFALE MP"/>
    <x v="10"/>
    <m/>
    <m/>
    <n v="3"/>
    <s v="01"/>
    <s v="408"/>
    <s v="012"/>
    <s v="00"/>
    <s v="S"/>
    <s v="P"/>
    <s v="01"/>
    <s v="04"/>
    <s v="False"/>
    <s v="True"/>
    <s v="U0033225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5"/>
    <m/>
    <x v="20"/>
    <s v="BONIS SPA"/>
    <s v="STOCK SCAFFALE MP"/>
    <x v="10"/>
    <m/>
    <m/>
    <n v="3"/>
    <s v="01"/>
    <s v="408"/>
    <s v="012"/>
    <s v="00"/>
    <s v="S"/>
    <s v="P"/>
    <s v="01"/>
    <s v="04"/>
    <s v="False"/>
    <s v="True"/>
    <s v="U0033225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5"/>
    <m/>
    <x v="20"/>
    <s v="BONIS SPA"/>
    <s v="STOCK SCAFFALE MP"/>
    <x v="1"/>
    <m/>
    <m/>
    <n v="3"/>
    <s v="01"/>
    <s v="408"/>
    <s v="012"/>
    <s v="00"/>
    <s v="S"/>
    <s v="P"/>
    <s v="01"/>
    <s v="04"/>
    <s v="False"/>
    <s v="True"/>
    <s v="U0033222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5"/>
    <m/>
    <x v="9"/>
    <s v="BONIS SPA"/>
    <s v="STOCK SCAFFALE MP"/>
    <x v="1"/>
    <m/>
    <m/>
    <n v="4"/>
    <s v="01"/>
    <s v="408"/>
    <s v="012"/>
    <s v="00"/>
    <s v="S"/>
    <s v="P"/>
    <s v="01"/>
    <s v="04"/>
    <s v="False"/>
    <s v="True"/>
    <s v="U0033222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5"/>
    <m/>
    <x v="19"/>
    <s v="BONIS SPA"/>
    <s v="STOCK SCAFFALE MP"/>
    <x v="10"/>
    <m/>
    <m/>
    <n v="2"/>
    <s v="01"/>
    <s v="408"/>
    <s v="012"/>
    <s v="00"/>
    <s v="S"/>
    <s v="P"/>
    <s v="01"/>
    <s v="04"/>
    <s v="False"/>
    <s v="True"/>
    <s v="U0033222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5"/>
    <m/>
    <x v="20"/>
    <s v="BONIS SPA"/>
    <s v="STOCK SCAFFALE MP"/>
    <x v="10"/>
    <m/>
    <m/>
    <n v="3"/>
    <s v="01"/>
    <s v="408"/>
    <s v="012"/>
    <s v="00"/>
    <s v="S"/>
    <s v="P"/>
    <s v="01"/>
    <s v="04"/>
    <s v="False"/>
    <s v="True"/>
    <s v="U0033222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5"/>
    <m/>
    <x v="19"/>
    <s v="BONIS SPA"/>
    <s v="STOCK SCAFFALE MP"/>
    <x v="10"/>
    <m/>
    <m/>
    <n v="2"/>
    <s v="01"/>
    <s v="408"/>
    <s v="012"/>
    <s v="00"/>
    <s v="S"/>
    <s v="P"/>
    <s v="01"/>
    <s v="04"/>
    <s v="False"/>
    <s v="True"/>
    <s v="U0033220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5"/>
    <m/>
    <x v="20"/>
    <s v="BONIS SPA"/>
    <s v="STOCK SCAFFALE MP"/>
    <x v="10"/>
    <m/>
    <m/>
    <n v="3"/>
    <s v="01"/>
    <s v="408"/>
    <s v="012"/>
    <s v="00"/>
    <s v="S"/>
    <s v="P"/>
    <s v="01"/>
    <s v="04"/>
    <s v="False"/>
    <s v="True"/>
    <s v="U0033220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500"/>
    <x v="21"/>
    <m/>
    <x v="15"/>
    <s v="BONIS SPA"/>
    <s v="STOCK SCAFFALE MP"/>
    <x v="31"/>
    <m/>
    <m/>
    <n v="1"/>
    <s v="01"/>
    <s v="408"/>
    <s v="015"/>
    <s v="00"/>
    <s v="S"/>
    <s v="P"/>
    <s v="01"/>
    <s v="04"/>
    <s v="False"/>
    <s v="True"/>
    <s v="U0027922"/>
    <n v="1"/>
    <m/>
    <n v="0"/>
    <n v="0"/>
    <m/>
    <m/>
    <m/>
    <m/>
    <m/>
    <m/>
    <m/>
    <m/>
    <s v="106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0"/>
    <x v="61"/>
    <m/>
    <x v="24"/>
    <s v="BONIS SPA"/>
    <s v="STOCK SCAFFALE MP"/>
    <x v="12"/>
    <m/>
    <m/>
    <n v="1"/>
    <s v="01"/>
    <s v="408"/>
    <s v="015"/>
    <s v="00"/>
    <s v="S"/>
    <s v="P"/>
    <s v="01"/>
    <s v="04"/>
    <s v="False"/>
    <s v="True"/>
    <s v="U0027922"/>
    <n v="1"/>
    <m/>
    <n v="0"/>
    <n v="0"/>
    <m/>
    <m/>
    <m/>
    <m/>
    <m/>
    <m/>
    <m/>
    <m/>
    <s v="106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0"/>
    <x v="61"/>
    <m/>
    <x v="24"/>
    <s v="BONIS SPA"/>
    <s v="STOCK SCAFFALE MP"/>
    <x v="8"/>
    <m/>
    <m/>
    <n v="2"/>
    <s v="01"/>
    <s v="408"/>
    <s v="015"/>
    <s v="00"/>
    <s v="S"/>
    <s v="P"/>
    <s v="01"/>
    <s v="04"/>
    <s v="False"/>
    <s v="True"/>
    <s v="U0027922"/>
    <n v="1"/>
    <m/>
    <n v="0"/>
    <n v="0"/>
    <m/>
    <m/>
    <m/>
    <m/>
    <m/>
    <m/>
    <m/>
    <m/>
    <s v="106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3"/>
    <x v="21"/>
    <m/>
    <x v="18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351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11"/>
    <s v="01"/>
    <s v="408"/>
    <s v="005"/>
    <s v="00"/>
    <s v="S"/>
    <s v="P"/>
    <s v="01"/>
    <s v="04"/>
    <s v="False"/>
    <s v="True"/>
    <s v="U00348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6"/>
    <s v="01"/>
    <s v="408"/>
    <s v="005"/>
    <s v="00"/>
    <s v="S"/>
    <s v="P"/>
    <s v="01"/>
    <s v="04"/>
    <s v="False"/>
    <s v="True"/>
    <s v="U00348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6"/>
    <s v="BONIS SPA"/>
    <s v="STOCK SCAFFALE MP"/>
    <x v="12"/>
    <m/>
    <m/>
    <n v="3"/>
    <s v="01"/>
    <s v="408"/>
    <s v="004"/>
    <s v="00"/>
    <s v="S"/>
    <s v="P"/>
    <s v="01"/>
    <s v="04"/>
    <s v="False"/>
    <s v="True"/>
    <s v="U003483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8"/>
    <s v="BONIS SPA"/>
    <s v="STOCK SCAFFALE MP"/>
    <x v="12"/>
    <m/>
    <m/>
    <n v="12"/>
    <s v="01"/>
    <s v="408"/>
    <s v="004"/>
    <s v="00"/>
    <s v="S"/>
    <s v="P"/>
    <s v="01"/>
    <s v="04"/>
    <s v="False"/>
    <s v="True"/>
    <s v="U003483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7"/>
    <s v="BONIS SPA"/>
    <s v="STOCK SCAFFALE MP"/>
    <x v="12"/>
    <m/>
    <m/>
    <n v="2"/>
    <s v="01"/>
    <s v="408"/>
    <s v="004"/>
    <s v="00"/>
    <s v="S"/>
    <s v="P"/>
    <s v="01"/>
    <s v="04"/>
    <s v="False"/>
    <s v="True"/>
    <s v="U003483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4"/>
    <s v="01"/>
    <s v="408"/>
    <s v="005"/>
    <s v="00"/>
    <s v="S"/>
    <s v="P"/>
    <s v="01"/>
    <s v="04"/>
    <s v="False"/>
    <s v="True"/>
    <s v="U00348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20"/>
    <s v="BONIS SPA"/>
    <s v="STOCK SCAFFALE MP"/>
    <x v="12"/>
    <m/>
    <m/>
    <n v="2"/>
    <s v="01"/>
    <s v="408"/>
    <s v="004"/>
    <s v="00"/>
    <s v="S"/>
    <s v="P"/>
    <s v="01"/>
    <s v="04"/>
    <s v="False"/>
    <s v="True"/>
    <s v="U003483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9"/>
    <s v="BONIS SPA"/>
    <s v="STOCK SCAFFALE MP"/>
    <x v="12"/>
    <m/>
    <m/>
    <n v="1"/>
    <s v="01"/>
    <s v="408"/>
    <s v="004"/>
    <s v="00"/>
    <s v="S"/>
    <s v="P"/>
    <s v="01"/>
    <s v="04"/>
    <s v="False"/>
    <s v="True"/>
    <s v="U003483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6"/>
    <s v="01"/>
    <s v="408"/>
    <s v="005"/>
    <s v="00"/>
    <s v="S"/>
    <s v="P"/>
    <s v="01"/>
    <s v="04"/>
    <s v="False"/>
    <s v="True"/>
    <s v="U00348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8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9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8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8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8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10"/>
    <s v="01"/>
    <s v="408"/>
    <s v="005"/>
    <s v="00"/>
    <s v="S"/>
    <s v="P"/>
    <s v="01"/>
    <s v="04"/>
    <s v="False"/>
    <s v="True"/>
    <s v="U00348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20"/>
    <s v="BONIS SPA"/>
    <s v="STOCK SCAFFALE MP"/>
    <x v="10"/>
    <m/>
    <m/>
    <n v="9"/>
    <s v="01"/>
    <s v="408"/>
    <s v="005"/>
    <s v="00"/>
    <s v="S"/>
    <s v="P"/>
    <s v="01"/>
    <s v="04"/>
    <s v="False"/>
    <s v="True"/>
    <s v="U003483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8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3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9"/>
    <s v="BONIS SPA"/>
    <s v="STOCK SCAFFALE MP"/>
    <x v="10"/>
    <m/>
    <m/>
    <n v="17"/>
    <s v="01"/>
    <s v="408"/>
    <s v="005"/>
    <s v="00"/>
    <s v="S"/>
    <s v="P"/>
    <s v="01"/>
    <s v="04"/>
    <s v="False"/>
    <s v="True"/>
    <s v="U003483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9"/>
    <s v="BONIS SPA"/>
    <s v="STOCK SCAFFALE MP"/>
    <x v="10"/>
    <m/>
    <m/>
    <n v="10"/>
    <s v="01"/>
    <s v="408"/>
    <s v="005"/>
    <s v="00"/>
    <s v="S"/>
    <s v="P"/>
    <s v="01"/>
    <s v="04"/>
    <s v="False"/>
    <s v="True"/>
    <s v="U003483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10"/>
    <s v="01"/>
    <s v="408"/>
    <s v="005"/>
    <s v="00"/>
    <s v="S"/>
    <s v="P"/>
    <s v="01"/>
    <s v="04"/>
    <s v="False"/>
    <s v="True"/>
    <s v="U003483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6"/>
    <s v="01"/>
    <s v="408"/>
    <s v="005"/>
    <s v="00"/>
    <s v="S"/>
    <s v="P"/>
    <s v="01"/>
    <s v="04"/>
    <s v="False"/>
    <s v="True"/>
    <s v="U003483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21"/>
    <s v="BONIS SPA"/>
    <s v="STOCK SCAFFALE MP"/>
    <x v="10"/>
    <m/>
    <m/>
    <n v="5"/>
    <s v="01"/>
    <s v="408"/>
    <s v="005"/>
    <s v="00"/>
    <s v="S"/>
    <s v="P"/>
    <s v="01"/>
    <s v="04"/>
    <s v="False"/>
    <s v="True"/>
    <s v="U003483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8"/>
    <s v="BONIS SPA"/>
    <s v="STOCK SCAFFALE MP"/>
    <x v="10"/>
    <m/>
    <m/>
    <n v="8"/>
    <s v="01"/>
    <s v="408"/>
    <s v="005"/>
    <s v="00"/>
    <s v="S"/>
    <s v="P"/>
    <s v="01"/>
    <s v="04"/>
    <s v="False"/>
    <s v="True"/>
    <s v="U003483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9"/>
    <s v="BONIS SPA"/>
    <s v="STOCK SCAFFALE MP"/>
    <x v="10"/>
    <m/>
    <m/>
    <n v="13"/>
    <s v="01"/>
    <s v="408"/>
    <s v="005"/>
    <s v="00"/>
    <s v="S"/>
    <s v="P"/>
    <s v="01"/>
    <s v="04"/>
    <s v="False"/>
    <s v="True"/>
    <s v="U003483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5"/>
    <s v="01"/>
    <s v="408"/>
    <s v="005"/>
    <s v="00"/>
    <s v="S"/>
    <s v="P"/>
    <s v="01"/>
    <s v="04"/>
    <s v="False"/>
    <s v="True"/>
    <s v="U003484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84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9"/>
    <s v="01"/>
    <s v="408"/>
    <s v="005"/>
    <s v="00"/>
    <s v="S"/>
    <s v="P"/>
    <s v="01"/>
    <s v="04"/>
    <s v="False"/>
    <s v="True"/>
    <s v="U003484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4"/>
    <m/>
    <m/>
    <n v="1"/>
    <s v="01"/>
    <s v="408"/>
    <s v="005"/>
    <s v="00"/>
    <s v="S"/>
    <s v="P"/>
    <s v="01"/>
    <s v="04"/>
    <s v="False"/>
    <s v="True"/>
    <s v="U003484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4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4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8"/>
    <s v="BONIS SPA"/>
    <s v="STOCK SCAFFALE MP"/>
    <x v="10"/>
    <m/>
    <m/>
    <n v="4"/>
    <s v="01"/>
    <s v="408"/>
    <s v="005"/>
    <s v="00"/>
    <s v="S"/>
    <s v="P"/>
    <s v="01"/>
    <s v="04"/>
    <s v="False"/>
    <s v="True"/>
    <s v="U003484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9"/>
    <s v="BONIS SPA"/>
    <s v="STOCK SCAFFALE MP"/>
    <x v="10"/>
    <m/>
    <m/>
    <n v="17"/>
    <s v="01"/>
    <s v="408"/>
    <s v="005"/>
    <s v="00"/>
    <s v="S"/>
    <s v="P"/>
    <s v="01"/>
    <s v="04"/>
    <s v="False"/>
    <s v="True"/>
    <s v="U003484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20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4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4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11"/>
    <s v="01"/>
    <s v="408"/>
    <s v="005"/>
    <s v="00"/>
    <s v="S"/>
    <s v="P"/>
    <s v="01"/>
    <s v="04"/>
    <s v="False"/>
    <s v="True"/>
    <s v="U003484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9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84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5"/>
    <s v="01"/>
    <s v="408"/>
    <s v="005"/>
    <s v="00"/>
    <s v="S"/>
    <s v="P"/>
    <s v="01"/>
    <s v="04"/>
    <s v="False"/>
    <s v="True"/>
    <s v="U003484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4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4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9"/>
    <s v="01"/>
    <s v="408"/>
    <s v="005"/>
    <s v="00"/>
    <s v="S"/>
    <s v="P"/>
    <s v="01"/>
    <s v="04"/>
    <s v="False"/>
    <s v="True"/>
    <s v="U003484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4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3"/>
    <s v="01"/>
    <s v="408"/>
    <s v="005"/>
    <s v="00"/>
    <s v="S"/>
    <s v="P"/>
    <s v="01"/>
    <s v="04"/>
    <s v="False"/>
    <s v="True"/>
    <s v="U003484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6"/>
    <s v="01"/>
    <s v="408"/>
    <s v="005"/>
    <s v="00"/>
    <s v="S"/>
    <s v="P"/>
    <s v="01"/>
    <s v="04"/>
    <s v="False"/>
    <s v="True"/>
    <s v="U003484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6"/>
    <s v="01"/>
    <s v="408"/>
    <s v="005"/>
    <s v="00"/>
    <s v="S"/>
    <s v="P"/>
    <s v="01"/>
    <s v="04"/>
    <s v="False"/>
    <s v="True"/>
    <s v="U003484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9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4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9"/>
    <s v="01"/>
    <s v="408"/>
    <s v="005"/>
    <s v="00"/>
    <s v="S"/>
    <s v="P"/>
    <s v="01"/>
    <s v="04"/>
    <s v="False"/>
    <s v="True"/>
    <s v="U0034844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44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6"/>
    <s v="01"/>
    <s v="408"/>
    <s v="005"/>
    <s v="00"/>
    <s v="S"/>
    <s v="P"/>
    <s v="01"/>
    <s v="04"/>
    <s v="False"/>
    <s v="True"/>
    <s v="U0034844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9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844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6"/>
    <s v="01"/>
    <s v="408"/>
    <s v="005"/>
    <s v="00"/>
    <s v="S"/>
    <s v="P"/>
    <s v="01"/>
    <s v="04"/>
    <s v="False"/>
    <s v="True"/>
    <s v="U0034844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3"/>
    <s v="01"/>
    <s v="408"/>
    <s v="005"/>
    <s v="00"/>
    <s v="S"/>
    <s v="P"/>
    <s v="01"/>
    <s v="04"/>
    <s v="False"/>
    <s v="True"/>
    <s v="U0034844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8"/>
    <m/>
    <m/>
    <n v="5"/>
    <s v="01"/>
    <s v="408"/>
    <s v="005"/>
    <s v="00"/>
    <s v="S"/>
    <s v="P"/>
    <s v="01"/>
    <s v="04"/>
    <s v="False"/>
    <s v="True"/>
    <s v="U003484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8"/>
    <s v="BONIS SPA"/>
    <s v="STOCK SCAFFALE MP"/>
    <x v="8"/>
    <m/>
    <m/>
    <n v="6"/>
    <s v="01"/>
    <s v="408"/>
    <s v="005"/>
    <s v="00"/>
    <s v="S"/>
    <s v="P"/>
    <s v="01"/>
    <s v="04"/>
    <s v="False"/>
    <s v="True"/>
    <s v="U003484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9"/>
    <s v="BONIS SPA"/>
    <s v="STOCK SCAFFALE MP"/>
    <x v="8"/>
    <m/>
    <m/>
    <n v="2"/>
    <s v="01"/>
    <s v="408"/>
    <s v="005"/>
    <s v="00"/>
    <s v="S"/>
    <s v="P"/>
    <s v="01"/>
    <s v="04"/>
    <s v="False"/>
    <s v="True"/>
    <s v="U003484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20"/>
    <s v="BONIS SPA"/>
    <s v="STOCK SCAFFALE MP"/>
    <x v="8"/>
    <m/>
    <m/>
    <n v="1"/>
    <s v="01"/>
    <s v="408"/>
    <s v="005"/>
    <s v="00"/>
    <s v="S"/>
    <s v="P"/>
    <s v="01"/>
    <s v="04"/>
    <s v="False"/>
    <s v="True"/>
    <s v="U003484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8"/>
    <m/>
    <m/>
    <n v="6"/>
    <s v="01"/>
    <s v="408"/>
    <s v="005"/>
    <s v="00"/>
    <s v="S"/>
    <s v="P"/>
    <s v="01"/>
    <s v="04"/>
    <s v="False"/>
    <s v="True"/>
    <s v="U003484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61"/>
    <m/>
    <x v="14"/>
    <s v="BONIS SPA"/>
    <s v="STOCK SCAFFALE MP"/>
    <x v="8"/>
    <m/>
    <m/>
    <n v="4"/>
    <s v="01"/>
    <s v="408"/>
    <s v="005"/>
    <s v="00"/>
    <s v="S"/>
    <s v="P"/>
    <s v="01"/>
    <s v="04"/>
    <s v="False"/>
    <s v="True"/>
    <s v="U0034845"/>
    <n v="1"/>
    <m/>
    <n v="0"/>
    <n v="0"/>
    <m/>
    <m/>
    <m/>
    <m/>
    <m/>
    <m/>
    <m/>
    <m/>
    <s v="F10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9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4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4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4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6"/>
    <s v="01"/>
    <s v="408"/>
    <s v="005"/>
    <s v="00"/>
    <s v="S"/>
    <s v="P"/>
    <s v="01"/>
    <s v="04"/>
    <s v="False"/>
    <s v="True"/>
    <s v="U003484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5"/>
    <s v="01"/>
    <s v="408"/>
    <s v="005"/>
    <s v="00"/>
    <s v="S"/>
    <s v="P"/>
    <s v="01"/>
    <s v="04"/>
    <s v="False"/>
    <s v="True"/>
    <s v="U003484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4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8"/>
    <s v="01"/>
    <s v="408"/>
    <s v="005"/>
    <s v="00"/>
    <s v="S"/>
    <s v="P"/>
    <s v="01"/>
    <s v="04"/>
    <s v="False"/>
    <s v="True"/>
    <s v="U003484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5"/>
    <s v="01"/>
    <s v="408"/>
    <s v="005"/>
    <s v="00"/>
    <s v="S"/>
    <s v="P"/>
    <s v="01"/>
    <s v="04"/>
    <s v="False"/>
    <s v="True"/>
    <s v="U003484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4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5"/>
    <s v="01"/>
    <s v="408"/>
    <s v="005"/>
    <s v="00"/>
    <s v="S"/>
    <s v="P"/>
    <s v="01"/>
    <s v="04"/>
    <s v="False"/>
    <s v="True"/>
    <s v="U003484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61"/>
    <m/>
    <x v="17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847"/>
    <n v="1"/>
    <m/>
    <n v="0"/>
    <n v="0"/>
    <m/>
    <m/>
    <m/>
    <m/>
    <m/>
    <m/>
    <m/>
    <m/>
    <s v="F10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4"/>
    <s v="01"/>
    <s v="408"/>
    <s v="005"/>
    <s v="00"/>
    <s v="S"/>
    <s v="P"/>
    <s v="01"/>
    <s v="04"/>
    <s v="False"/>
    <s v="True"/>
    <s v="U003484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9"/>
    <s v="BONIS SPA"/>
    <s v="STOCK SCAFFALE MP"/>
    <x v="10"/>
    <m/>
    <m/>
    <n v="3"/>
    <s v="01"/>
    <s v="408"/>
    <s v="005"/>
    <s v="00"/>
    <s v="S"/>
    <s v="P"/>
    <s v="01"/>
    <s v="04"/>
    <s v="False"/>
    <s v="True"/>
    <s v="U003484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4"/>
    <s v="01"/>
    <s v="408"/>
    <s v="005"/>
    <s v="00"/>
    <s v="S"/>
    <s v="P"/>
    <s v="01"/>
    <s v="04"/>
    <s v="False"/>
    <s v="True"/>
    <s v="U003484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9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4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4"/>
    <s v="01"/>
    <s v="408"/>
    <s v="005"/>
    <s v="00"/>
    <s v="S"/>
    <s v="P"/>
    <s v="01"/>
    <s v="04"/>
    <s v="False"/>
    <s v="True"/>
    <s v="U003484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4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4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4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4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4"/>
    <s v="01"/>
    <s v="408"/>
    <s v="005"/>
    <s v="00"/>
    <s v="S"/>
    <s v="P"/>
    <s v="01"/>
    <s v="04"/>
    <s v="False"/>
    <s v="True"/>
    <s v="U003484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4"/>
    <s v="01"/>
    <s v="408"/>
    <s v="005"/>
    <s v="00"/>
    <s v="S"/>
    <s v="P"/>
    <s v="01"/>
    <s v="04"/>
    <s v="False"/>
    <s v="True"/>
    <s v="U003484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4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4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9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84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5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3"/>
    <s v="01"/>
    <s v="408"/>
    <s v="005"/>
    <s v="00"/>
    <s v="S"/>
    <s v="P"/>
    <s v="01"/>
    <s v="04"/>
    <s v="False"/>
    <s v="True"/>
    <s v="U003485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6"/>
    <s v="01"/>
    <s v="408"/>
    <s v="005"/>
    <s v="00"/>
    <s v="S"/>
    <s v="P"/>
    <s v="01"/>
    <s v="04"/>
    <s v="False"/>
    <s v="True"/>
    <s v="U003485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3"/>
    <s v="01"/>
    <s v="408"/>
    <s v="005"/>
    <s v="00"/>
    <s v="S"/>
    <s v="P"/>
    <s v="01"/>
    <s v="04"/>
    <s v="False"/>
    <s v="True"/>
    <s v="U003485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5"/>
    <s v="01"/>
    <s v="408"/>
    <s v="005"/>
    <s v="00"/>
    <s v="S"/>
    <s v="P"/>
    <s v="01"/>
    <s v="04"/>
    <s v="False"/>
    <s v="True"/>
    <s v="U003485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5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5"/>
    <s v="01"/>
    <s v="408"/>
    <s v="005"/>
    <s v="00"/>
    <s v="S"/>
    <s v="P"/>
    <s v="01"/>
    <s v="04"/>
    <s v="False"/>
    <s v="True"/>
    <s v="U003485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85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10"/>
    <m/>
    <m/>
    <n v="7"/>
    <s v="01"/>
    <s v="408"/>
    <s v="005"/>
    <s v="00"/>
    <s v="S"/>
    <s v="P"/>
    <s v="01"/>
    <s v="04"/>
    <s v="False"/>
    <s v="True"/>
    <s v="U003485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9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85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9"/>
    <s v="BONIS SPA"/>
    <s v="STOCK SCAFFALE MP"/>
    <x v="10"/>
    <m/>
    <m/>
    <n v="5"/>
    <s v="01"/>
    <s v="408"/>
    <s v="005"/>
    <s v="00"/>
    <s v="S"/>
    <s v="P"/>
    <s v="01"/>
    <s v="04"/>
    <s v="False"/>
    <s v="True"/>
    <s v="U003485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3"/>
    <s v="01"/>
    <s v="408"/>
    <s v="005"/>
    <s v="00"/>
    <s v="S"/>
    <s v="P"/>
    <s v="01"/>
    <s v="04"/>
    <s v="False"/>
    <s v="True"/>
    <s v="U003485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22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85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20"/>
    <s v="BONIS SPA"/>
    <s v="STOCK SCAFFALE MP"/>
    <x v="10"/>
    <m/>
    <m/>
    <n v="12"/>
    <s v="01"/>
    <s v="408"/>
    <s v="005"/>
    <s v="00"/>
    <s v="S"/>
    <s v="P"/>
    <s v="01"/>
    <s v="04"/>
    <s v="False"/>
    <s v="True"/>
    <s v="U003485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79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79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10"/>
    <m/>
    <m/>
    <n v="2"/>
    <s v="01"/>
    <s v="408"/>
    <s v="005"/>
    <s v="00"/>
    <s v="S"/>
    <s v="P"/>
    <s v="01"/>
    <s v="04"/>
    <s v="False"/>
    <s v="True"/>
    <s v="U003479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79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61"/>
    <m/>
    <x v="22"/>
    <s v="BONIS SPA"/>
    <s v="STOCK SCAFFALE MP"/>
    <x v="10"/>
    <m/>
    <m/>
    <n v="1"/>
    <s v="01"/>
    <s v="408"/>
    <s v="005"/>
    <s v="00"/>
    <s v="S"/>
    <s v="P"/>
    <s v="01"/>
    <s v="04"/>
    <s v="False"/>
    <s v="True"/>
    <s v="U0034796"/>
    <n v="1"/>
    <m/>
    <n v="0"/>
    <n v="0"/>
    <m/>
    <m/>
    <m/>
    <m/>
    <m/>
    <m/>
    <m/>
    <m/>
    <s v="F10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23"/>
    <m/>
    <m/>
    <n v="1"/>
    <s v="01"/>
    <s v="408"/>
    <s v="005"/>
    <s v="00"/>
    <s v="S"/>
    <s v="P"/>
    <s v="01"/>
    <s v="04"/>
    <s v="False"/>
    <s v="True"/>
    <s v="U003479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8"/>
    <s v="BONIS SPA"/>
    <s v="STOCK SCAFFALE MP"/>
    <x v="23"/>
    <m/>
    <m/>
    <n v="8"/>
    <s v="01"/>
    <s v="408"/>
    <s v="005"/>
    <s v="00"/>
    <s v="S"/>
    <s v="P"/>
    <s v="01"/>
    <s v="04"/>
    <s v="False"/>
    <s v="True"/>
    <s v="U003479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20"/>
    <s v="BONIS SPA"/>
    <s v="STOCK SCAFFALE MP"/>
    <x v="23"/>
    <m/>
    <m/>
    <n v="1"/>
    <s v="01"/>
    <s v="408"/>
    <s v="005"/>
    <s v="00"/>
    <s v="S"/>
    <s v="P"/>
    <s v="01"/>
    <s v="04"/>
    <s v="False"/>
    <s v="True"/>
    <s v="U003479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26"/>
    <s v="BONIS SPA"/>
    <s v="STOCK SCAFFALE MP"/>
    <x v="23"/>
    <m/>
    <m/>
    <n v="2"/>
    <s v="01"/>
    <s v="408"/>
    <s v="005"/>
    <s v="00"/>
    <s v="S"/>
    <s v="P"/>
    <s v="01"/>
    <s v="04"/>
    <s v="False"/>
    <s v="True"/>
    <s v="U003479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48"/>
    <m/>
    <x v="20"/>
    <s v="BONIS SPA"/>
    <s v="STOCK SCAFFALE MP"/>
    <x v="28"/>
    <m/>
    <m/>
    <n v="7"/>
    <s v="01"/>
    <s v="408"/>
    <s v="005"/>
    <s v="00"/>
    <s v="S"/>
    <s v="P"/>
    <s v="01"/>
    <s v="04"/>
    <s v="False"/>
    <s v="True"/>
    <s v="U003479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61"/>
    <m/>
    <x v="16"/>
    <s v="BONIS SPA"/>
    <s v="STOCK SCAFFALE MP"/>
    <x v="12"/>
    <m/>
    <m/>
    <n v="2"/>
    <s v="01"/>
    <s v="408"/>
    <s v="005"/>
    <s v="00"/>
    <s v="S"/>
    <s v="P"/>
    <s v="01"/>
    <s v="04"/>
    <s v="False"/>
    <s v="True"/>
    <s v="U0034796"/>
    <n v="1"/>
    <m/>
    <n v="0"/>
    <n v="0"/>
    <m/>
    <m/>
    <m/>
    <m/>
    <m/>
    <m/>
    <m/>
    <m/>
    <s v="F10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48"/>
    <m/>
    <x v="21"/>
    <s v="BONIS SPA"/>
    <s v="STOCK SCAFFALE MP"/>
    <x v="28"/>
    <m/>
    <m/>
    <n v="5"/>
    <s v="01"/>
    <s v="408"/>
    <s v="005"/>
    <s v="00"/>
    <s v="S"/>
    <s v="P"/>
    <s v="01"/>
    <s v="04"/>
    <s v="False"/>
    <s v="True"/>
    <s v="U003479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48"/>
    <m/>
    <x v="9"/>
    <s v="BONIS SPA"/>
    <s v="STOCK SCAFFALE MP"/>
    <x v="28"/>
    <m/>
    <m/>
    <n v="10"/>
    <s v="01"/>
    <s v="408"/>
    <s v="005"/>
    <s v="00"/>
    <s v="S"/>
    <s v="P"/>
    <s v="01"/>
    <s v="04"/>
    <s v="False"/>
    <s v="True"/>
    <s v="U003479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9"/>
    <s v="BONIS SPA"/>
    <s v="STOCK SCAFFALE MP"/>
    <x v="23"/>
    <m/>
    <m/>
    <n v="5"/>
    <s v="01"/>
    <s v="408"/>
    <s v="004"/>
    <s v="00"/>
    <s v="S"/>
    <s v="P"/>
    <s v="01"/>
    <s v="04"/>
    <s v="False"/>
    <s v="True"/>
    <s v="U003473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7"/>
    <s v="BONIS SPA"/>
    <s v="STOCK SCAFFALE MP"/>
    <x v="23"/>
    <m/>
    <m/>
    <n v="4"/>
    <s v="01"/>
    <s v="408"/>
    <s v="004"/>
    <s v="00"/>
    <s v="S"/>
    <s v="P"/>
    <s v="01"/>
    <s v="04"/>
    <s v="False"/>
    <s v="True"/>
    <s v="U003473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21"/>
    <s v="BONIS SPA"/>
    <s v="STOCK SCAFFALE MP"/>
    <x v="23"/>
    <m/>
    <m/>
    <n v="1"/>
    <s v="01"/>
    <s v="408"/>
    <s v="004"/>
    <s v="00"/>
    <s v="S"/>
    <s v="P"/>
    <s v="01"/>
    <s v="04"/>
    <s v="False"/>
    <s v="True"/>
    <s v="U003473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7"/>
    <s v="BONIS SPA"/>
    <s v="STOCK SCAFFALE MP"/>
    <x v="8"/>
    <m/>
    <m/>
    <n v="1"/>
    <s v="01"/>
    <s v="408"/>
    <s v="005"/>
    <s v="00"/>
    <s v="S"/>
    <s v="P"/>
    <s v="01"/>
    <s v="04"/>
    <s v="False"/>
    <s v="True"/>
    <s v="U003479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8"/>
    <s v="BONIS SPA"/>
    <s v="STOCK SCAFFALE MP"/>
    <x v="23"/>
    <m/>
    <m/>
    <n v="3"/>
    <s v="01"/>
    <s v="408"/>
    <s v="004"/>
    <s v="00"/>
    <s v="S"/>
    <s v="P"/>
    <s v="01"/>
    <s v="04"/>
    <s v="False"/>
    <s v="True"/>
    <s v="U003473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4"/>
    <s v="BONIS SPA"/>
    <s v="STOCK SCAFFALE MP"/>
    <x v="23"/>
    <m/>
    <m/>
    <n v="1"/>
    <s v="01"/>
    <s v="408"/>
    <s v="004"/>
    <s v="00"/>
    <s v="S"/>
    <s v="P"/>
    <s v="01"/>
    <s v="04"/>
    <s v="False"/>
    <s v="True"/>
    <s v="U003473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48"/>
    <m/>
    <x v="18"/>
    <s v="BONIS SPA"/>
    <s v="STOCK SCAFFALE MP"/>
    <x v="28"/>
    <m/>
    <m/>
    <n v="1"/>
    <s v="01"/>
    <s v="408"/>
    <s v="005"/>
    <s v="00"/>
    <s v="S"/>
    <s v="P"/>
    <s v="01"/>
    <s v="04"/>
    <s v="False"/>
    <s v="True"/>
    <s v="U003479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7"/>
    <s v="BONIS SPA"/>
    <s v="STOCK SCAFFALE MP"/>
    <x v="10"/>
    <m/>
    <m/>
    <n v="3"/>
    <s v="01"/>
    <s v="408"/>
    <s v="004"/>
    <s v="00"/>
    <s v="S"/>
    <s v="P"/>
    <s v="01"/>
    <s v="04"/>
    <s v="False"/>
    <s v="True"/>
    <s v="U003473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4"/>
    <s v="BONIS SPA"/>
    <s v="STOCK SCAFFALE MP"/>
    <x v="10"/>
    <m/>
    <m/>
    <n v="1"/>
    <s v="01"/>
    <s v="408"/>
    <s v="004"/>
    <s v="00"/>
    <s v="S"/>
    <s v="P"/>
    <s v="01"/>
    <s v="04"/>
    <s v="False"/>
    <s v="True"/>
    <s v="U003473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6"/>
    <s v="BONIS SPA"/>
    <s v="STOCK SCAFFALE MP"/>
    <x v="10"/>
    <m/>
    <m/>
    <n v="3"/>
    <s v="01"/>
    <s v="408"/>
    <s v="004"/>
    <s v="00"/>
    <s v="S"/>
    <s v="P"/>
    <s v="01"/>
    <s v="04"/>
    <s v="False"/>
    <s v="True"/>
    <s v="U003473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5"/>
    <s v="BONIS SPA"/>
    <s v="STOCK SCAFFALE MP"/>
    <x v="10"/>
    <m/>
    <m/>
    <n v="2"/>
    <s v="01"/>
    <s v="408"/>
    <s v="004"/>
    <s v="00"/>
    <s v="S"/>
    <s v="P"/>
    <s v="01"/>
    <s v="04"/>
    <s v="False"/>
    <s v="True"/>
    <s v="U003473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8"/>
    <s v="BONIS SPA"/>
    <s v="STOCK SCAFFALE MP"/>
    <x v="10"/>
    <m/>
    <m/>
    <n v="2"/>
    <s v="01"/>
    <s v="408"/>
    <s v="004"/>
    <s v="00"/>
    <s v="S"/>
    <s v="P"/>
    <s v="01"/>
    <s v="04"/>
    <s v="False"/>
    <s v="True"/>
    <s v="U003473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8"/>
    <s v="BONIS SPA"/>
    <s v="STOCK SCAFFALE MP"/>
    <x v="23"/>
    <m/>
    <m/>
    <n v="2"/>
    <s v="01"/>
    <s v="408"/>
    <s v="005"/>
    <s v="00"/>
    <s v="S"/>
    <s v="P"/>
    <s v="01"/>
    <s v="04"/>
    <s v="False"/>
    <s v="True"/>
    <s v="U0034734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9"/>
    <s v="BONIS SPA"/>
    <s v="STOCK SCAFFALE MP"/>
    <x v="28"/>
    <m/>
    <m/>
    <n v="12"/>
    <s v="01"/>
    <s v="408"/>
    <s v="004"/>
    <s v="00"/>
    <s v="S"/>
    <s v="P"/>
    <s v="01"/>
    <s v="04"/>
    <s v="False"/>
    <s v="True"/>
    <s v="U003473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8"/>
    <s v="BONIS SPA"/>
    <s v="STOCK SCAFFALE MP"/>
    <x v="23"/>
    <m/>
    <m/>
    <n v="10"/>
    <s v="01"/>
    <s v="408"/>
    <s v="005"/>
    <s v="00"/>
    <s v="S"/>
    <s v="P"/>
    <s v="01"/>
    <s v="04"/>
    <s v="False"/>
    <s v="True"/>
    <s v="U0034734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5"/>
    <s v="BONIS SPA"/>
    <s v="STOCK SCAFFALE MP"/>
    <x v="23"/>
    <m/>
    <m/>
    <n v="2"/>
    <s v="01"/>
    <s v="408"/>
    <s v="005"/>
    <s v="00"/>
    <s v="S"/>
    <s v="P"/>
    <s v="01"/>
    <s v="04"/>
    <s v="False"/>
    <s v="True"/>
    <s v="U0034734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4"/>
    <s v="BONIS SPA"/>
    <s v="STOCK SCAFFALE MP"/>
    <x v="23"/>
    <m/>
    <m/>
    <n v="1"/>
    <s v="01"/>
    <s v="408"/>
    <s v="005"/>
    <s v="00"/>
    <s v="S"/>
    <s v="P"/>
    <s v="01"/>
    <s v="04"/>
    <s v="False"/>
    <s v="True"/>
    <s v="U0034734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70"/>
    <x v="21"/>
    <m/>
    <x v="16"/>
    <s v="BONIS SPA"/>
    <s v="STOCK SCAFFALE MP"/>
    <x v="23"/>
    <m/>
    <m/>
    <n v="3"/>
    <s v="01"/>
    <s v="408"/>
    <s v="005"/>
    <s v="00"/>
    <s v="S"/>
    <s v="P"/>
    <s v="01"/>
    <s v="04"/>
    <s v="False"/>
    <s v="True"/>
    <s v="U0034734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20"/>
    <s v="BONIS SPA"/>
    <s v="STOCK SCAFFALE MP"/>
    <x v="28"/>
    <m/>
    <m/>
    <n v="7"/>
    <s v="01"/>
    <s v="408"/>
    <s v="004"/>
    <s v="00"/>
    <s v="S"/>
    <s v="P"/>
    <s v="01"/>
    <s v="04"/>
    <s v="False"/>
    <s v="True"/>
    <s v="U003473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21"/>
    <s v="BONIS SPA"/>
    <s v="STOCK SCAFFALE MP"/>
    <x v="28"/>
    <m/>
    <m/>
    <n v="9"/>
    <s v="01"/>
    <s v="408"/>
    <s v="004"/>
    <s v="00"/>
    <s v="S"/>
    <s v="P"/>
    <s v="01"/>
    <s v="04"/>
    <s v="False"/>
    <s v="True"/>
    <s v="U003473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19"/>
    <s v="BONIS SPA"/>
    <s v="STOCK SCAFFALE MP"/>
    <x v="28"/>
    <m/>
    <m/>
    <n v="2"/>
    <s v="01"/>
    <s v="408"/>
    <s v="004"/>
    <s v="00"/>
    <s v="S"/>
    <s v="P"/>
    <s v="01"/>
    <s v="04"/>
    <s v="False"/>
    <s v="True"/>
    <s v="U0034733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9"/>
    <s v="BONIS SPA"/>
    <s v="STOCK SCAFFALE MP"/>
    <x v="31"/>
    <m/>
    <m/>
    <n v="6"/>
    <s v="01"/>
    <s v="408"/>
    <s v="004"/>
    <s v="00"/>
    <s v="S"/>
    <s v="P"/>
    <s v="01"/>
    <s v="04"/>
    <s v="False"/>
    <s v="True"/>
    <s v="U00347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8"/>
    <s v="BONIS SPA"/>
    <s v="STOCK SCAFFALE MP"/>
    <x v="31"/>
    <m/>
    <m/>
    <n v="3"/>
    <s v="01"/>
    <s v="408"/>
    <s v="004"/>
    <s v="00"/>
    <s v="S"/>
    <s v="P"/>
    <s v="01"/>
    <s v="04"/>
    <s v="False"/>
    <s v="True"/>
    <s v="U00347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8"/>
    <s v="BONIS SPA"/>
    <s v="STOCK SCAFFALE MP"/>
    <x v="31"/>
    <m/>
    <m/>
    <n v="6"/>
    <s v="01"/>
    <s v="408"/>
    <s v="004"/>
    <s v="00"/>
    <s v="S"/>
    <s v="P"/>
    <s v="01"/>
    <s v="04"/>
    <s v="False"/>
    <s v="True"/>
    <s v="U00347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9"/>
    <s v="BONIS SPA"/>
    <s v="STOCK SCAFFALE MP"/>
    <x v="31"/>
    <m/>
    <m/>
    <n v="1"/>
    <s v="01"/>
    <s v="408"/>
    <s v="004"/>
    <s v="00"/>
    <s v="S"/>
    <s v="P"/>
    <s v="01"/>
    <s v="04"/>
    <s v="False"/>
    <s v="True"/>
    <s v="U00347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5"/>
    <s v="BONIS SPA"/>
    <s v="STOCK SCAFFALE MP"/>
    <x v="4"/>
    <m/>
    <m/>
    <n v="2"/>
    <s v="01"/>
    <s v="408"/>
    <s v="004"/>
    <s v="00"/>
    <s v="S"/>
    <s v="P"/>
    <s v="01"/>
    <s v="04"/>
    <s v="False"/>
    <s v="True"/>
    <s v="U00347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6"/>
    <s v="BONIS SPA"/>
    <s v="STOCK SCAFFALE MP"/>
    <x v="4"/>
    <m/>
    <m/>
    <n v="3"/>
    <s v="01"/>
    <s v="408"/>
    <s v="004"/>
    <s v="00"/>
    <s v="S"/>
    <s v="P"/>
    <s v="01"/>
    <s v="04"/>
    <s v="False"/>
    <s v="True"/>
    <s v="U00347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19"/>
    <s v="BONIS SPA"/>
    <s v="STOCK SCAFFALE MP"/>
    <x v="4"/>
    <m/>
    <m/>
    <n v="2"/>
    <s v="01"/>
    <s v="408"/>
    <s v="004"/>
    <s v="00"/>
    <s v="S"/>
    <s v="P"/>
    <s v="01"/>
    <s v="04"/>
    <s v="False"/>
    <s v="True"/>
    <s v="U00347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20"/>
    <s v="BONIS SPA"/>
    <s v="STOCK SCAFFALE MP"/>
    <x v="4"/>
    <m/>
    <m/>
    <n v="1"/>
    <s v="01"/>
    <s v="408"/>
    <s v="004"/>
    <s v="00"/>
    <s v="S"/>
    <s v="P"/>
    <s v="01"/>
    <s v="04"/>
    <s v="False"/>
    <s v="True"/>
    <s v="U00347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21"/>
    <s v="BONIS SPA"/>
    <s v="STOCK SCAFFALE MP"/>
    <x v="4"/>
    <m/>
    <m/>
    <n v="1"/>
    <s v="01"/>
    <s v="408"/>
    <s v="004"/>
    <s v="00"/>
    <s v="S"/>
    <s v="P"/>
    <s v="01"/>
    <s v="04"/>
    <s v="False"/>
    <s v="True"/>
    <s v="U00347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18"/>
    <s v="BONIS SPA"/>
    <s v="STOCK SCAFFALE MP"/>
    <x v="4"/>
    <m/>
    <m/>
    <n v="2"/>
    <s v="01"/>
    <s v="408"/>
    <s v="004"/>
    <s v="00"/>
    <s v="S"/>
    <s v="P"/>
    <s v="01"/>
    <s v="04"/>
    <s v="False"/>
    <s v="True"/>
    <s v="U0034736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8"/>
    <s v="BONIS SPA"/>
    <s v="STOCK SCAFFALE MP"/>
    <x v="8"/>
    <m/>
    <m/>
    <n v="1"/>
    <s v="01"/>
    <s v="408"/>
    <s v="004"/>
    <s v="00"/>
    <s v="S"/>
    <s v="P"/>
    <s v="01"/>
    <s v="04"/>
    <s v="False"/>
    <s v="True"/>
    <s v="U00347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21"/>
    <s v="BONIS SPA"/>
    <s v="STOCK SCAFFALE MP"/>
    <x v="8"/>
    <m/>
    <m/>
    <n v="1"/>
    <s v="01"/>
    <s v="408"/>
    <s v="004"/>
    <s v="00"/>
    <s v="S"/>
    <s v="P"/>
    <s v="01"/>
    <s v="04"/>
    <s v="False"/>
    <s v="True"/>
    <s v="U00347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9"/>
    <s v="BONIS SPA"/>
    <s v="STOCK SCAFFALE MP"/>
    <x v="4"/>
    <m/>
    <m/>
    <n v="18"/>
    <s v="01"/>
    <s v="408"/>
    <s v="004"/>
    <s v="00"/>
    <s v="S"/>
    <s v="P"/>
    <s v="01"/>
    <s v="04"/>
    <s v="False"/>
    <s v="True"/>
    <s v="U00347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21"/>
    <s v="BONIS SPA"/>
    <s v="STOCK SCAFFALE MP"/>
    <x v="4"/>
    <m/>
    <m/>
    <n v="2"/>
    <s v="01"/>
    <s v="408"/>
    <s v="004"/>
    <s v="00"/>
    <s v="S"/>
    <s v="P"/>
    <s v="01"/>
    <s v="04"/>
    <s v="False"/>
    <s v="True"/>
    <s v="U00347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8"/>
    <s v="BONIS SPA"/>
    <s v="STOCK SCAFFALE MP"/>
    <x v="4"/>
    <m/>
    <m/>
    <n v="1"/>
    <s v="01"/>
    <s v="408"/>
    <s v="004"/>
    <s v="00"/>
    <s v="S"/>
    <s v="P"/>
    <s v="01"/>
    <s v="04"/>
    <s v="False"/>
    <s v="True"/>
    <s v="U00347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26"/>
    <s v="BONIS SPA"/>
    <s v="STOCK SCAFFALE MP"/>
    <x v="4"/>
    <m/>
    <m/>
    <n v="1"/>
    <s v="01"/>
    <s v="408"/>
    <s v="004"/>
    <s v="00"/>
    <s v="S"/>
    <s v="P"/>
    <s v="01"/>
    <s v="04"/>
    <s v="False"/>
    <s v="True"/>
    <s v="U00347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4"/>
    <s v="BONIS SPA"/>
    <s v="STOCK SCAFFALE MP"/>
    <x v="4"/>
    <m/>
    <m/>
    <n v="1"/>
    <s v="01"/>
    <s v="408"/>
    <s v="004"/>
    <s v="00"/>
    <s v="S"/>
    <s v="P"/>
    <s v="01"/>
    <s v="04"/>
    <s v="False"/>
    <s v="True"/>
    <s v="U0034735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21"/>
    <s v="BONIS SPA"/>
    <s v="STOCK SCAFFALE MP"/>
    <x v="4"/>
    <m/>
    <m/>
    <n v="7"/>
    <s v="01"/>
    <s v="408"/>
    <s v="004"/>
    <s v="00"/>
    <s v="S"/>
    <s v="P"/>
    <s v="01"/>
    <s v="04"/>
    <s v="False"/>
    <s v="True"/>
    <s v="U003473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9"/>
    <s v="BONIS SPA"/>
    <s v="STOCK SCAFFALE MP"/>
    <x v="4"/>
    <m/>
    <m/>
    <n v="10"/>
    <s v="01"/>
    <s v="408"/>
    <s v="004"/>
    <s v="00"/>
    <s v="S"/>
    <s v="P"/>
    <s v="01"/>
    <s v="04"/>
    <s v="False"/>
    <s v="True"/>
    <s v="U003473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21"/>
    <s v="BONIS SPA"/>
    <s v="STOCK SCAFFALE MP"/>
    <x v="28"/>
    <m/>
    <m/>
    <n v="8"/>
    <s v="01"/>
    <s v="408"/>
    <s v="004"/>
    <s v="00"/>
    <s v="S"/>
    <s v="P"/>
    <s v="01"/>
    <s v="04"/>
    <s v="False"/>
    <s v="True"/>
    <s v="U003473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9"/>
    <s v="BONIS SPA"/>
    <s v="STOCK SCAFFALE MP"/>
    <x v="28"/>
    <m/>
    <m/>
    <n v="11"/>
    <s v="01"/>
    <s v="408"/>
    <s v="004"/>
    <s v="00"/>
    <s v="S"/>
    <s v="P"/>
    <s v="01"/>
    <s v="04"/>
    <s v="False"/>
    <s v="True"/>
    <s v="U003473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19"/>
    <s v="BONIS SPA"/>
    <s v="STOCK SCAFFALE MP"/>
    <x v="28"/>
    <m/>
    <m/>
    <n v="2"/>
    <s v="01"/>
    <s v="408"/>
    <s v="004"/>
    <s v="00"/>
    <s v="S"/>
    <s v="P"/>
    <s v="01"/>
    <s v="04"/>
    <s v="False"/>
    <s v="True"/>
    <s v="U003473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26"/>
    <s v="BONIS SPA"/>
    <s v="STOCK SCAFFALE MP"/>
    <x v="4"/>
    <m/>
    <m/>
    <n v="5"/>
    <s v="01"/>
    <s v="408"/>
    <s v="004"/>
    <s v="00"/>
    <s v="S"/>
    <s v="P"/>
    <s v="01"/>
    <s v="04"/>
    <s v="False"/>
    <s v="True"/>
    <s v="U0034738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26"/>
    <s v="BONIS SPA"/>
    <s v="STOCK SCAFFALE MP"/>
    <x v="28"/>
    <m/>
    <m/>
    <n v="4"/>
    <s v="01"/>
    <s v="408"/>
    <s v="004"/>
    <s v="00"/>
    <s v="S"/>
    <s v="P"/>
    <s v="01"/>
    <s v="04"/>
    <s v="False"/>
    <s v="True"/>
    <s v="U0034737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20"/>
    <s v="BONIS SPA"/>
    <s v="STOCK SCAFFALE MP"/>
    <x v="4"/>
    <m/>
    <m/>
    <n v="3"/>
    <s v="01"/>
    <s v="408"/>
    <s v="004"/>
    <s v="00"/>
    <s v="S"/>
    <s v="P"/>
    <s v="01"/>
    <s v="04"/>
    <s v="False"/>
    <s v="True"/>
    <s v="U003474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20"/>
    <s v="BONIS SPA"/>
    <s v="STOCK SCAFFALE MP"/>
    <x v="28"/>
    <m/>
    <m/>
    <n v="2"/>
    <s v="01"/>
    <s v="408"/>
    <s v="004"/>
    <s v="00"/>
    <s v="S"/>
    <s v="P"/>
    <s v="01"/>
    <s v="04"/>
    <s v="False"/>
    <s v="True"/>
    <s v="U003473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9"/>
    <s v="BONIS SPA"/>
    <s v="STOCK SCAFFALE MP"/>
    <x v="28"/>
    <m/>
    <m/>
    <n v="3"/>
    <s v="01"/>
    <s v="408"/>
    <s v="004"/>
    <s v="00"/>
    <s v="S"/>
    <s v="P"/>
    <s v="01"/>
    <s v="04"/>
    <s v="False"/>
    <s v="True"/>
    <s v="U003473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9"/>
    <s v="BONIS SPA"/>
    <s v="STOCK SCAFFALE MP"/>
    <x v="4"/>
    <m/>
    <m/>
    <n v="7"/>
    <s v="01"/>
    <s v="408"/>
    <s v="004"/>
    <s v="00"/>
    <s v="S"/>
    <s v="P"/>
    <s v="01"/>
    <s v="04"/>
    <s v="False"/>
    <s v="True"/>
    <s v="U003474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18"/>
    <s v="BONIS SPA"/>
    <s v="STOCK SCAFFALE MP"/>
    <x v="4"/>
    <m/>
    <m/>
    <n v="1"/>
    <s v="01"/>
    <s v="408"/>
    <s v="004"/>
    <s v="00"/>
    <s v="S"/>
    <s v="P"/>
    <s v="01"/>
    <s v="04"/>
    <s v="False"/>
    <s v="True"/>
    <s v="U003474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26"/>
    <s v="BONIS SPA"/>
    <s v="STOCK SCAFFALE MP"/>
    <x v="4"/>
    <m/>
    <m/>
    <n v="6"/>
    <s v="01"/>
    <s v="408"/>
    <s v="004"/>
    <s v="00"/>
    <s v="S"/>
    <s v="P"/>
    <s v="01"/>
    <s v="04"/>
    <s v="False"/>
    <s v="True"/>
    <s v="U003474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21"/>
    <s v="BONIS SPA"/>
    <s v="STOCK SCAFFALE MP"/>
    <x v="28"/>
    <m/>
    <m/>
    <n v="3"/>
    <s v="01"/>
    <s v="408"/>
    <s v="004"/>
    <s v="00"/>
    <s v="S"/>
    <s v="P"/>
    <s v="01"/>
    <s v="04"/>
    <s v="False"/>
    <s v="True"/>
    <s v="U003473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9"/>
    <m/>
    <x v="21"/>
    <s v="BONIS SPA"/>
    <s v="STOCK SCAFFALE MP"/>
    <x v="4"/>
    <m/>
    <m/>
    <n v="6"/>
    <s v="01"/>
    <s v="408"/>
    <s v="004"/>
    <s v="00"/>
    <s v="S"/>
    <s v="P"/>
    <s v="01"/>
    <s v="04"/>
    <s v="False"/>
    <s v="True"/>
    <s v="U003473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9"/>
    <s v="BONIS SPA"/>
    <s v="STOCK SCAFFALE MP"/>
    <x v="10"/>
    <m/>
    <m/>
    <n v="5"/>
    <s v="01"/>
    <s v="408"/>
    <s v="004"/>
    <s v="00"/>
    <s v="S"/>
    <s v="P"/>
    <s v="01"/>
    <s v="04"/>
    <s v="False"/>
    <s v="True"/>
    <s v="U003473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6"/>
    <s v="BONIS SPA"/>
    <s v="STOCK SCAFFALE MP"/>
    <x v="31"/>
    <m/>
    <m/>
    <n v="1"/>
    <s v="01"/>
    <s v="408"/>
    <s v="004"/>
    <s v="00"/>
    <s v="S"/>
    <s v="P"/>
    <s v="01"/>
    <s v="04"/>
    <s v="False"/>
    <s v="True"/>
    <s v="U0034740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17"/>
    <s v="BONIS SPA"/>
    <s v="STOCK SCAFFALE MP"/>
    <x v="10"/>
    <m/>
    <m/>
    <n v="3"/>
    <s v="01"/>
    <s v="408"/>
    <s v="004"/>
    <s v="00"/>
    <s v="S"/>
    <s v="P"/>
    <s v="01"/>
    <s v="04"/>
    <s v="False"/>
    <s v="True"/>
    <s v="U003473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8"/>
    <s v="BONIS SPA"/>
    <s v="STOCK SCAFFALE MP"/>
    <x v="10"/>
    <m/>
    <m/>
    <n v="3"/>
    <s v="01"/>
    <s v="408"/>
    <s v="004"/>
    <s v="00"/>
    <s v="S"/>
    <s v="P"/>
    <s v="01"/>
    <s v="04"/>
    <s v="False"/>
    <s v="True"/>
    <s v="U0034739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8"/>
    <s v="BONIS SPA"/>
    <s v="STOCK SCAFFALE MP"/>
    <x v="8"/>
    <m/>
    <m/>
    <n v="15"/>
    <s v="01"/>
    <s v="408"/>
    <s v="004"/>
    <s v="00"/>
    <s v="S"/>
    <s v="P"/>
    <s v="01"/>
    <s v="04"/>
    <s v="False"/>
    <s v="True"/>
    <s v="U003474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20"/>
    <s v="BONIS SPA"/>
    <s v="STOCK SCAFFALE MP"/>
    <x v="12"/>
    <m/>
    <m/>
    <n v="1"/>
    <s v="01"/>
    <s v="408"/>
    <s v="004"/>
    <s v="00"/>
    <s v="S"/>
    <s v="P"/>
    <s v="01"/>
    <s v="04"/>
    <s v="False"/>
    <s v="True"/>
    <s v="U003474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61"/>
    <m/>
    <x v="23"/>
    <s v="BONIS SPA"/>
    <s v="STOCK SCAFFALE MP"/>
    <x v="10"/>
    <m/>
    <m/>
    <n v="1"/>
    <s v="01"/>
    <s v="408"/>
    <s v="004"/>
    <s v="00"/>
    <s v="S"/>
    <s v="P"/>
    <s v="01"/>
    <s v="04"/>
    <s v="False"/>
    <s v="True"/>
    <s v="U0032750"/>
    <n v="1"/>
    <m/>
    <n v="0"/>
    <n v="0"/>
    <m/>
    <m/>
    <m/>
    <m/>
    <m/>
    <m/>
    <m/>
    <m/>
    <s v="F10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61"/>
    <m/>
    <x v="11"/>
    <s v="BONIS SPA"/>
    <s v="STOCK SCAFFALE MP"/>
    <x v="8"/>
    <m/>
    <m/>
    <n v="8"/>
    <s v="01"/>
    <s v="408"/>
    <s v="004"/>
    <s v="00"/>
    <s v="S"/>
    <s v="P"/>
    <s v="01"/>
    <s v="04"/>
    <s v="False"/>
    <s v="True"/>
    <s v="U0032750"/>
    <n v="1"/>
    <m/>
    <n v="0"/>
    <n v="0"/>
    <m/>
    <m/>
    <m/>
    <m/>
    <m/>
    <m/>
    <m/>
    <m/>
    <s v="F10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61"/>
    <m/>
    <x v="10"/>
    <s v="BONIS SPA"/>
    <s v="STOCK SCAFFALE MP"/>
    <x v="10"/>
    <m/>
    <m/>
    <n v="1"/>
    <s v="01"/>
    <s v="408"/>
    <s v="004"/>
    <s v="00"/>
    <s v="S"/>
    <s v="P"/>
    <s v="01"/>
    <s v="04"/>
    <s v="False"/>
    <s v="True"/>
    <s v="U0032750"/>
    <n v="1"/>
    <m/>
    <n v="0"/>
    <n v="0"/>
    <m/>
    <m/>
    <m/>
    <m/>
    <m/>
    <m/>
    <m/>
    <m/>
    <s v="F10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61"/>
    <m/>
    <x v="12"/>
    <s v="BONIS SPA"/>
    <s v="STOCK SCAFFALE MP"/>
    <x v="8"/>
    <m/>
    <m/>
    <n v="1"/>
    <s v="01"/>
    <s v="408"/>
    <s v="004"/>
    <s v="00"/>
    <s v="S"/>
    <s v="P"/>
    <s v="01"/>
    <s v="04"/>
    <s v="False"/>
    <s v="True"/>
    <s v="U0032750"/>
    <n v="1"/>
    <m/>
    <n v="0"/>
    <n v="0"/>
    <m/>
    <m/>
    <m/>
    <m/>
    <m/>
    <m/>
    <m/>
    <m/>
    <s v="F10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26"/>
    <s v="BONIS SPA"/>
    <s v="STOCK SCAFFALE MP"/>
    <x v="8"/>
    <m/>
    <m/>
    <n v="1"/>
    <s v="01"/>
    <s v="408"/>
    <s v="004"/>
    <s v="00"/>
    <s v="S"/>
    <s v="P"/>
    <s v="01"/>
    <s v="04"/>
    <s v="False"/>
    <s v="True"/>
    <s v="U0034741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61"/>
    <m/>
    <x v="25"/>
    <s v="BONIS SPA"/>
    <s v="STOCK SCAFFALE MP"/>
    <x v="8"/>
    <m/>
    <m/>
    <n v="3"/>
    <s v="01"/>
    <s v="408"/>
    <s v="004"/>
    <s v="00"/>
    <s v="S"/>
    <s v="P"/>
    <s v="01"/>
    <s v="04"/>
    <s v="False"/>
    <s v="True"/>
    <s v="U0032750"/>
    <n v="1"/>
    <m/>
    <n v="0"/>
    <n v="0"/>
    <m/>
    <m/>
    <m/>
    <m/>
    <m/>
    <m/>
    <m/>
    <m/>
    <s v="F10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61"/>
    <m/>
    <x v="23"/>
    <s v="BONIS SPA"/>
    <s v="STOCK SCAFFALE MP"/>
    <x v="8"/>
    <m/>
    <m/>
    <n v="2"/>
    <s v="01"/>
    <s v="408"/>
    <s v="004"/>
    <s v="00"/>
    <s v="S"/>
    <s v="P"/>
    <s v="01"/>
    <s v="04"/>
    <s v="False"/>
    <s v="True"/>
    <s v="U0032750"/>
    <n v="1"/>
    <m/>
    <n v="0"/>
    <n v="0"/>
    <m/>
    <m/>
    <m/>
    <m/>
    <m/>
    <m/>
    <m/>
    <m/>
    <s v="F10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61"/>
    <m/>
    <x v="24"/>
    <s v="BONIS SPA"/>
    <s v="STOCK SCAFFALE MP"/>
    <x v="8"/>
    <m/>
    <m/>
    <n v="1"/>
    <s v="01"/>
    <s v="408"/>
    <s v="004"/>
    <s v="00"/>
    <s v="S"/>
    <s v="P"/>
    <s v="01"/>
    <s v="04"/>
    <s v="False"/>
    <s v="True"/>
    <s v="U0032750"/>
    <n v="1"/>
    <m/>
    <n v="0"/>
    <n v="0"/>
    <m/>
    <m/>
    <m/>
    <m/>
    <m/>
    <m/>
    <m/>
    <m/>
    <s v="F10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21"/>
    <m/>
    <x v="8"/>
    <s v="BONIS SPA"/>
    <s v="STOCK SCAFFALE MP"/>
    <x v="8"/>
    <m/>
    <m/>
    <n v="6"/>
    <s v="01"/>
    <s v="408"/>
    <s v="004"/>
    <s v="00"/>
    <s v="S"/>
    <s v="P"/>
    <s v="01"/>
    <s v="04"/>
    <s v="False"/>
    <s v="True"/>
    <s v="U003474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67"/>
    <x v="48"/>
    <m/>
    <x v="8"/>
    <s v="BONIS SPA"/>
    <s v="STOCK SCAFFALE MP"/>
    <x v="28"/>
    <m/>
    <m/>
    <n v="1"/>
    <s v="01"/>
    <s v="408"/>
    <s v="004"/>
    <s v="00"/>
    <s v="S"/>
    <s v="P"/>
    <s v="01"/>
    <s v="04"/>
    <s v="False"/>
    <s v="True"/>
    <s v="U0034742"/>
    <n v="1"/>
    <m/>
    <n v="0"/>
    <n v="0"/>
    <m/>
    <m/>
    <m/>
    <m/>
    <m/>
    <m/>
    <m/>
    <m/>
    <s v="F10"/>
    <s v="UNISEX"/>
    <s v="PA"/>
    <m/>
    <m/>
    <m/>
    <m/>
    <s v="False"/>
    <m/>
    <s v="VAIAN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458"/>
    <x v="76"/>
    <m/>
    <x v="18"/>
    <s v="BONIS SPA"/>
    <s v="STOCK SCAFFALE MP"/>
    <x v="2"/>
    <m/>
    <m/>
    <n v="1"/>
    <s v="01"/>
    <s v="408"/>
    <s v="001"/>
    <s v="00"/>
    <s v="S"/>
    <s v="P"/>
    <s v="01"/>
    <s v="04"/>
    <s v="False"/>
    <s v="True"/>
    <s v="U0033335"/>
    <n v="1"/>
    <m/>
    <n v="0"/>
    <n v="0"/>
    <m/>
    <s v="SMU"/>
    <m/>
    <m/>
    <m/>
    <m/>
    <m/>
    <m/>
    <s v="nicola.toscan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58"/>
    <x v="76"/>
    <m/>
    <x v="19"/>
    <s v="BONIS SPA"/>
    <s v="STOCK SCAFFALE MP"/>
    <x v="2"/>
    <m/>
    <m/>
    <n v="1"/>
    <s v="01"/>
    <s v="408"/>
    <s v="001"/>
    <s v="00"/>
    <s v="S"/>
    <s v="P"/>
    <s v="01"/>
    <s v="04"/>
    <s v="False"/>
    <s v="True"/>
    <s v="U0033335"/>
    <n v="1"/>
    <m/>
    <n v="0"/>
    <n v="0"/>
    <m/>
    <s v="SMU"/>
    <m/>
    <m/>
    <m/>
    <m/>
    <m/>
    <m/>
    <s v="nicola.toscan"/>
    <s v="WOMAN"/>
    <s v="PA"/>
    <m/>
    <m/>
    <m/>
    <m/>
    <s v="False"/>
    <m/>
    <s v="GYNNA"/>
    <m/>
    <m/>
    <m/>
    <m/>
    <m/>
    <m/>
    <s v="PF"/>
    <n v="0"/>
    <n v="0"/>
    <n v="0"/>
    <n v="0"/>
    <n v="0"/>
    <s v="SOLA RUBBER CANVAS"/>
    <s v="Bonis SpA"/>
    <m/>
    <m/>
    <m/>
    <m/>
    <m/>
    <m/>
    <m/>
    <m/>
    <m/>
    <m/>
    <m/>
    <m/>
  </r>
  <r>
    <m/>
    <n v="2458"/>
    <x v="67"/>
    <m/>
    <x v="20"/>
    <s v="BONIS SPA"/>
    <s v="STOCK SCAFFALE MP"/>
    <x v="2"/>
    <m/>
    <m/>
    <n v="2"/>
    <s v="01"/>
    <s v="408"/>
    <s v="001"/>
    <s v="00"/>
    <s v="S"/>
    <s v="P"/>
    <s v="01"/>
    <s v="04"/>
    <s v="False"/>
    <s v="True"/>
    <s v="U0032645"/>
    <n v="1"/>
    <m/>
    <n v="0"/>
    <n v="0"/>
    <m/>
    <s v="SMU"/>
    <m/>
    <m/>
    <m/>
    <m/>
    <m/>
    <m/>
    <s v="nicola.toscan"/>
    <s v="MAN"/>
    <s v="PA"/>
    <m/>
    <m/>
    <m/>
    <m/>
    <s v="False"/>
    <m/>
    <s v="GYNN"/>
    <m/>
    <m/>
    <m/>
    <m/>
    <m/>
    <m/>
    <s v="PF"/>
    <n v="0"/>
    <n v="0"/>
    <n v="0"/>
    <n v="0"/>
    <n v="0"/>
    <s v="MMA+CANVAS"/>
    <s v="Bonis SpA"/>
    <m/>
    <m/>
    <m/>
    <m/>
    <m/>
    <m/>
    <m/>
    <m/>
    <m/>
    <m/>
    <m/>
    <m/>
  </r>
  <r>
    <m/>
    <n v="2491"/>
    <x v="75"/>
    <m/>
    <x v="19"/>
    <s v="BONIS SPA"/>
    <s v="STOCK SCAFFALE MP"/>
    <x v="1"/>
    <m/>
    <m/>
    <n v="2"/>
    <s v="01"/>
    <s v="408"/>
    <s v="012"/>
    <s v="00"/>
    <s v="S"/>
    <s v="P"/>
    <s v="01"/>
    <s v="04"/>
    <s v="False"/>
    <s v="True"/>
    <s v="U0033229"/>
    <n v="1"/>
    <m/>
    <n v="0"/>
    <n v="0"/>
    <m/>
    <s v="SMU"/>
    <m/>
    <m/>
    <m/>
    <m/>
    <m/>
    <m/>
    <s v="F10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CANVAS+MICROSUED"/>
    <s v="Bonis SpA"/>
    <m/>
    <m/>
    <m/>
    <m/>
    <m/>
    <m/>
    <m/>
    <m/>
    <m/>
    <m/>
    <m/>
    <m/>
  </r>
  <r>
    <m/>
    <n v="2491"/>
    <x v="72"/>
    <m/>
    <x v="16"/>
    <s v="BONIS SPA"/>
    <s v="STOCK SCAFFALE MP"/>
    <x v="4"/>
    <m/>
    <m/>
    <n v="1"/>
    <s v="01"/>
    <s v="408"/>
    <s v="012"/>
    <s v="00"/>
    <s v="S"/>
    <s v="P"/>
    <s v="01"/>
    <s v="04"/>
    <s v="False"/>
    <s v="True"/>
    <s v="U0033289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NYLON+MICRO"/>
    <s v="Bonis SpA"/>
    <m/>
    <m/>
    <m/>
    <m/>
    <m/>
    <m/>
    <m/>
    <m/>
    <m/>
    <m/>
    <m/>
    <m/>
  </r>
  <r>
    <m/>
    <n v="2491"/>
    <x v="71"/>
    <m/>
    <x v="16"/>
    <s v="BONIS SPA"/>
    <s v="STOCK SCAFFALE MP"/>
    <x v="4"/>
    <m/>
    <m/>
    <n v="1"/>
    <s v="01"/>
    <s v="408"/>
    <s v="012"/>
    <s v="00"/>
    <s v="S"/>
    <s v="P"/>
    <s v="01"/>
    <s v="04"/>
    <s v="False"/>
    <s v="True"/>
    <s v="U0033289"/>
    <n v="1"/>
    <m/>
    <n v="0"/>
    <n v="0"/>
    <m/>
    <s v="SMU"/>
    <m/>
    <m/>
    <m/>
    <m/>
    <m/>
    <m/>
    <s v="F10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473"/>
    <x v="65"/>
    <m/>
    <x v="11"/>
    <s v="BONIS SPA"/>
    <s v="STOCK SCAFFALE MP"/>
    <x v="12"/>
    <m/>
    <m/>
    <n v="1"/>
    <s v="01"/>
    <s v="408"/>
    <s v="006"/>
    <s v="00"/>
    <s v="S"/>
    <s v="P"/>
    <s v="01"/>
    <s v="04"/>
    <s v="False"/>
    <s v="True"/>
    <s v="U0032684"/>
    <n v="1"/>
    <m/>
    <n v="0"/>
    <n v="0"/>
    <m/>
    <m/>
    <m/>
    <m/>
    <m/>
    <m/>
    <m/>
    <m/>
    <s v="F10"/>
    <s v="KID"/>
    <s v="PA"/>
    <m/>
    <m/>
    <m/>
    <m/>
    <s v="False"/>
    <m/>
    <s v="EBONY"/>
    <m/>
    <m/>
    <m/>
    <m/>
    <m/>
    <m/>
    <s v="PF"/>
    <n v="0"/>
    <n v="0"/>
    <n v="0"/>
    <n v="0"/>
    <n v="0"/>
    <s v="A EVA TOMAIA SYNTHETIC GLITTER"/>
    <s v="Bonis SpA"/>
    <m/>
    <m/>
    <m/>
    <m/>
    <m/>
    <m/>
    <m/>
    <m/>
    <m/>
    <m/>
    <m/>
    <m/>
  </r>
  <r>
    <m/>
    <n v="2500"/>
    <x v="61"/>
    <m/>
    <x v="14"/>
    <s v="BONIS SPA"/>
    <s v="STOCK SCAFFALE MP"/>
    <x v="8"/>
    <m/>
    <m/>
    <n v="1"/>
    <s v="01"/>
    <s v="408"/>
    <s v="015"/>
    <s v="00"/>
    <s v="S"/>
    <s v="P"/>
    <s v="01"/>
    <s v="04"/>
    <s v="False"/>
    <s v="True"/>
    <s v="U0027857"/>
    <n v="1"/>
    <m/>
    <n v="0"/>
    <n v="0"/>
    <m/>
    <m/>
    <m/>
    <m/>
    <m/>
    <m/>
    <m/>
    <m/>
    <s v="nicola.toscan"/>
    <s v="KID"/>
    <s v="PA"/>
    <m/>
    <m/>
    <m/>
    <m/>
    <s v="False"/>
    <m/>
    <s v="VAIAK"/>
    <m/>
    <m/>
    <m/>
    <m/>
    <m/>
    <m/>
    <s v="PF"/>
    <n v="0"/>
    <n v="0"/>
    <n v="0"/>
    <n v="0"/>
    <n v="0"/>
    <s v="TOMAIA GOMMA"/>
    <s v="Bonis SpA"/>
    <m/>
    <m/>
    <m/>
    <m/>
    <m/>
    <m/>
    <m/>
    <m/>
    <m/>
    <m/>
    <m/>
    <m/>
  </r>
  <r>
    <m/>
    <n v="2500"/>
    <x v="52"/>
    <m/>
    <x v="18"/>
    <s v="BONIS SPA"/>
    <s v="STOCK SCAFFALE MP"/>
    <x v="23"/>
    <m/>
    <m/>
    <n v="1"/>
    <s v="01"/>
    <s v="408"/>
    <s v="015"/>
    <s v="00"/>
    <s v="S"/>
    <s v="P"/>
    <s v="01"/>
    <s v="04"/>
    <s v="False"/>
    <s v="True"/>
    <s v="U0027922"/>
    <n v="1"/>
    <m/>
    <n v="0"/>
    <n v="0"/>
    <m/>
    <m/>
    <m/>
    <m/>
    <m/>
    <m/>
    <m/>
    <m/>
    <s v="nicola.toscan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NYLON + MICROSUEDE"/>
    <s v="Bonis SpA"/>
    <m/>
    <m/>
    <m/>
    <m/>
    <m/>
    <m/>
    <m/>
    <m/>
    <m/>
    <m/>
    <m/>
    <m/>
  </r>
  <r>
    <m/>
    <n v="2500"/>
    <x v="77"/>
    <m/>
    <x v="9"/>
    <s v="BONIS SPA"/>
    <s v="STOCK SCAFFALE MP"/>
    <x v="2"/>
    <m/>
    <m/>
    <n v="1"/>
    <s v="01"/>
    <s v="408"/>
    <s v="015"/>
    <s v="00"/>
    <s v="S"/>
    <s v="P"/>
    <s v="01"/>
    <s v="04"/>
    <s v="False"/>
    <s v="True"/>
    <s v="U0027806"/>
    <n v="1"/>
    <m/>
    <n v="0"/>
    <n v="0"/>
    <m/>
    <m/>
    <m/>
    <m/>
    <m/>
    <m/>
    <m/>
    <m/>
    <s v="nicola.toscan"/>
    <s v="MAN"/>
    <s v="PA"/>
    <m/>
    <m/>
    <m/>
    <m/>
    <s v="False"/>
    <m/>
    <s v="NOBIL"/>
    <m/>
    <m/>
    <m/>
    <m/>
    <m/>
    <m/>
    <s v="PF"/>
    <n v="0"/>
    <n v="0"/>
    <n v="0"/>
    <n v="0"/>
    <n v="0"/>
    <s v="BBER-EVA  NYLON+MICROSUE"/>
    <s v="Bonis SpA"/>
    <m/>
    <m/>
    <m/>
    <m/>
    <m/>
    <m/>
    <m/>
    <m/>
    <m/>
    <m/>
    <m/>
    <m/>
  </r>
  <r>
    <m/>
    <n v="2500"/>
    <x v="60"/>
    <m/>
    <x v="8"/>
    <s v="BONIS SPA"/>
    <s v="STOCK SCAFFALE MP"/>
    <x v="4"/>
    <m/>
    <m/>
    <n v="2"/>
    <s v="01"/>
    <s v="408"/>
    <s v="015"/>
    <s v="00"/>
    <s v="S"/>
    <s v="P"/>
    <s v="01"/>
    <s v="04"/>
    <s v="False"/>
    <s v="True"/>
    <s v="U0027806"/>
    <n v="1"/>
    <m/>
    <n v="0"/>
    <n v="0"/>
    <m/>
    <m/>
    <m/>
    <m/>
    <m/>
    <m/>
    <m/>
    <m/>
    <s v="nicola.toscan"/>
    <s v="UNISEX"/>
    <s v="PA"/>
    <m/>
    <m/>
    <m/>
    <m/>
    <s v="False"/>
    <m/>
    <s v="ETTOR"/>
    <m/>
    <m/>
    <m/>
    <m/>
    <m/>
    <m/>
    <s v="PF"/>
    <n v="0"/>
    <n v="0"/>
    <n v="0"/>
    <n v="0"/>
    <n v="0"/>
    <s v="VA ESPANS"/>
    <s v="Bonis SpA"/>
    <m/>
    <m/>
    <m/>
    <m/>
    <m/>
    <m/>
    <m/>
    <m/>
    <m/>
    <m/>
    <m/>
    <m/>
  </r>
  <r>
    <m/>
    <n v="2500"/>
    <x v="60"/>
    <m/>
    <x v="21"/>
    <s v="BONIS SPA"/>
    <s v="STOCK SCAFFALE MP"/>
    <x v="4"/>
    <m/>
    <m/>
    <n v="1"/>
    <s v="01"/>
    <s v="408"/>
    <s v="015"/>
    <s v="00"/>
    <s v="S"/>
    <s v="P"/>
    <s v="01"/>
    <s v="04"/>
    <s v="False"/>
    <s v="True"/>
    <s v="U0027806"/>
    <n v="1"/>
    <m/>
    <n v="0"/>
    <n v="0"/>
    <m/>
    <m/>
    <m/>
    <m/>
    <m/>
    <m/>
    <m/>
    <m/>
    <s v="nicola.toscan"/>
    <s v="UNISEX"/>
    <s v="PA"/>
    <m/>
    <m/>
    <m/>
    <m/>
    <s v="False"/>
    <m/>
    <s v="ETTOR"/>
    <m/>
    <m/>
    <m/>
    <m/>
    <m/>
    <m/>
    <s v="PF"/>
    <n v="0"/>
    <n v="0"/>
    <n v="0"/>
    <n v="0"/>
    <n v="0"/>
    <s v="VA ESPANS"/>
    <s v="Bonis SpA"/>
    <m/>
    <m/>
    <m/>
    <m/>
    <m/>
    <m/>
    <m/>
    <m/>
    <m/>
    <m/>
    <m/>
    <m/>
  </r>
  <r>
    <m/>
    <n v="2509"/>
    <x v="52"/>
    <m/>
    <x v="15"/>
    <s v="BONIS SPA"/>
    <s v="STOCK SCAFFALE MP"/>
    <x v="23"/>
    <m/>
    <m/>
    <n v="1"/>
    <s v="01"/>
    <s v="408"/>
    <s v="018"/>
    <s v="00"/>
    <s v="S"/>
    <s v="P"/>
    <s v="01"/>
    <s v="04"/>
    <s v="False"/>
    <s v="True"/>
    <s v="U0027842"/>
    <n v="1"/>
    <m/>
    <n v="0"/>
    <n v="0"/>
    <m/>
    <m/>
    <m/>
    <m/>
    <m/>
    <m/>
    <m/>
    <m/>
    <s v="nicola.toscan"/>
    <s v="WOMAN"/>
    <s v="PA"/>
    <m/>
    <m/>
    <m/>
    <m/>
    <s v="False"/>
    <m/>
    <s v="EGLE"/>
    <m/>
    <m/>
    <m/>
    <m/>
    <m/>
    <m/>
    <s v="PF"/>
    <n v="0"/>
    <n v="0"/>
    <n v="0"/>
    <n v="0"/>
    <n v="0"/>
    <s v="ER-EVA NYLON + MICROSUEDE"/>
    <s v="Bonis SpA"/>
    <m/>
    <m/>
    <m/>
    <m/>
    <m/>
    <m/>
    <m/>
    <m/>
    <m/>
    <m/>
    <m/>
    <m/>
  </r>
  <r>
    <m/>
    <n v="2572"/>
    <x v="40"/>
    <m/>
    <x v="18"/>
    <s v="BONIS SPA"/>
    <s v="STOCK SCAFFALE MP"/>
    <x v="4"/>
    <m/>
    <m/>
    <n v="2"/>
    <s v="01"/>
    <s v="409"/>
    <s v="018"/>
    <s v="00"/>
    <s v="S"/>
    <s v="P"/>
    <s v="01"/>
    <s v="04"/>
    <s v="False"/>
    <s v="True"/>
    <s v="U002836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7"/>
    <s v="BONIS SPA"/>
    <s v="STOCK SCAFFALE MP"/>
    <x v="4"/>
    <m/>
    <m/>
    <n v="3"/>
    <s v="01"/>
    <s v="409"/>
    <s v="018"/>
    <s v="00"/>
    <s v="S"/>
    <s v="P"/>
    <s v="01"/>
    <s v="04"/>
    <s v="False"/>
    <s v="True"/>
    <s v="U002836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6"/>
    <s v="BONIS SPA"/>
    <s v="STOCK SCAFFALE MP"/>
    <x v="4"/>
    <m/>
    <m/>
    <n v="4"/>
    <s v="01"/>
    <s v="409"/>
    <s v="018"/>
    <s v="00"/>
    <s v="S"/>
    <s v="P"/>
    <s v="01"/>
    <s v="04"/>
    <s v="False"/>
    <s v="True"/>
    <s v="U0028362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4"/>
    <s v="BONIS SPA"/>
    <s v="STOCK SCAFFALE MP"/>
    <x v="4"/>
    <m/>
    <m/>
    <n v="1"/>
    <s v="01"/>
    <s v="409"/>
    <s v="018"/>
    <s v="00"/>
    <s v="S"/>
    <s v="P"/>
    <s v="01"/>
    <s v="04"/>
    <s v="False"/>
    <s v="True"/>
    <s v="U002836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7"/>
    <s v="BONIS SPA"/>
    <s v="STOCK SCAFFALE MP"/>
    <x v="4"/>
    <m/>
    <m/>
    <n v="1"/>
    <s v="01"/>
    <s v="409"/>
    <s v="018"/>
    <s v="00"/>
    <s v="S"/>
    <s v="P"/>
    <s v="01"/>
    <s v="04"/>
    <s v="False"/>
    <s v="True"/>
    <s v="U0028285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8"/>
    <s v="BONIS SPA"/>
    <s v="STOCK SCAFFALE MP"/>
    <x v="4"/>
    <m/>
    <m/>
    <n v="2"/>
    <s v="01"/>
    <s v="409"/>
    <s v="018"/>
    <s v="00"/>
    <s v="S"/>
    <s v="P"/>
    <s v="01"/>
    <s v="04"/>
    <s v="False"/>
    <s v="True"/>
    <s v="U0028285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4"/>
    <s v="BONIS SPA"/>
    <s v="STOCK SCAFFALE MP"/>
    <x v="4"/>
    <m/>
    <m/>
    <n v="1"/>
    <s v="01"/>
    <s v="409"/>
    <s v="018"/>
    <s v="00"/>
    <s v="S"/>
    <s v="P"/>
    <s v="01"/>
    <s v="04"/>
    <s v="False"/>
    <s v="True"/>
    <s v="U0028285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1"/>
    <m/>
    <x v="18"/>
    <s v="BONIS SPA"/>
    <s v="STOCK SCAFFALE MP"/>
    <x v="1"/>
    <m/>
    <m/>
    <n v="2"/>
    <s v="01"/>
    <s v="409"/>
    <s v="018"/>
    <s v="00"/>
    <s v="S"/>
    <s v="P"/>
    <s v="01"/>
    <s v="04"/>
    <s v="False"/>
    <s v="True"/>
    <s v="U0028367"/>
    <n v="1"/>
    <m/>
    <n v="0"/>
    <n v="0"/>
    <m/>
    <s v="SMU"/>
    <m/>
    <m/>
    <m/>
    <m/>
    <m/>
    <m/>
    <s v="1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72"/>
    <x v="1"/>
    <m/>
    <x v="17"/>
    <s v="BONIS SPA"/>
    <s v="STOCK SCAFFALE MP"/>
    <x v="1"/>
    <m/>
    <m/>
    <n v="3"/>
    <s v="01"/>
    <s v="409"/>
    <s v="018"/>
    <s v="00"/>
    <s v="S"/>
    <s v="P"/>
    <s v="01"/>
    <s v="04"/>
    <s v="False"/>
    <s v="True"/>
    <s v="U0028284"/>
    <n v="1"/>
    <m/>
    <n v="0"/>
    <n v="0"/>
    <m/>
    <s v="SMU"/>
    <m/>
    <m/>
    <m/>
    <m/>
    <m/>
    <m/>
    <s v="1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72"/>
    <x v="1"/>
    <m/>
    <x v="15"/>
    <s v="BONIS SPA"/>
    <s v="STOCK SCAFFALE MP"/>
    <x v="1"/>
    <m/>
    <m/>
    <n v="1"/>
    <s v="01"/>
    <s v="409"/>
    <s v="018"/>
    <s v="00"/>
    <s v="S"/>
    <s v="P"/>
    <s v="01"/>
    <s v="04"/>
    <s v="False"/>
    <s v="True"/>
    <s v="U0028367"/>
    <n v="1"/>
    <m/>
    <n v="0"/>
    <n v="0"/>
    <m/>
    <s v="SMU"/>
    <m/>
    <m/>
    <m/>
    <m/>
    <m/>
    <m/>
    <s v="1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72"/>
    <x v="1"/>
    <m/>
    <x v="16"/>
    <s v="BONIS SPA"/>
    <s v="STOCK SCAFFALE MP"/>
    <x v="1"/>
    <m/>
    <m/>
    <n v="2"/>
    <s v="01"/>
    <s v="409"/>
    <s v="018"/>
    <s v="00"/>
    <s v="S"/>
    <s v="P"/>
    <s v="01"/>
    <s v="04"/>
    <s v="False"/>
    <s v="True"/>
    <s v="U0028367"/>
    <n v="1"/>
    <m/>
    <n v="0"/>
    <n v="0"/>
    <m/>
    <s v="SMU"/>
    <m/>
    <m/>
    <m/>
    <m/>
    <m/>
    <m/>
    <s v="1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72"/>
    <x v="78"/>
    <m/>
    <x v="19"/>
    <s v="BONIS SPA"/>
    <s v="STOCK SCAFFALE MP"/>
    <x v="1"/>
    <m/>
    <m/>
    <n v="2"/>
    <s v="01"/>
    <s v="409"/>
    <s v="018"/>
    <s v="00"/>
    <s v="S"/>
    <s v="P"/>
    <s v="01"/>
    <s v="04"/>
    <s v="False"/>
    <s v="True"/>
    <s v="U0028367"/>
    <n v="1"/>
    <m/>
    <n v="0"/>
    <n v="0"/>
    <m/>
    <s v="SMU"/>
    <m/>
    <m/>
    <m/>
    <m/>
    <m/>
    <m/>
    <s v="F11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TW CANVAS+MICROS"/>
    <s v="Bonis SpA"/>
    <m/>
    <m/>
    <m/>
    <m/>
    <m/>
    <m/>
    <m/>
    <m/>
    <m/>
    <m/>
    <m/>
    <m/>
  </r>
  <r>
    <m/>
    <n v="2572"/>
    <x v="78"/>
    <m/>
    <x v="19"/>
    <s v="BONIS SPA"/>
    <s v="STOCK SCAFFALE MP"/>
    <x v="10"/>
    <m/>
    <m/>
    <n v="2"/>
    <s v="01"/>
    <s v="409"/>
    <s v="018"/>
    <s v="00"/>
    <s v="S"/>
    <s v="P"/>
    <s v="01"/>
    <s v="04"/>
    <s v="False"/>
    <s v="True"/>
    <s v="U0028367"/>
    <n v="1"/>
    <m/>
    <n v="0"/>
    <n v="0"/>
    <m/>
    <s v="SMU"/>
    <m/>
    <m/>
    <m/>
    <m/>
    <m/>
    <m/>
    <s v="1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TW CANVAS+MICROS"/>
    <s v="Bonis SpA"/>
    <m/>
    <m/>
    <m/>
    <m/>
    <m/>
    <m/>
    <m/>
    <m/>
    <m/>
    <m/>
    <m/>
    <m/>
  </r>
  <r>
    <m/>
    <n v="2572"/>
    <x v="78"/>
    <m/>
    <x v="20"/>
    <s v="BONIS SPA"/>
    <s v="STOCK SCAFFALE MP"/>
    <x v="10"/>
    <m/>
    <m/>
    <n v="1"/>
    <s v="01"/>
    <s v="409"/>
    <s v="018"/>
    <s v="00"/>
    <s v="S"/>
    <s v="P"/>
    <s v="01"/>
    <s v="04"/>
    <s v="False"/>
    <s v="True"/>
    <s v="U0028367"/>
    <n v="1"/>
    <m/>
    <n v="0"/>
    <n v="0"/>
    <m/>
    <s v="SMU"/>
    <m/>
    <m/>
    <m/>
    <m/>
    <m/>
    <m/>
    <s v="1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TW CANVAS+MICROS"/>
    <s v="Bonis SpA"/>
    <m/>
    <m/>
    <m/>
    <m/>
    <m/>
    <m/>
    <m/>
    <m/>
    <m/>
    <m/>
    <m/>
    <m/>
  </r>
  <r>
    <m/>
    <n v="2572"/>
    <x v="78"/>
    <m/>
    <x v="18"/>
    <s v="BONIS SPA"/>
    <s v="STOCK SCAFFALE MP"/>
    <x v="10"/>
    <m/>
    <m/>
    <n v="2"/>
    <s v="01"/>
    <s v="409"/>
    <s v="018"/>
    <s v="00"/>
    <s v="S"/>
    <s v="P"/>
    <s v="01"/>
    <s v="04"/>
    <s v="False"/>
    <s v="True"/>
    <s v="U0028367"/>
    <n v="1"/>
    <m/>
    <n v="0"/>
    <n v="0"/>
    <m/>
    <s v="SMU"/>
    <m/>
    <m/>
    <m/>
    <m/>
    <m/>
    <m/>
    <s v="106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TW CANVAS+MICROS"/>
    <s v="Bonis SpA"/>
    <m/>
    <m/>
    <m/>
    <m/>
    <m/>
    <m/>
    <m/>
    <m/>
    <m/>
    <m/>
    <m/>
    <m/>
  </r>
  <r>
    <m/>
    <n v="2572"/>
    <x v="38"/>
    <m/>
    <x v="18"/>
    <s v="BONIS SPA"/>
    <s v="STOCK SCAFFALE MP"/>
    <x v="4"/>
    <m/>
    <m/>
    <n v="1"/>
    <s v="01"/>
    <s v="409"/>
    <s v="018"/>
    <s v="00"/>
    <s v="S"/>
    <s v="P"/>
    <s v="01"/>
    <s v="04"/>
    <s v="False"/>
    <s v="True"/>
    <s v="U0028288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8"/>
    <s v="BONIS SPA"/>
    <s v="STOCK SCAFFALE MP"/>
    <x v="4"/>
    <m/>
    <m/>
    <n v="1"/>
    <s v="01"/>
    <s v="409"/>
    <s v="018"/>
    <s v="00"/>
    <s v="S"/>
    <s v="P"/>
    <s v="01"/>
    <s v="04"/>
    <s v="False"/>
    <s v="True"/>
    <s v="U0028362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7"/>
    <s v="BONIS SPA"/>
    <s v="STOCK SCAFFALE MP"/>
    <x v="4"/>
    <m/>
    <m/>
    <n v="1"/>
    <s v="01"/>
    <s v="409"/>
    <s v="018"/>
    <s v="00"/>
    <s v="S"/>
    <s v="P"/>
    <s v="01"/>
    <s v="04"/>
    <s v="False"/>
    <s v="True"/>
    <s v="U0028362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66"/>
    <x v="35"/>
    <m/>
    <x v="21"/>
    <s v="BONIS SPA"/>
    <s v="STOCK SCAFFALE MP"/>
    <x v="0"/>
    <m/>
    <m/>
    <n v="1"/>
    <s v="01"/>
    <s v="409"/>
    <s v="016"/>
    <s v="00"/>
    <s v="S"/>
    <s v="P"/>
    <s v="01"/>
    <s v="04"/>
    <s v="False"/>
    <s v="True"/>
    <s v="U0028379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8"/>
    <s v="BONIS SPA"/>
    <s v="STOCK SCAFFALE MP"/>
    <x v="0"/>
    <m/>
    <m/>
    <n v="2"/>
    <s v="01"/>
    <s v="409"/>
    <s v="016"/>
    <s v="00"/>
    <s v="S"/>
    <s v="P"/>
    <s v="01"/>
    <s v="04"/>
    <s v="False"/>
    <s v="True"/>
    <s v="U0028379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9"/>
    <s v="BONIS SPA"/>
    <s v="STOCK SCAFFALE MP"/>
    <x v="0"/>
    <m/>
    <m/>
    <n v="2"/>
    <s v="01"/>
    <s v="409"/>
    <s v="016"/>
    <s v="00"/>
    <s v="S"/>
    <s v="P"/>
    <s v="01"/>
    <s v="04"/>
    <s v="False"/>
    <s v="True"/>
    <s v="U0028379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20"/>
    <s v="BONIS SPA"/>
    <s v="STOCK SCAFFALE MP"/>
    <x v="0"/>
    <m/>
    <m/>
    <n v="3"/>
    <s v="01"/>
    <s v="409"/>
    <s v="016"/>
    <s v="00"/>
    <s v="S"/>
    <s v="P"/>
    <s v="01"/>
    <s v="04"/>
    <s v="False"/>
    <s v="True"/>
    <s v="U0028379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18"/>
    <s v="BONIS SPA"/>
    <s v="STOCK SCAFFALE MP"/>
    <x v="0"/>
    <m/>
    <m/>
    <n v="1"/>
    <s v="01"/>
    <s v="409"/>
    <s v="016"/>
    <s v="00"/>
    <s v="S"/>
    <s v="P"/>
    <s v="01"/>
    <s v="04"/>
    <s v="False"/>
    <s v="True"/>
    <s v="U0028379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19"/>
    <s v="BONIS SPA"/>
    <s v="STOCK SCAFFALE MP"/>
    <x v="0"/>
    <m/>
    <m/>
    <n v="2"/>
    <s v="01"/>
    <s v="409"/>
    <s v="016"/>
    <s v="00"/>
    <s v="S"/>
    <s v="P"/>
    <s v="01"/>
    <s v="04"/>
    <s v="False"/>
    <s v="True"/>
    <s v="U0028379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79"/>
    <m/>
    <x v="14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385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79"/>
    <m/>
    <x v="17"/>
    <s v="BONIS SPA"/>
    <s v="STOCK SCAFFALE MP"/>
    <x v="4"/>
    <m/>
    <m/>
    <n v="2"/>
    <s v="01"/>
    <s v="409"/>
    <s v="016"/>
    <s v="00"/>
    <s v="S"/>
    <s v="P"/>
    <s v="01"/>
    <s v="04"/>
    <s v="False"/>
    <s v="True"/>
    <s v="U0028280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80"/>
    <m/>
    <x v="18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381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19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381"/>
    <n v="1"/>
    <m/>
    <n v="0"/>
    <n v="0"/>
    <m/>
    <s v="SMU"/>
    <m/>
    <m/>
    <m/>
    <m/>
    <m/>
    <m/>
    <s v="106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19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386"/>
    <n v="1"/>
    <m/>
    <n v="0"/>
    <n v="0"/>
    <m/>
    <s v="SMU"/>
    <m/>
    <m/>
    <m/>
    <m/>
    <m/>
    <m/>
    <s v="106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79"/>
    <m/>
    <x v="19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271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79"/>
    <m/>
    <x v="18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271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80"/>
    <m/>
    <x v="8"/>
    <s v="BONIS SPA"/>
    <s v="STOCK SCAFFALE MP"/>
    <x v="4"/>
    <m/>
    <m/>
    <n v="2"/>
    <s v="01"/>
    <s v="409"/>
    <s v="016"/>
    <s v="00"/>
    <s v="S"/>
    <s v="P"/>
    <s v="01"/>
    <s v="04"/>
    <s v="False"/>
    <s v="True"/>
    <s v="U0028269"/>
    <n v="1"/>
    <m/>
    <n v="0"/>
    <n v="0"/>
    <m/>
    <s v="SMU"/>
    <m/>
    <m/>
    <m/>
    <m/>
    <m/>
    <m/>
    <s v="106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21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381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79"/>
    <m/>
    <x v="16"/>
    <s v="BONIS SPA"/>
    <s v="STOCK SCAFFALE MP"/>
    <x v="21"/>
    <m/>
    <m/>
    <n v="3"/>
    <s v="01"/>
    <s v="409"/>
    <s v="016"/>
    <s v="00"/>
    <s v="S"/>
    <s v="P"/>
    <s v="01"/>
    <s v="04"/>
    <s v="False"/>
    <s v="True"/>
    <s v="U0028382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79"/>
    <m/>
    <x v="15"/>
    <s v="BONIS SPA"/>
    <s v="STOCK SCAFFALE MP"/>
    <x v="21"/>
    <m/>
    <m/>
    <n v="2"/>
    <s v="01"/>
    <s v="409"/>
    <s v="016"/>
    <s v="00"/>
    <s v="S"/>
    <s v="P"/>
    <s v="01"/>
    <s v="04"/>
    <s v="False"/>
    <s v="True"/>
    <s v="U0028382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79"/>
    <m/>
    <x v="17"/>
    <s v="BONIS SPA"/>
    <s v="STOCK SCAFFALE MP"/>
    <x v="21"/>
    <m/>
    <m/>
    <n v="3"/>
    <s v="01"/>
    <s v="409"/>
    <s v="016"/>
    <s v="00"/>
    <s v="S"/>
    <s v="P"/>
    <s v="01"/>
    <s v="04"/>
    <s v="False"/>
    <s v="True"/>
    <s v="U0028382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80"/>
    <m/>
    <x v="19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272"/>
    <n v="1"/>
    <m/>
    <n v="0"/>
    <n v="0"/>
    <m/>
    <s v="SMU"/>
    <m/>
    <m/>
    <m/>
    <m/>
    <m/>
    <m/>
    <s v="106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79"/>
    <m/>
    <x v="18"/>
    <s v="BONIS SPA"/>
    <s v="STOCK SCAFFALE MP"/>
    <x v="21"/>
    <m/>
    <m/>
    <n v="2"/>
    <s v="01"/>
    <s v="409"/>
    <s v="016"/>
    <s v="00"/>
    <s v="S"/>
    <s v="P"/>
    <s v="01"/>
    <s v="04"/>
    <s v="False"/>
    <s v="True"/>
    <s v="U0028382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79"/>
    <m/>
    <x v="19"/>
    <s v="BONIS SPA"/>
    <s v="STOCK SCAFFALE MP"/>
    <x v="21"/>
    <m/>
    <m/>
    <n v="1"/>
    <s v="01"/>
    <s v="409"/>
    <s v="016"/>
    <s v="00"/>
    <s v="S"/>
    <s v="P"/>
    <s v="01"/>
    <s v="04"/>
    <s v="False"/>
    <s v="True"/>
    <s v="U0028382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80"/>
    <m/>
    <x v="21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272"/>
    <n v="1"/>
    <m/>
    <n v="0"/>
    <n v="0"/>
    <m/>
    <s v="SMU"/>
    <m/>
    <m/>
    <m/>
    <m/>
    <m/>
    <m/>
    <s v="106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35"/>
    <m/>
    <x v="18"/>
    <s v="BONIS SPA"/>
    <s v="STOCK SCAFFALE MP"/>
    <x v="0"/>
    <m/>
    <m/>
    <n v="1"/>
    <s v="01"/>
    <s v="409"/>
    <s v="016"/>
    <s v="00"/>
    <s v="S"/>
    <s v="P"/>
    <s v="01"/>
    <s v="04"/>
    <s v="False"/>
    <s v="True"/>
    <s v="U0028270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19"/>
    <s v="BONIS SPA"/>
    <s v="STOCK SCAFFALE MP"/>
    <x v="0"/>
    <m/>
    <m/>
    <n v="2"/>
    <s v="01"/>
    <s v="409"/>
    <s v="016"/>
    <s v="00"/>
    <s v="S"/>
    <s v="P"/>
    <s v="01"/>
    <s v="04"/>
    <s v="False"/>
    <s v="True"/>
    <s v="U0028384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20"/>
    <s v="BONIS SPA"/>
    <s v="STOCK SCAFFALE MP"/>
    <x v="0"/>
    <m/>
    <m/>
    <n v="2"/>
    <s v="01"/>
    <s v="409"/>
    <s v="016"/>
    <s v="00"/>
    <s v="S"/>
    <s v="P"/>
    <s v="01"/>
    <s v="04"/>
    <s v="False"/>
    <s v="True"/>
    <s v="U0028384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8"/>
    <s v="BONIS SPA"/>
    <s v="STOCK SCAFFALE MP"/>
    <x v="0"/>
    <m/>
    <m/>
    <n v="2"/>
    <s v="01"/>
    <s v="409"/>
    <s v="016"/>
    <s v="00"/>
    <s v="S"/>
    <s v="P"/>
    <s v="01"/>
    <s v="04"/>
    <s v="False"/>
    <s v="True"/>
    <s v="U0028384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79"/>
    <m/>
    <x v="16"/>
    <s v="BONIS SPA"/>
    <s v="STOCK SCAFFALE MP"/>
    <x v="8"/>
    <m/>
    <m/>
    <n v="3"/>
    <s v="01"/>
    <s v="409"/>
    <s v="016"/>
    <s v="00"/>
    <s v="S"/>
    <s v="P"/>
    <s v="01"/>
    <s v="04"/>
    <s v="False"/>
    <s v="True"/>
    <s v="U0028385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79"/>
    <m/>
    <x v="15"/>
    <s v="BONIS SPA"/>
    <s v="STOCK SCAFFALE MP"/>
    <x v="8"/>
    <m/>
    <m/>
    <n v="2"/>
    <s v="01"/>
    <s v="409"/>
    <s v="016"/>
    <s v="00"/>
    <s v="S"/>
    <s v="P"/>
    <s v="01"/>
    <s v="04"/>
    <s v="False"/>
    <s v="True"/>
    <s v="U0028385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79"/>
    <m/>
    <x v="14"/>
    <s v="BONIS SPA"/>
    <s v="STOCK SCAFFALE MP"/>
    <x v="8"/>
    <m/>
    <m/>
    <n v="1"/>
    <s v="01"/>
    <s v="409"/>
    <s v="016"/>
    <s v="00"/>
    <s v="S"/>
    <s v="P"/>
    <s v="01"/>
    <s v="04"/>
    <s v="False"/>
    <s v="True"/>
    <s v="U0028385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79"/>
    <m/>
    <x v="17"/>
    <s v="BONIS SPA"/>
    <s v="STOCK SCAFFALE MP"/>
    <x v="8"/>
    <m/>
    <m/>
    <n v="3"/>
    <s v="01"/>
    <s v="409"/>
    <s v="016"/>
    <s v="00"/>
    <s v="S"/>
    <s v="P"/>
    <s v="01"/>
    <s v="04"/>
    <s v="False"/>
    <s v="True"/>
    <s v="U0028385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79"/>
    <m/>
    <x v="18"/>
    <s v="BONIS SPA"/>
    <s v="STOCK SCAFFALE MP"/>
    <x v="8"/>
    <m/>
    <m/>
    <n v="1"/>
    <s v="01"/>
    <s v="409"/>
    <s v="016"/>
    <s v="00"/>
    <s v="S"/>
    <s v="P"/>
    <s v="01"/>
    <s v="04"/>
    <s v="False"/>
    <s v="True"/>
    <s v="U0028385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79"/>
    <m/>
    <x v="19"/>
    <s v="BONIS SPA"/>
    <s v="STOCK SCAFFALE MP"/>
    <x v="8"/>
    <m/>
    <m/>
    <n v="1"/>
    <s v="01"/>
    <s v="409"/>
    <s v="016"/>
    <s v="00"/>
    <s v="S"/>
    <s v="P"/>
    <s v="01"/>
    <s v="04"/>
    <s v="False"/>
    <s v="True"/>
    <s v="U0028385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66"/>
    <x v="0"/>
    <m/>
    <x v="8"/>
    <s v="BONIS SPA"/>
    <s v="STOCK SCAFFALE MP"/>
    <x v="4"/>
    <m/>
    <m/>
    <n v="2"/>
    <s v="01"/>
    <s v="409"/>
    <s v="016"/>
    <s v="00"/>
    <s v="S"/>
    <s v="P"/>
    <s v="01"/>
    <s v="04"/>
    <s v="False"/>
    <s v="True"/>
    <s v="U0028386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9"/>
    <s v="BONIS SPA"/>
    <s v="STOCK SCAFFALE MP"/>
    <x v="4"/>
    <m/>
    <m/>
    <n v="3"/>
    <s v="01"/>
    <s v="409"/>
    <s v="016"/>
    <s v="00"/>
    <s v="S"/>
    <s v="P"/>
    <s v="01"/>
    <s v="04"/>
    <s v="False"/>
    <s v="True"/>
    <s v="U0028386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20"/>
    <s v="BONIS SPA"/>
    <s v="STOCK SCAFFALE MP"/>
    <x v="4"/>
    <m/>
    <m/>
    <n v="3"/>
    <s v="01"/>
    <s v="409"/>
    <s v="016"/>
    <s v="00"/>
    <s v="S"/>
    <s v="P"/>
    <s v="01"/>
    <s v="04"/>
    <s v="False"/>
    <s v="True"/>
    <s v="U0028386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19"/>
    <s v="BONIS SPA"/>
    <s v="STOCK SCAFFALE MP"/>
    <x v="4"/>
    <m/>
    <m/>
    <n v="2"/>
    <s v="01"/>
    <s v="409"/>
    <s v="016"/>
    <s v="00"/>
    <s v="S"/>
    <s v="P"/>
    <s v="01"/>
    <s v="04"/>
    <s v="False"/>
    <s v="True"/>
    <s v="U0028386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18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386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8"/>
    <s v="BONIS SPA"/>
    <s v="STOCK SCAFFALE MP"/>
    <x v="4"/>
    <m/>
    <m/>
    <n v="2"/>
    <s v="01"/>
    <s v="409"/>
    <s v="016"/>
    <s v="00"/>
    <s v="S"/>
    <s v="P"/>
    <s v="01"/>
    <s v="04"/>
    <s v="False"/>
    <s v="True"/>
    <s v="U0027836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9"/>
    <s v="BONIS SPA"/>
    <s v="STOCK SCAFFALE MP"/>
    <x v="4"/>
    <m/>
    <m/>
    <n v="3"/>
    <s v="01"/>
    <s v="409"/>
    <s v="016"/>
    <s v="00"/>
    <s v="S"/>
    <s v="P"/>
    <s v="01"/>
    <s v="04"/>
    <s v="False"/>
    <s v="True"/>
    <s v="U0027836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20"/>
    <s v="BONIS SPA"/>
    <s v="STOCK SCAFFALE MP"/>
    <x v="4"/>
    <m/>
    <m/>
    <n v="3"/>
    <s v="01"/>
    <s v="409"/>
    <s v="016"/>
    <s v="00"/>
    <s v="S"/>
    <s v="P"/>
    <s v="01"/>
    <s v="04"/>
    <s v="False"/>
    <s v="True"/>
    <s v="U0027836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19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7836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18"/>
    <s v="BONIS SPA"/>
    <s v="STOCK SCAFFALE MP"/>
    <x v="6"/>
    <m/>
    <m/>
    <n v="1"/>
    <s v="01"/>
    <s v="409"/>
    <s v="016"/>
    <s v="00"/>
    <s v="S"/>
    <s v="P"/>
    <s v="01"/>
    <s v="04"/>
    <s v="False"/>
    <s v="True"/>
    <s v="U0028384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19"/>
    <s v="BONIS SPA"/>
    <s v="STOCK SCAFFALE MP"/>
    <x v="6"/>
    <m/>
    <m/>
    <n v="1"/>
    <s v="01"/>
    <s v="409"/>
    <s v="016"/>
    <s v="00"/>
    <s v="S"/>
    <s v="P"/>
    <s v="01"/>
    <s v="04"/>
    <s v="False"/>
    <s v="True"/>
    <s v="U0028384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20"/>
    <s v="BONIS SPA"/>
    <s v="STOCK SCAFFALE MP"/>
    <x v="6"/>
    <m/>
    <m/>
    <n v="3"/>
    <s v="01"/>
    <s v="409"/>
    <s v="016"/>
    <s v="00"/>
    <s v="S"/>
    <s v="P"/>
    <s v="01"/>
    <s v="04"/>
    <s v="False"/>
    <s v="True"/>
    <s v="U0028384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9"/>
    <s v="BONIS SPA"/>
    <s v="STOCK SCAFFALE MP"/>
    <x v="6"/>
    <m/>
    <m/>
    <n v="1"/>
    <s v="01"/>
    <s v="409"/>
    <s v="016"/>
    <s v="00"/>
    <s v="S"/>
    <s v="P"/>
    <s v="01"/>
    <s v="04"/>
    <s v="False"/>
    <s v="True"/>
    <s v="U0028384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9"/>
    <s v="BONIS SPA"/>
    <s v="STOCK SCAFFALE MP"/>
    <x v="6"/>
    <m/>
    <m/>
    <n v="1"/>
    <s v="01"/>
    <s v="409"/>
    <s v="016"/>
    <s v="00"/>
    <s v="S"/>
    <s v="P"/>
    <s v="01"/>
    <s v="04"/>
    <s v="False"/>
    <s v="True"/>
    <s v="U0028272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8"/>
    <s v="BONIS SPA"/>
    <s v="STOCK SCAFFALE MP"/>
    <x v="10"/>
    <m/>
    <m/>
    <n v="2"/>
    <s v="01"/>
    <s v="409"/>
    <s v="016"/>
    <s v="00"/>
    <s v="S"/>
    <s v="P"/>
    <s v="01"/>
    <s v="04"/>
    <s v="False"/>
    <s v="True"/>
    <s v="U0027838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9"/>
    <s v="BONIS SPA"/>
    <s v="STOCK SCAFFALE MP"/>
    <x v="10"/>
    <m/>
    <m/>
    <n v="3"/>
    <s v="01"/>
    <s v="409"/>
    <s v="016"/>
    <s v="00"/>
    <s v="S"/>
    <s v="P"/>
    <s v="01"/>
    <s v="04"/>
    <s v="False"/>
    <s v="True"/>
    <s v="U0027838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20"/>
    <s v="BONIS SPA"/>
    <s v="STOCK SCAFFALE MP"/>
    <x v="10"/>
    <m/>
    <m/>
    <n v="3"/>
    <s v="01"/>
    <s v="409"/>
    <s v="016"/>
    <s v="00"/>
    <s v="S"/>
    <s v="P"/>
    <s v="01"/>
    <s v="04"/>
    <s v="False"/>
    <s v="True"/>
    <s v="U0027838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18"/>
    <s v="BONIS SPA"/>
    <s v="STOCK SCAFFALE MP"/>
    <x v="10"/>
    <m/>
    <m/>
    <n v="1"/>
    <s v="01"/>
    <s v="409"/>
    <s v="016"/>
    <s v="00"/>
    <s v="S"/>
    <s v="P"/>
    <s v="01"/>
    <s v="04"/>
    <s v="False"/>
    <s v="True"/>
    <s v="U0028272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35"/>
    <m/>
    <x v="18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7838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19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7838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19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379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9"/>
    <s v="BONIS SPA"/>
    <s v="STOCK SCAFFALE MP"/>
    <x v="4"/>
    <m/>
    <m/>
    <n v="2"/>
    <s v="01"/>
    <s v="409"/>
    <s v="016"/>
    <s v="00"/>
    <s v="S"/>
    <s v="P"/>
    <s v="01"/>
    <s v="04"/>
    <s v="False"/>
    <s v="True"/>
    <s v="U0027838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9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280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8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280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0"/>
    <m/>
    <x v="9"/>
    <s v="BONIS SPA"/>
    <s v="STOCK SCAFFALE MP"/>
    <x v="10"/>
    <m/>
    <m/>
    <n v="3"/>
    <s v="01"/>
    <s v="409"/>
    <s v="016"/>
    <s v="00"/>
    <s v="S"/>
    <s v="P"/>
    <s v="01"/>
    <s v="04"/>
    <s v="False"/>
    <s v="True"/>
    <s v="U0028275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20"/>
    <s v="BONIS SPA"/>
    <s v="STOCK SCAFFALE MP"/>
    <x v="10"/>
    <m/>
    <m/>
    <n v="3"/>
    <s v="01"/>
    <s v="409"/>
    <s v="016"/>
    <s v="00"/>
    <s v="S"/>
    <s v="P"/>
    <s v="01"/>
    <s v="04"/>
    <s v="False"/>
    <s v="True"/>
    <s v="U0027836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3"/>
    <x v="81"/>
    <m/>
    <x v="15"/>
    <s v="BONIS SPA"/>
    <s v="STOCK SCAFFALE MP"/>
    <x v="10"/>
    <m/>
    <m/>
    <n v="2"/>
    <s v="01"/>
    <s v="409"/>
    <s v="015"/>
    <s v="00"/>
    <s v="S"/>
    <s v="P"/>
    <s v="01"/>
    <s v="04"/>
    <s v="False"/>
    <s v="True"/>
    <s v="U0028268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3"/>
    <x v="81"/>
    <m/>
    <x v="17"/>
    <s v="BONIS SPA"/>
    <s v="STOCK SCAFFALE MP"/>
    <x v="10"/>
    <m/>
    <m/>
    <n v="3"/>
    <s v="01"/>
    <s v="409"/>
    <s v="015"/>
    <s v="00"/>
    <s v="S"/>
    <s v="P"/>
    <s v="01"/>
    <s v="04"/>
    <s v="False"/>
    <s v="True"/>
    <s v="U0028268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3"/>
    <x v="81"/>
    <m/>
    <x v="19"/>
    <s v="BONIS SPA"/>
    <s v="STOCK SCAFFALE MP"/>
    <x v="10"/>
    <m/>
    <m/>
    <n v="1"/>
    <s v="01"/>
    <s v="409"/>
    <s v="015"/>
    <s v="00"/>
    <s v="S"/>
    <s v="P"/>
    <s v="01"/>
    <s v="04"/>
    <s v="False"/>
    <s v="True"/>
    <s v="U0028268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3"/>
    <x v="81"/>
    <m/>
    <x v="18"/>
    <s v="BONIS SPA"/>
    <s v="STOCK SCAFFALE MP"/>
    <x v="10"/>
    <m/>
    <m/>
    <n v="2"/>
    <s v="01"/>
    <s v="409"/>
    <s v="015"/>
    <s v="00"/>
    <s v="S"/>
    <s v="P"/>
    <s v="01"/>
    <s v="04"/>
    <s v="False"/>
    <s v="True"/>
    <s v="U0028268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0"/>
    <m/>
    <x v="9"/>
    <s v="BONIS SPA"/>
    <s v="STOCK SCAFFALE MP"/>
    <x v="8"/>
    <m/>
    <m/>
    <n v="3"/>
    <s v="01"/>
    <s v="409"/>
    <s v="016"/>
    <s v="00"/>
    <s v="S"/>
    <s v="P"/>
    <s v="01"/>
    <s v="04"/>
    <s v="False"/>
    <s v="True"/>
    <s v="U0028269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8"/>
    <s v="BONIS SPA"/>
    <s v="STOCK SCAFFALE MP"/>
    <x v="8"/>
    <m/>
    <m/>
    <n v="1"/>
    <s v="01"/>
    <s v="409"/>
    <s v="016"/>
    <s v="00"/>
    <s v="S"/>
    <s v="P"/>
    <s v="01"/>
    <s v="04"/>
    <s v="False"/>
    <s v="True"/>
    <s v="U0028269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21"/>
    <s v="BONIS SPA"/>
    <s v="STOCK SCAFFALE MP"/>
    <x v="8"/>
    <m/>
    <m/>
    <n v="1"/>
    <s v="01"/>
    <s v="409"/>
    <s v="016"/>
    <s v="00"/>
    <s v="S"/>
    <s v="P"/>
    <s v="01"/>
    <s v="04"/>
    <s v="False"/>
    <s v="True"/>
    <s v="U0028269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20"/>
    <s v="BONIS SPA"/>
    <s v="STOCK SCAFFALE MP"/>
    <x v="8"/>
    <m/>
    <m/>
    <n v="2"/>
    <s v="01"/>
    <s v="409"/>
    <s v="016"/>
    <s v="00"/>
    <s v="S"/>
    <s v="P"/>
    <s v="01"/>
    <s v="04"/>
    <s v="False"/>
    <s v="True"/>
    <s v="U0028269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18"/>
    <s v="BONIS SPA"/>
    <s v="STOCK SCAFFALE MP"/>
    <x v="8"/>
    <m/>
    <m/>
    <n v="1"/>
    <s v="01"/>
    <s v="409"/>
    <s v="016"/>
    <s v="00"/>
    <s v="S"/>
    <s v="P"/>
    <s v="01"/>
    <s v="04"/>
    <s v="False"/>
    <s v="True"/>
    <s v="U0028269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19"/>
    <s v="BONIS SPA"/>
    <s v="STOCK SCAFFALE MP"/>
    <x v="8"/>
    <m/>
    <m/>
    <n v="2"/>
    <s v="01"/>
    <s v="409"/>
    <s v="016"/>
    <s v="00"/>
    <s v="S"/>
    <s v="P"/>
    <s v="01"/>
    <s v="04"/>
    <s v="False"/>
    <s v="True"/>
    <s v="U0028269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0"/>
    <m/>
    <x v="18"/>
    <s v="BONIS SPA"/>
    <s v="STOCK SCAFFALE MP"/>
    <x v="2"/>
    <m/>
    <m/>
    <n v="1"/>
    <s v="01"/>
    <s v="409"/>
    <s v="016"/>
    <s v="00"/>
    <s v="S"/>
    <s v="P"/>
    <s v="01"/>
    <s v="04"/>
    <s v="False"/>
    <s v="True"/>
    <s v="U0028270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19"/>
    <s v="BONIS SPA"/>
    <s v="STOCK SCAFFALE MP"/>
    <x v="2"/>
    <m/>
    <m/>
    <n v="1"/>
    <s v="01"/>
    <s v="409"/>
    <s v="016"/>
    <s v="00"/>
    <s v="S"/>
    <s v="P"/>
    <s v="01"/>
    <s v="04"/>
    <s v="False"/>
    <s v="True"/>
    <s v="U0028270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20"/>
    <s v="BONIS SPA"/>
    <s v="STOCK SCAFFALE MP"/>
    <x v="2"/>
    <m/>
    <m/>
    <n v="3"/>
    <s v="01"/>
    <s v="409"/>
    <s v="016"/>
    <s v="00"/>
    <s v="S"/>
    <s v="P"/>
    <s v="01"/>
    <s v="04"/>
    <s v="False"/>
    <s v="True"/>
    <s v="U0028270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9"/>
    <s v="BONIS SPA"/>
    <s v="STOCK SCAFFALE MP"/>
    <x v="2"/>
    <m/>
    <m/>
    <n v="3"/>
    <s v="01"/>
    <s v="409"/>
    <s v="016"/>
    <s v="00"/>
    <s v="S"/>
    <s v="P"/>
    <s v="01"/>
    <s v="04"/>
    <s v="False"/>
    <s v="True"/>
    <s v="U0028270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8"/>
    <s v="BONIS SPA"/>
    <s v="STOCK SCAFFALE MP"/>
    <x v="2"/>
    <m/>
    <m/>
    <n v="2"/>
    <s v="01"/>
    <s v="409"/>
    <s v="016"/>
    <s v="00"/>
    <s v="S"/>
    <s v="P"/>
    <s v="01"/>
    <s v="04"/>
    <s v="False"/>
    <s v="True"/>
    <s v="U0028270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21"/>
    <s v="BONIS SPA"/>
    <s v="STOCK SCAFFALE MP"/>
    <x v="2"/>
    <m/>
    <m/>
    <n v="1"/>
    <s v="01"/>
    <s v="409"/>
    <s v="016"/>
    <s v="00"/>
    <s v="S"/>
    <s v="P"/>
    <s v="01"/>
    <s v="04"/>
    <s v="False"/>
    <s v="True"/>
    <s v="U0028270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36"/>
    <m/>
    <x v="18"/>
    <s v="BONIS SPA"/>
    <s v="STOCK SCAFFALE MP"/>
    <x v="10"/>
    <m/>
    <m/>
    <n v="1"/>
    <s v="01"/>
    <s v="409"/>
    <s v="016"/>
    <s v="00"/>
    <s v="S"/>
    <s v="P"/>
    <s v="01"/>
    <s v="04"/>
    <s v="False"/>
    <s v="True"/>
    <s v="U0028271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6"/>
    <m/>
    <x v="19"/>
    <s v="BONIS SPA"/>
    <s v="STOCK SCAFFALE MP"/>
    <x v="10"/>
    <m/>
    <m/>
    <n v="1"/>
    <s v="01"/>
    <s v="409"/>
    <s v="016"/>
    <s v="00"/>
    <s v="S"/>
    <s v="P"/>
    <s v="01"/>
    <s v="04"/>
    <s v="False"/>
    <s v="True"/>
    <s v="U0028271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6"/>
    <m/>
    <x v="9"/>
    <s v="BONIS SPA"/>
    <s v="STOCK SCAFFALE MP"/>
    <x v="10"/>
    <m/>
    <m/>
    <n v="1"/>
    <s v="01"/>
    <s v="409"/>
    <s v="016"/>
    <s v="00"/>
    <s v="S"/>
    <s v="P"/>
    <s v="01"/>
    <s v="04"/>
    <s v="False"/>
    <s v="True"/>
    <s v="U0028271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6"/>
    <m/>
    <x v="8"/>
    <s v="BONIS SPA"/>
    <s v="STOCK SCAFFALE MP"/>
    <x v="10"/>
    <m/>
    <m/>
    <n v="1"/>
    <s v="01"/>
    <s v="409"/>
    <s v="016"/>
    <s v="00"/>
    <s v="S"/>
    <s v="P"/>
    <s v="01"/>
    <s v="04"/>
    <s v="False"/>
    <s v="True"/>
    <s v="U0028271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80"/>
    <m/>
    <x v="18"/>
    <s v="BONIS SPA"/>
    <s v="STOCK SCAFFALE MP"/>
    <x v="2"/>
    <m/>
    <m/>
    <n v="2"/>
    <s v="01"/>
    <s v="409"/>
    <s v="016"/>
    <s v="00"/>
    <s v="S"/>
    <s v="P"/>
    <s v="01"/>
    <s v="04"/>
    <s v="False"/>
    <s v="True"/>
    <s v="U0028272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19"/>
    <s v="BONIS SPA"/>
    <s v="STOCK SCAFFALE MP"/>
    <x v="2"/>
    <m/>
    <m/>
    <n v="2"/>
    <s v="01"/>
    <s v="409"/>
    <s v="016"/>
    <s v="00"/>
    <s v="S"/>
    <s v="P"/>
    <s v="01"/>
    <s v="04"/>
    <s v="False"/>
    <s v="True"/>
    <s v="U0028272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20"/>
    <s v="BONIS SPA"/>
    <s v="STOCK SCAFFALE MP"/>
    <x v="2"/>
    <m/>
    <m/>
    <n v="1"/>
    <s v="01"/>
    <s v="409"/>
    <s v="016"/>
    <s v="00"/>
    <s v="S"/>
    <s v="P"/>
    <s v="01"/>
    <s v="04"/>
    <s v="False"/>
    <s v="True"/>
    <s v="U0028272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9"/>
    <s v="BONIS SPA"/>
    <s v="STOCK SCAFFALE MP"/>
    <x v="2"/>
    <m/>
    <m/>
    <n v="3"/>
    <s v="01"/>
    <s v="409"/>
    <s v="016"/>
    <s v="00"/>
    <s v="S"/>
    <s v="P"/>
    <s v="01"/>
    <s v="04"/>
    <s v="False"/>
    <s v="True"/>
    <s v="U0028272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0"/>
    <m/>
    <x v="8"/>
    <s v="BONIS SPA"/>
    <s v="STOCK SCAFFALE MP"/>
    <x v="2"/>
    <m/>
    <m/>
    <n v="1"/>
    <s v="01"/>
    <s v="409"/>
    <s v="016"/>
    <s v="00"/>
    <s v="S"/>
    <s v="P"/>
    <s v="01"/>
    <s v="04"/>
    <s v="False"/>
    <s v="True"/>
    <s v="U0028272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66"/>
    <x v="81"/>
    <m/>
    <x v="15"/>
    <s v="BONIS SPA"/>
    <s v="STOCK SCAFFALE MP"/>
    <x v="2"/>
    <m/>
    <m/>
    <n v="2"/>
    <s v="01"/>
    <s v="409"/>
    <s v="016"/>
    <s v="00"/>
    <s v="S"/>
    <s v="P"/>
    <s v="01"/>
    <s v="04"/>
    <s v="False"/>
    <s v="True"/>
    <s v="U0028273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4"/>
    <s v="BONIS SPA"/>
    <s v="STOCK SCAFFALE MP"/>
    <x v="2"/>
    <m/>
    <m/>
    <n v="1"/>
    <s v="01"/>
    <s v="409"/>
    <s v="016"/>
    <s v="00"/>
    <s v="S"/>
    <s v="P"/>
    <s v="01"/>
    <s v="04"/>
    <s v="False"/>
    <s v="True"/>
    <s v="U0028273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7"/>
    <s v="BONIS SPA"/>
    <s v="STOCK SCAFFALE MP"/>
    <x v="2"/>
    <m/>
    <m/>
    <n v="2"/>
    <s v="01"/>
    <s v="409"/>
    <s v="016"/>
    <s v="00"/>
    <s v="S"/>
    <s v="P"/>
    <s v="01"/>
    <s v="04"/>
    <s v="False"/>
    <s v="True"/>
    <s v="U0028273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9"/>
    <s v="BONIS SPA"/>
    <s v="STOCK SCAFFALE MP"/>
    <x v="2"/>
    <m/>
    <m/>
    <n v="1"/>
    <s v="01"/>
    <s v="409"/>
    <s v="016"/>
    <s v="00"/>
    <s v="S"/>
    <s v="P"/>
    <s v="01"/>
    <s v="04"/>
    <s v="False"/>
    <s v="True"/>
    <s v="U0028273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8"/>
    <s v="BONIS SPA"/>
    <s v="STOCK SCAFFALE MP"/>
    <x v="2"/>
    <m/>
    <m/>
    <n v="1"/>
    <s v="01"/>
    <s v="409"/>
    <s v="016"/>
    <s v="00"/>
    <s v="S"/>
    <s v="P"/>
    <s v="01"/>
    <s v="04"/>
    <s v="False"/>
    <s v="True"/>
    <s v="U0028273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8"/>
    <s v="BONIS SPA"/>
    <s v="STOCK SCAFFALE MP"/>
    <x v="4"/>
    <m/>
    <m/>
    <n v="2"/>
    <s v="01"/>
    <s v="409"/>
    <s v="016"/>
    <s v="00"/>
    <s v="S"/>
    <s v="P"/>
    <s v="01"/>
    <s v="04"/>
    <s v="False"/>
    <s v="True"/>
    <s v="U0028273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4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273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0"/>
    <m/>
    <x v="18"/>
    <s v="BONIS SPA"/>
    <s v="STOCK SCAFFALE MP"/>
    <x v="0"/>
    <m/>
    <m/>
    <n v="1"/>
    <s v="01"/>
    <s v="409"/>
    <s v="016"/>
    <s v="00"/>
    <s v="S"/>
    <s v="P"/>
    <s v="01"/>
    <s v="04"/>
    <s v="False"/>
    <s v="True"/>
    <s v="U0028275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19"/>
    <s v="BONIS SPA"/>
    <s v="STOCK SCAFFALE MP"/>
    <x v="0"/>
    <m/>
    <m/>
    <n v="1"/>
    <s v="01"/>
    <s v="409"/>
    <s v="016"/>
    <s v="00"/>
    <s v="S"/>
    <s v="P"/>
    <s v="01"/>
    <s v="04"/>
    <s v="False"/>
    <s v="True"/>
    <s v="U0028275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20"/>
    <s v="BONIS SPA"/>
    <s v="STOCK SCAFFALE MP"/>
    <x v="0"/>
    <m/>
    <m/>
    <n v="3"/>
    <s v="01"/>
    <s v="409"/>
    <s v="016"/>
    <s v="00"/>
    <s v="S"/>
    <s v="P"/>
    <s v="01"/>
    <s v="04"/>
    <s v="False"/>
    <s v="True"/>
    <s v="U0028275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9"/>
    <s v="BONIS SPA"/>
    <s v="STOCK SCAFFALE MP"/>
    <x v="0"/>
    <m/>
    <m/>
    <n v="1"/>
    <s v="01"/>
    <s v="409"/>
    <s v="016"/>
    <s v="00"/>
    <s v="S"/>
    <s v="P"/>
    <s v="01"/>
    <s v="04"/>
    <s v="False"/>
    <s v="True"/>
    <s v="U0028275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8"/>
    <s v="BONIS SPA"/>
    <s v="STOCK SCAFFALE MP"/>
    <x v="0"/>
    <m/>
    <m/>
    <n v="2"/>
    <s v="01"/>
    <s v="409"/>
    <s v="016"/>
    <s v="00"/>
    <s v="S"/>
    <s v="P"/>
    <s v="01"/>
    <s v="04"/>
    <s v="False"/>
    <s v="True"/>
    <s v="U0028275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0"/>
    <m/>
    <x v="21"/>
    <s v="BONIS SPA"/>
    <s v="STOCK SCAFFALE MP"/>
    <x v="0"/>
    <m/>
    <m/>
    <n v="1"/>
    <s v="01"/>
    <s v="409"/>
    <s v="016"/>
    <s v="00"/>
    <s v="S"/>
    <s v="P"/>
    <s v="01"/>
    <s v="04"/>
    <s v="False"/>
    <s v="True"/>
    <s v="U0028275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66"/>
    <x v="81"/>
    <m/>
    <x v="18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382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8"/>
    <s v="BONIS SPA"/>
    <s v="STOCK SCAFFALE MP"/>
    <x v="4"/>
    <m/>
    <m/>
    <n v="1"/>
    <s v="01"/>
    <s v="409"/>
    <s v="016"/>
    <s v="00"/>
    <s v="S"/>
    <s v="P"/>
    <s v="01"/>
    <s v="04"/>
    <s v="False"/>
    <s v="True"/>
    <s v="U0028271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4"/>
    <s v="BONIS SPA"/>
    <s v="STOCK SCAFFALE MP"/>
    <x v="21"/>
    <m/>
    <m/>
    <n v="1"/>
    <s v="01"/>
    <s v="409"/>
    <s v="016"/>
    <s v="00"/>
    <s v="S"/>
    <s v="P"/>
    <s v="01"/>
    <s v="04"/>
    <s v="False"/>
    <s v="True"/>
    <s v="U0028277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5"/>
    <s v="BONIS SPA"/>
    <s v="STOCK SCAFFALE MP"/>
    <x v="21"/>
    <m/>
    <m/>
    <n v="1"/>
    <s v="01"/>
    <s v="409"/>
    <s v="016"/>
    <s v="00"/>
    <s v="S"/>
    <s v="P"/>
    <s v="01"/>
    <s v="04"/>
    <s v="False"/>
    <s v="True"/>
    <s v="U0028277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6"/>
    <s v="BONIS SPA"/>
    <s v="STOCK SCAFFALE MP"/>
    <x v="21"/>
    <m/>
    <m/>
    <n v="3"/>
    <s v="01"/>
    <s v="409"/>
    <s v="016"/>
    <s v="00"/>
    <s v="S"/>
    <s v="P"/>
    <s v="01"/>
    <s v="04"/>
    <s v="False"/>
    <s v="True"/>
    <s v="U0028277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7"/>
    <s v="BONIS SPA"/>
    <s v="STOCK SCAFFALE MP"/>
    <x v="21"/>
    <m/>
    <m/>
    <n v="3"/>
    <s v="01"/>
    <s v="409"/>
    <s v="016"/>
    <s v="00"/>
    <s v="S"/>
    <s v="P"/>
    <s v="01"/>
    <s v="04"/>
    <s v="False"/>
    <s v="True"/>
    <s v="U0028277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8"/>
    <s v="BONIS SPA"/>
    <s v="STOCK SCAFFALE MP"/>
    <x v="21"/>
    <m/>
    <m/>
    <n v="1"/>
    <s v="01"/>
    <s v="409"/>
    <s v="016"/>
    <s v="00"/>
    <s v="S"/>
    <s v="P"/>
    <s v="01"/>
    <s v="04"/>
    <s v="False"/>
    <s v="True"/>
    <s v="U0028277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72"/>
    <x v="1"/>
    <m/>
    <x v="16"/>
    <s v="BONIS SPA"/>
    <s v="STOCK SCAFFALE MP"/>
    <x v="13"/>
    <m/>
    <m/>
    <n v="3"/>
    <s v="01"/>
    <s v="409"/>
    <s v="018"/>
    <s v="00"/>
    <s v="S"/>
    <s v="P"/>
    <s v="01"/>
    <s v="04"/>
    <s v="False"/>
    <s v="True"/>
    <s v="U0028279"/>
    <n v="1"/>
    <m/>
    <n v="0"/>
    <n v="0"/>
    <m/>
    <s v="SMU"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66"/>
    <x v="81"/>
    <m/>
    <x v="16"/>
    <s v="BONIS SPA"/>
    <s v="STOCK SCAFFALE MP"/>
    <x v="8"/>
    <m/>
    <m/>
    <n v="2"/>
    <s v="01"/>
    <s v="409"/>
    <s v="016"/>
    <s v="00"/>
    <s v="S"/>
    <s v="P"/>
    <s v="01"/>
    <s v="04"/>
    <s v="False"/>
    <s v="True"/>
    <s v="U0028273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6"/>
    <s v="BONIS SPA"/>
    <s v="STOCK SCAFFALE MP"/>
    <x v="8"/>
    <m/>
    <m/>
    <n v="1"/>
    <s v="01"/>
    <s v="409"/>
    <s v="016"/>
    <s v="00"/>
    <s v="S"/>
    <s v="P"/>
    <s v="01"/>
    <s v="04"/>
    <s v="False"/>
    <s v="True"/>
    <s v="U0028277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66"/>
    <x v="81"/>
    <m/>
    <x v="18"/>
    <s v="BONIS SPA"/>
    <s v="STOCK SCAFFALE MP"/>
    <x v="8"/>
    <m/>
    <m/>
    <n v="2"/>
    <s v="01"/>
    <s v="409"/>
    <s v="016"/>
    <s v="00"/>
    <s v="S"/>
    <s v="P"/>
    <s v="01"/>
    <s v="04"/>
    <s v="False"/>
    <s v="True"/>
    <s v="U0028277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72"/>
    <x v="1"/>
    <m/>
    <x v="14"/>
    <s v="BONIS SPA"/>
    <s v="STOCK SCAFFALE MP"/>
    <x v="13"/>
    <m/>
    <m/>
    <n v="1"/>
    <s v="01"/>
    <s v="409"/>
    <s v="018"/>
    <s v="00"/>
    <s v="S"/>
    <s v="P"/>
    <s v="01"/>
    <s v="04"/>
    <s v="False"/>
    <s v="True"/>
    <s v="U0028279"/>
    <n v="1"/>
    <m/>
    <n v="0"/>
    <n v="0"/>
    <m/>
    <s v="SMU"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72"/>
    <x v="1"/>
    <m/>
    <x v="18"/>
    <s v="BONIS SPA"/>
    <s v="STOCK SCAFFALE MP"/>
    <x v="13"/>
    <m/>
    <m/>
    <n v="2"/>
    <s v="01"/>
    <s v="409"/>
    <s v="018"/>
    <s v="00"/>
    <s v="S"/>
    <s v="P"/>
    <s v="01"/>
    <s v="04"/>
    <s v="False"/>
    <s v="True"/>
    <s v="U0028279"/>
    <n v="1"/>
    <m/>
    <n v="0"/>
    <n v="0"/>
    <m/>
    <s v="SMU"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72"/>
    <x v="1"/>
    <m/>
    <x v="17"/>
    <s v="BONIS SPA"/>
    <s v="STOCK SCAFFALE MP"/>
    <x v="13"/>
    <m/>
    <m/>
    <n v="2"/>
    <s v="01"/>
    <s v="409"/>
    <s v="018"/>
    <s v="00"/>
    <s v="S"/>
    <s v="P"/>
    <s v="01"/>
    <s v="04"/>
    <s v="False"/>
    <s v="True"/>
    <s v="U0028279"/>
    <n v="1"/>
    <m/>
    <n v="0"/>
    <n v="0"/>
    <m/>
    <s v="SMU"/>
    <m/>
    <m/>
    <m/>
    <m/>
    <m/>
    <m/>
    <s v="F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66"/>
    <x v="35"/>
    <m/>
    <x v="8"/>
    <s v="BONIS SPA"/>
    <s v="STOCK SCAFFALE MP"/>
    <x v="10"/>
    <m/>
    <m/>
    <n v="2"/>
    <s v="01"/>
    <s v="409"/>
    <s v="016"/>
    <s v="00"/>
    <s v="S"/>
    <s v="P"/>
    <s v="01"/>
    <s v="04"/>
    <s v="False"/>
    <s v="True"/>
    <s v="U0028280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9"/>
    <s v="BONIS SPA"/>
    <s v="STOCK SCAFFALE MP"/>
    <x v="10"/>
    <m/>
    <m/>
    <n v="2"/>
    <s v="01"/>
    <s v="409"/>
    <s v="016"/>
    <s v="00"/>
    <s v="S"/>
    <s v="P"/>
    <s v="01"/>
    <s v="04"/>
    <s v="False"/>
    <s v="True"/>
    <s v="U0028280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19"/>
    <s v="BONIS SPA"/>
    <s v="STOCK SCAFFALE MP"/>
    <x v="10"/>
    <m/>
    <m/>
    <n v="2"/>
    <s v="01"/>
    <s v="409"/>
    <s v="016"/>
    <s v="00"/>
    <s v="S"/>
    <s v="P"/>
    <s v="01"/>
    <s v="04"/>
    <s v="False"/>
    <s v="True"/>
    <s v="U0028280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6"/>
    <x v="35"/>
    <m/>
    <x v="18"/>
    <s v="BONIS SPA"/>
    <s v="STOCK SCAFFALE MP"/>
    <x v="10"/>
    <m/>
    <m/>
    <n v="1"/>
    <s v="01"/>
    <s v="409"/>
    <s v="016"/>
    <s v="00"/>
    <s v="S"/>
    <s v="P"/>
    <s v="01"/>
    <s v="04"/>
    <s v="False"/>
    <s v="True"/>
    <s v="U0028280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63"/>
    <x v="40"/>
    <m/>
    <x v="16"/>
    <s v="BONIS SPA"/>
    <s v="STOCK SCAFFALE MP"/>
    <x v="1"/>
    <m/>
    <m/>
    <n v="3"/>
    <s v="01"/>
    <s v="409"/>
    <s v="015"/>
    <s v="00"/>
    <s v="S"/>
    <s v="P"/>
    <s v="01"/>
    <s v="04"/>
    <s v="False"/>
    <s v="True"/>
    <s v="U0028281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5"/>
    <s v="BONIS SPA"/>
    <s v="STOCK SCAFFALE MP"/>
    <x v="1"/>
    <m/>
    <m/>
    <n v="2"/>
    <s v="01"/>
    <s v="409"/>
    <s v="015"/>
    <s v="00"/>
    <s v="S"/>
    <s v="P"/>
    <s v="01"/>
    <s v="04"/>
    <s v="False"/>
    <s v="True"/>
    <s v="U0028281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8"/>
    <s v="BONIS SPA"/>
    <s v="STOCK SCAFFALE MP"/>
    <x v="1"/>
    <m/>
    <m/>
    <n v="2"/>
    <s v="01"/>
    <s v="409"/>
    <s v="015"/>
    <s v="00"/>
    <s v="S"/>
    <s v="P"/>
    <s v="01"/>
    <s v="04"/>
    <s v="False"/>
    <s v="True"/>
    <s v="U0028281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7"/>
    <s v="BONIS SPA"/>
    <s v="STOCK SCAFFALE MP"/>
    <x v="1"/>
    <m/>
    <m/>
    <n v="3"/>
    <s v="01"/>
    <s v="409"/>
    <s v="015"/>
    <s v="00"/>
    <s v="S"/>
    <s v="P"/>
    <s v="01"/>
    <s v="04"/>
    <s v="False"/>
    <s v="True"/>
    <s v="U0028281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8"/>
    <s v="BONIS SPA"/>
    <s v="STOCK SCAFFALE MP"/>
    <x v="1"/>
    <m/>
    <m/>
    <n v="2"/>
    <s v="01"/>
    <s v="409"/>
    <s v="018"/>
    <s v="00"/>
    <s v="S"/>
    <s v="P"/>
    <s v="01"/>
    <s v="04"/>
    <s v="False"/>
    <s v="True"/>
    <s v="U002828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7"/>
    <s v="BONIS SPA"/>
    <s v="STOCK SCAFFALE MP"/>
    <x v="1"/>
    <m/>
    <m/>
    <n v="3"/>
    <s v="01"/>
    <s v="409"/>
    <s v="018"/>
    <s v="00"/>
    <s v="S"/>
    <s v="P"/>
    <s v="01"/>
    <s v="04"/>
    <s v="False"/>
    <s v="True"/>
    <s v="U002828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4"/>
    <s v="BONIS SPA"/>
    <s v="STOCK SCAFFALE MP"/>
    <x v="1"/>
    <m/>
    <m/>
    <n v="1"/>
    <s v="01"/>
    <s v="409"/>
    <s v="018"/>
    <s v="00"/>
    <s v="S"/>
    <s v="P"/>
    <s v="01"/>
    <s v="04"/>
    <s v="False"/>
    <s v="True"/>
    <s v="U002828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5"/>
    <s v="BONIS SPA"/>
    <s v="STOCK SCAFFALE MP"/>
    <x v="1"/>
    <m/>
    <m/>
    <n v="2"/>
    <s v="01"/>
    <s v="409"/>
    <s v="018"/>
    <s v="00"/>
    <s v="S"/>
    <s v="P"/>
    <s v="01"/>
    <s v="04"/>
    <s v="False"/>
    <s v="True"/>
    <s v="U002828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6"/>
    <s v="BONIS SPA"/>
    <s v="STOCK SCAFFALE MP"/>
    <x v="1"/>
    <m/>
    <m/>
    <n v="3"/>
    <s v="01"/>
    <s v="409"/>
    <s v="018"/>
    <s v="00"/>
    <s v="S"/>
    <s v="P"/>
    <s v="01"/>
    <s v="04"/>
    <s v="False"/>
    <s v="True"/>
    <s v="U002828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6"/>
    <s v="BONIS SPA"/>
    <s v="STOCK SCAFFALE MP"/>
    <x v="1"/>
    <m/>
    <m/>
    <n v="3"/>
    <s v="01"/>
    <s v="409"/>
    <s v="018"/>
    <s v="00"/>
    <s v="S"/>
    <s v="P"/>
    <s v="01"/>
    <s v="04"/>
    <s v="False"/>
    <s v="True"/>
    <s v="U0028283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5"/>
    <s v="BONIS SPA"/>
    <s v="STOCK SCAFFALE MP"/>
    <x v="1"/>
    <m/>
    <m/>
    <n v="2"/>
    <s v="01"/>
    <s v="409"/>
    <s v="018"/>
    <s v="00"/>
    <s v="S"/>
    <s v="P"/>
    <s v="01"/>
    <s v="04"/>
    <s v="False"/>
    <s v="True"/>
    <s v="U0028283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4"/>
    <s v="BONIS SPA"/>
    <s v="STOCK SCAFFALE MP"/>
    <x v="1"/>
    <m/>
    <m/>
    <n v="1"/>
    <s v="01"/>
    <s v="409"/>
    <s v="018"/>
    <s v="00"/>
    <s v="S"/>
    <s v="P"/>
    <s v="01"/>
    <s v="04"/>
    <s v="False"/>
    <s v="True"/>
    <s v="U0028283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8"/>
    <s v="BONIS SPA"/>
    <s v="STOCK SCAFFALE MP"/>
    <x v="1"/>
    <m/>
    <m/>
    <n v="2"/>
    <s v="01"/>
    <s v="409"/>
    <s v="018"/>
    <s v="00"/>
    <s v="S"/>
    <s v="P"/>
    <s v="01"/>
    <s v="04"/>
    <s v="False"/>
    <s v="True"/>
    <s v="U0028283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7"/>
    <s v="BONIS SPA"/>
    <s v="STOCK SCAFFALE MP"/>
    <x v="1"/>
    <m/>
    <m/>
    <n v="3"/>
    <s v="01"/>
    <s v="409"/>
    <s v="018"/>
    <s v="00"/>
    <s v="S"/>
    <s v="P"/>
    <s v="01"/>
    <s v="04"/>
    <s v="False"/>
    <s v="True"/>
    <s v="U0028283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38"/>
    <m/>
    <x v="19"/>
    <s v="BONIS SPA"/>
    <s v="STOCK SCAFFALE MP"/>
    <x v="1"/>
    <m/>
    <m/>
    <n v="1"/>
    <s v="01"/>
    <s v="409"/>
    <s v="018"/>
    <s v="00"/>
    <s v="S"/>
    <s v="P"/>
    <s v="01"/>
    <s v="04"/>
    <s v="False"/>
    <s v="True"/>
    <s v="U0028284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8"/>
    <s v="BONIS SPA"/>
    <s v="STOCK SCAFFALE MP"/>
    <x v="1"/>
    <m/>
    <m/>
    <n v="2"/>
    <s v="01"/>
    <s v="409"/>
    <s v="018"/>
    <s v="00"/>
    <s v="S"/>
    <s v="P"/>
    <s v="01"/>
    <s v="04"/>
    <s v="False"/>
    <s v="True"/>
    <s v="U0028284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7"/>
    <s v="BONIS SPA"/>
    <s v="STOCK SCAFFALE MP"/>
    <x v="1"/>
    <m/>
    <m/>
    <n v="2"/>
    <s v="01"/>
    <s v="409"/>
    <s v="018"/>
    <s v="00"/>
    <s v="S"/>
    <s v="P"/>
    <s v="01"/>
    <s v="04"/>
    <s v="False"/>
    <s v="True"/>
    <s v="U0028284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4"/>
    <s v="BONIS SPA"/>
    <s v="STOCK SCAFFALE MP"/>
    <x v="1"/>
    <m/>
    <m/>
    <n v="1"/>
    <s v="01"/>
    <s v="409"/>
    <s v="018"/>
    <s v="00"/>
    <s v="S"/>
    <s v="P"/>
    <s v="01"/>
    <s v="04"/>
    <s v="False"/>
    <s v="True"/>
    <s v="U0028284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5"/>
    <s v="BONIS SPA"/>
    <s v="STOCK SCAFFALE MP"/>
    <x v="1"/>
    <m/>
    <m/>
    <n v="1"/>
    <s v="01"/>
    <s v="409"/>
    <s v="018"/>
    <s v="00"/>
    <s v="S"/>
    <s v="P"/>
    <s v="01"/>
    <s v="04"/>
    <s v="False"/>
    <s v="True"/>
    <s v="U0028284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6"/>
    <s v="BONIS SPA"/>
    <s v="STOCK SCAFFALE MP"/>
    <x v="1"/>
    <m/>
    <m/>
    <n v="1"/>
    <s v="01"/>
    <s v="409"/>
    <s v="018"/>
    <s v="00"/>
    <s v="S"/>
    <s v="P"/>
    <s v="01"/>
    <s v="04"/>
    <s v="False"/>
    <s v="True"/>
    <s v="U0028284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6"/>
    <s v="BONIS SPA"/>
    <s v="STOCK SCAFFALE MP"/>
    <x v="1"/>
    <m/>
    <m/>
    <n v="2"/>
    <s v="01"/>
    <s v="409"/>
    <s v="018"/>
    <s v="00"/>
    <s v="S"/>
    <s v="P"/>
    <s v="01"/>
    <s v="04"/>
    <s v="False"/>
    <s v="True"/>
    <s v="U0028285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8"/>
    <s v="BONIS SPA"/>
    <s v="STOCK SCAFFALE MP"/>
    <x v="10"/>
    <m/>
    <m/>
    <n v="1"/>
    <s v="01"/>
    <s v="409"/>
    <s v="018"/>
    <s v="00"/>
    <s v="S"/>
    <s v="P"/>
    <s v="01"/>
    <s v="04"/>
    <s v="False"/>
    <s v="True"/>
    <s v="U0028285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7"/>
    <s v="BONIS SPA"/>
    <s v="STOCK SCAFFALE MP"/>
    <x v="10"/>
    <m/>
    <m/>
    <n v="1"/>
    <s v="01"/>
    <s v="409"/>
    <s v="018"/>
    <s v="00"/>
    <s v="S"/>
    <s v="P"/>
    <s v="01"/>
    <s v="04"/>
    <s v="False"/>
    <s v="True"/>
    <s v="U0028285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6"/>
    <s v="BONIS SPA"/>
    <s v="STOCK SCAFFALE MP"/>
    <x v="10"/>
    <m/>
    <m/>
    <n v="2"/>
    <s v="01"/>
    <s v="409"/>
    <s v="018"/>
    <s v="00"/>
    <s v="S"/>
    <s v="P"/>
    <s v="01"/>
    <s v="04"/>
    <s v="False"/>
    <s v="True"/>
    <s v="U0028285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63"/>
    <x v="40"/>
    <m/>
    <x v="16"/>
    <s v="BONIS SPA"/>
    <s v="STOCK SCAFFALE MP"/>
    <x v="10"/>
    <m/>
    <m/>
    <n v="1"/>
    <s v="01"/>
    <s v="409"/>
    <s v="015"/>
    <s v="00"/>
    <s v="S"/>
    <s v="P"/>
    <s v="01"/>
    <s v="04"/>
    <s v="False"/>
    <s v="True"/>
    <s v="U0028297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38"/>
    <m/>
    <x v="15"/>
    <s v="BONIS SPA"/>
    <s v="STOCK SCAFFALE MP"/>
    <x v="10"/>
    <m/>
    <m/>
    <n v="1"/>
    <s v="01"/>
    <s v="409"/>
    <s v="018"/>
    <s v="00"/>
    <s v="S"/>
    <s v="P"/>
    <s v="01"/>
    <s v="04"/>
    <s v="False"/>
    <s v="True"/>
    <s v="U0028285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4"/>
    <s v="BONIS SPA"/>
    <s v="STOCK SCAFFALE MP"/>
    <x v="10"/>
    <m/>
    <m/>
    <n v="1"/>
    <s v="01"/>
    <s v="409"/>
    <s v="018"/>
    <s v="00"/>
    <s v="S"/>
    <s v="P"/>
    <s v="01"/>
    <s v="04"/>
    <s v="False"/>
    <s v="True"/>
    <s v="U0028285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63"/>
    <x v="40"/>
    <m/>
    <x v="15"/>
    <s v="BONIS SPA"/>
    <s v="STOCK SCAFFALE MP"/>
    <x v="10"/>
    <m/>
    <m/>
    <n v="1"/>
    <s v="01"/>
    <s v="409"/>
    <s v="015"/>
    <s v="00"/>
    <s v="S"/>
    <s v="P"/>
    <s v="01"/>
    <s v="04"/>
    <s v="False"/>
    <s v="True"/>
    <s v="U0028297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7"/>
    <s v="BONIS SPA"/>
    <s v="STOCK SCAFFALE MP"/>
    <x v="10"/>
    <m/>
    <m/>
    <n v="3"/>
    <s v="01"/>
    <s v="409"/>
    <s v="015"/>
    <s v="00"/>
    <s v="S"/>
    <s v="P"/>
    <s v="01"/>
    <s v="04"/>
    <s v="False"/>
    <s v="True"/>
    <s v="U0028268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8"/>
    <s v="BONIS SPA"/>
    <s v="STOCK SCAFFALE MP"/>
    <x v="10"/>
    <m/>
    <m/>
    <n v="1"/>
    <s v="01"/>
    <s v="409"/>
    <s v="015"/>
    <s v="00"/>
    <s v="S"/>
    <s v="P"/>
    <s v="01"/>
    <s v="04"/>
    <s v="False"/>
    <s v="True"/>
    <s v="U0028268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7"/>
    <s v="BONIS SPA"/>
    <s v="STOCK SCAFFALE MP"/>
    <x v="2"/>
    <m/>
    <m/>
    <n v="1"/>
    <s v="01"/>
    <s v="409"/>
    <s v="015"/>
    <s v="00"/>
    <s v="S"/>
    <s v="P"/>
    <s v="01"/>
    <s v="04"/>
    <s v="False"/>
    <s v="True"/>
    <s v="U0028292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7"/>
    <s v="BONIS SPA"/>
    <s v="STOCK SCAFFALE MP"/>
    <x v="2"/>
    <m/>
    <m/>
    <n v="1"/>
    <s v="01"/>
    <s v="409"/>
    <s v="015"/>
    <s v="00"/>
    <s v="S"/>
    <s v="P"/>
    <s v="01"/>
    <s v="04"/>
    <s v="False"/>
    <s v="True"/>
    <s v="U0028290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7"/>
    <s v="BONIS SPA"/>
    <s v="STOCK SCAFFALE MP"/>
    <x v="2"/>
    <m/>
    <m/>
    <n v="1"/>
    <s v="01"/>
    <s v="409"/>
    <s v="015"/>
    <s v="00"/>
    <s v="S"/>
    <s v="P"/>
    <s v="01"/>
    <s v="04"/>
    <s v="False"/>
    <s v="True"/>
    <s v="U0028294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8"/>
    <s v="BONIS SPA"/>
    <s v="STOCK SCAFFALE MP"/>
    <x v="2"/>
    <m/>
    <m/>
    <n v="1"/>
    <s v="01"/>
    <s v="409"/>
    <s v="015"/>
    <s v="00"/>
    <s v="S"/>
    <s v="P"/>
    <s v="01"/>
    <s v="04"/>
    <s v="False"/>
    <s v="True"/>
    <s v="U0028297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6"/>
    <s v="BONIS SPA"/>
    <s v="STOCK SCAFFALE MP"/>
    <x v="2"/>
    <m/>
    <m/>
    <n v="2"/>
    <s v="01"/>
    <s v="409"/>
    <s v="015"/>
    <s v="00"/>
    <s v="S"/>
    <s v="P"/>
    <s v="01"/>
    <s v="04"/>
    <s v="False"/>
    <s v="True"/>
    <s v="U0028281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6"/>
    <s v="BONIS SPA"/>
    <s v="STOCK SCAFFALE MP"/>
    <x v="2"/>
    <m/>
    <m/>
    <n v="1"/>
    <s v="01"/>
    <s v="409"/>
    <s v="015"/>
    <s v="00"/>
    <s v="S"/>
    <s v="P"/>
    <s v="01"/>
    <s v="04"/>
    <s v="False"/>
    <s v="True"/>
    <s v="U0028294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38"/>
    <m/>
    <x v="16"/>
    <s v="BONIS SPA"/>
    <s v="STOCK SCAFFALE MP"/>
    <x v="2"/>
    <m/>
    <m/>
    <n v="2"/>
    <s v="01"/>
    <s v="409"/>
    <s v="018"/>
    <s v="00"/>
    <s v="S"/>
    <s v="P"/>
    <s v="01"/>
    <s v="04"/>
    <s v="False"/>
    <s v="True"/>
    <s v="U002828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5"/>
    <s v="BONIS SPA"/>
    <s v="STOCK SCAFFALE MP"/>
    <x v="2"/>
    <m/>
    <m/>
    <n v="2"/>
    <s v="01"/>
    <s v="409"/>
    <s v="018"/>
    <s v="00"/>
    <s v="S"/>
    <s v="P"/>
    <s v="01"/>
    <s v="04"/>
    <s v="False"/>
    <s v="True"/>
    <s v="U002828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4"/>
    <s v="BONIS SPA"/>
    <s v="STOCK SCAFFALE MP"/>
    <x v="2"/>
    <m/>
    <m/>
    <n v="1"/>
    <s v="01"/>
    <s v="409"/>
    <s v="018"/>
    <s v="00"/>
    <s v="S"/>
    <s v="P"/>
    <s v="01"/>
    <s v="04"/>
    <s v="False"/>
    <s v="True"/>
    <s v="U002828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7"/>
    <s v="BONIS SPA"/>
    <s v="STOCK SCAFFALE MP"/>
    <x v="2"/>
    <m/>
    <m/>
    <n v="3"/>
    <s v="01"/>
    <s v="409"/>
    <s v="018"/>
    <s v="00"/>
    <s v="S"/>
    <s v="P"/>
    <s v="01"/>
    <s v="04"/>
    <s v="False"/>
    <s v="True"/>
    <s v="U002828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8"/>
    <s v="BONIS SPA"/>
    <s v="STOCK SCAFFALE MP"/>
    <x v="2"/>
    <m/>
    <m/>
    <n v="2"/>
    <s v="01"/>
    <s v="409"/>
    <s v="018"/>
    <s v="00"/>
    <s v="S"/>
    <s v="P"/>
    <s v="01"/>
    <s v="04"/>
    <s v="False"/>
    <s v="True"/>
    <s v="U002828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38"/>
    <m/>
    <x v="19"/>
    <s v="BONIS SPA"/>
    <s v="STOCK SCAFFALE MP"/>
    <x v="2"/>
    <m/>
    <m/>
    <n v="1"/>
    <s v="01"/>
    <s v="409"/>
    <s v="018"/>
    <s v="00"/>
    <s v="S"/>
    <s v="P"/>
    <s v="01"/>
    <s v="04"/>
    <s v="False"/>
    <s v="True"/>
    <s v="U002828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72"/>
    <x v="40"/>
    <m/>
    <x v="16"/>
    <s v="BONIS SPA"/>
    <s v="STOCK SCAFFALE MP"/>
    <x v="13"/>
    <m/>
    <m/>
    <n v="3"/>
    <s v="01"/>
    <s v="409"/>
    <s v="018"/>
    <s v="00"/>
    <s v="S"/>
    <s v="P"/>
    <s v="01"/>
    <s v="04"/>
    <s v="False"/>
    <s v="True"/>
    <s v="U0028289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5"/>
    <s v="BONIS SPA"/>
    <s v="STOCK SCAFFALE MP"/>
    <x v="13"/>
    <m/>
    <m/>
    <n v="1"/>
    <s v="01"/>
    <s v="409"/>
    <s v="018"/>
    <s v="00"/>
    <s v="S"/>
    <s v="P"/>
    <s v="01"/>
    <s v="04"/>
    <s v="False"/>
    <s v="True"/>
    <s v="U0028289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4"/>
    <s v="BONIS SPA"/>
    <s v="STOCK SCAFFALE MP"/>
    <x v="13"/>
    <m/>
    <m/>
    <n v="1"/>
    <s v="01"/>
    <s v="409"/>
    <s v="018"/>
    <s v="00"/>
    <s v="S"/>
    <s v="P"/>
    <s v="01"/>
    <s v="04"/>
    <s v="False"/>
    <s v="True"/>
    <s v="U0028289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8"/>
    <s v="BONIS SPA"/>
    <s v="STOCK SCAFFALE MP"/>
    <x v="13"/>
    <m/>
    <m/>
    <n v="2"/>
    <s v="01"/>
    <s v="409"/>
    <s v="018"/>
    <s v="00"/>
    <s v="S"/>
    <s v="P"/>
    <s v="01"/>
    <s v="04"/>
    <s v="False"/>
    <s v="True"/>
    <s v="U0028289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72"/>
    <x v="40"/>
    <m/>
    <x v="17"/>
    <s v="BONIS SPA"/>
    <s v="STOCK SCAFFALE MP"/>
    <x v="13"/>
    <m/>
    <m/>
    <n v="2"/>
    <s v="01"/>
    <s v="409"/>
    <s v="018"/>
    <s v="00"/>
    <s v="S"/>
    <s v="P"/>
    <s v="01"/>
    <s v="04"/>
    <s v="False"/>
    <s v="True"/>
    <s v="U0028289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6"/>
    <s v="BONIS SPA"/>
    <s v="STOCK SCAFFALE MP"/>
    <x v="10"/>
    <m/>
    <m/>
    <n v="3"/>
    <s v="01"/>
    <s v="409"/>
    <s v="015"/>
    <s v="00"/>
    <s v="S"/>
    <s v="P"/>
    <s v="01"/>
    <s v="04"/>
    <s v="False"/>
    <s v="True"/>
    <s v="U002829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5"/>
    <s v="BONIS SPA"/>
    <s v="STOCK SCAFFALE MP"/>
    <x v="10"/>
    <m/>
    <m/>
    <n v="2"/>
    <s v="01"/>
    <s v="409"/>
    <s v="015"/>
    <s v="00"/>
    <s v="S"/>
    <s v="P"/>
    <s v="01"/>
    <s v="04"/>
    <s v="False"/>
    <s v="True"/>
    <s v="U002829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4"/>
    <s v="BONIS SPA"/>
    <s v="STOCK SCAFFALE MP"/>
    <x v="10"/>
    <m/>
    <m/>
    <n v="1"/>
    <s v="01"/>
    <s v="409"/>
    <s v="015"/>
    <s v="00"/>
    <s v="S"/>
    <s v="P"/>
    <s v="01"/>
    <s v="04"/>
    <s v="False"/>
    <s v="True"/>
    <s v="U002829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8"/>
    <s v="BONIS SPA"/>
    <s v="STOCK SCAFFALE MP"/>
    <x v="10"/>
    <m/>
    <m/>
    <n v="2"/>
    <s v="01"/>
    <s v="409"/>
    <s v="015"/>
    <s v="00"/>
    <s v="S"/>
    <s v="P"/>
    <s v="01"/>
    <s v="04"/>
    <s v="False"/>
    <s v="True"/>
    <s v="U002829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7"/>
    <s v="BONIS SPA"/>
    <s v="STOCK SCAFFALE MP"/>
    <x v="10"/>
    <m/>
    <m/>
    <n v="3"/>
    <s v="01"/>
    <s v="409"/>
    <s v="015"/>
    <s v="00"/>
    <s v="S"/>
    <s v="P"/>
    <s v="01"/>
    <s v="04"/>
    <s v="False"/>
    <s v="True"/>
    <s v="U002829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82"/>
    <m/>
    <x v="18"/>
    <s v="BONIS SPA"/>
    <s v="STOCK SCAFFALE MP"/>
    <x v="2"/>
    <m/>
    <m/>
    <n v="1"/>
    <s v="01"/>
    <s v="409"/>
    <s v="015"/>
    <s v="00"/>
    <s v="S"/>
    <s v="P"/>
    <s v="01"/>
    <s v="04"/>
    <s v="False"/>
    <s v="True"/>
    <s v="U0028299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9"/>
    <s v="BONIS SPA"/>
    <s v="STOCK SCAFFALE MP"/>
    <x v="2"/>
    <m/>
    <m/>
    <n v="2"/>
    <s v="01"/>
    <s v="409"/>
    <s v="015"/>
    <s v="00"/>
    <s v="S"/>
    <s v="P"/>
    <s v="01"/>
    <s v="04"/>
    <s v="False"/>
    <s v="True"/>
    <s v="U0028299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40"/>
    <m/>
    <x v="16"/>
    <s v="BONIS SPA"/>
    <s v="STOCK SCAFFALE MP"/>
    <x v="10"/>
    <m/>
    <m/>
    <n v="3"/>
    <s v="01"/>
    <s v="409"/>
    <s v="015"/>
    <s v="00"/>
    <s v="S"/>
    <s v="P"/>
    <s v="01"/>
    <s v="04"/>
    <s v="False"/>
    <s v="True"/>
    <s v="U002829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5"/>
    <s v="BONIS SPA"/>
    <s v="STOCK SCAFFALE MP"/>
    <x v="10"/>
    <m/>
    <m/>
    <n v="2"/>
    <s v="01"/>
    <s v="409"/>
    <s v="015"/>
    <s v="00"/>
    <s v="S"/>
    <s v="P"/>
    <s v="01"/>
    <s v="04"/>
    <s v="False"/>
    <s v="True"/>
    <s v="U002829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4"/>
    <s v="BONIS SPA"/>
    <s v="STOCK SCAFFALE MP"/>
    <x v="10"/>
    <m/>
    <m/>
    <n v="1"/>
    <s v="01"/>
    <s v="409"/>
    <s v="015"/>
    <s v="00"/>
    <s v="S"/>
    <s v="P"/>
    <s v="01"/>
    <s v="04"/>
    <s v="False"/>
    <s v="True"/>
    <s v="U002829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8"/>
    <s v="BONIS SPA"/>
    <s v="STOCK SCAFFALE MP"/>
    <x v="10"/>
    <m/>
    <m/>
    <n v="2"/>
    <s v="01"/>
    <s v="409"/>
    <s v="015"/>
    <s v="00"/>
    <s v="S"/>
    <s v="P"/>
    <s v="01"/>
    <s v="04"/>
    <s v="False"/>
    <s v="True"/>
    <s v="U002829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40"/>
    <m/>
    <x v="17"/>
    <s v="BONIS SPA"/>
    <s v="STOCK SCAFFALE MP"/>
    <x v="10"/>
    <m/>
    <m/>
    <n v="3"/>
    <s v="01"/>
    <s v="409"/>
    <s v="015"/>
    <s v="00"/>
    <s v="S"/>
    <s v="P"/>
    <s v="01"/>
    <s v="04"/>
    <s v="False"/>
    <s v="True"/>
    <s v="U002829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63"/>
    <x v="82"/>
    <m/>
    <x v="8"/>
    <s v="BONIS SPA"/>
    <s v="STOCK SCAFFALE MP"/>
    <x v="6"/>
    <m/>
    <m/>
    <n v="2"/>
    <s v="01"/>
    <s v="409"/>
    <s v="015"/>
    <s v="00"/>
    <s v="S"/>
    <s v="P"/>
    <s v="01"/>
    <s v="04"/>
    <s v="False"/>
    <s v="True"/>
    <s v="U0028293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9"/>
    <s v="BONIS SPA"/>
    <s v="STOCK SCAFFALE MP"/>
    <x v="6"/>
    <m/>
    <m/>
    <n v="1"/>
    <s v="01"/>
    <s v="409"/>
    <s v="015"/>
    <s v="00"/>
    <s v="S"/>
    <s v="P"/>
    <s v="01"/>
    <s v="04"/>
    <s v="False"/>
    <s v="True"/>
    <s v="U0028293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18"/>
    <s v="BONIS SPA"/>
    <s v="STOCK SCAFFALE MP"/>
    <x v="6"/>
    <m/>
    <m/>
    <n v="1"/>
    <s v="01"/>
    <s v="409"/>
    <s v="015"/>
    <s v="00"/>
    <s v="S"/>
    <s v="P"/>
    <s v="01"/>
    <s v="04"/>
    <s v="False"/>
    <s v="True"/>
    <s v="U0028293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19"/>
    <s v="BONIS SPA"/>
    <s v="STOCK SCAFFALE MP"/>
    <x v="6"/>
    <m/>
    <m/>
    <n v="1"/>
    <s v="01"/>
    <s v="409"/>
    <s v="015"/>
    <s v="00"/>
    <s v="S"/>
    <s v="P"/>
    <s v="01"/>
    <s v="04"/>
    <s v="False"/>
    <s v="True"/>
    <s v="U0028293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20"/>
    <s v="BONIS SPA"/>
    <s v="STOCK SCAFFALE MP"/>
    <x v="6"/>
    <m/>
    <m/>
    <n v="3"/>
    <s v="01"/>
    <s v="409"/>
    <s v="015"/>
    <s v="00"/>
    <s v="S"/>
    <s v="P"/>
    <s v="01"/>
    <s v="04"/>
    <s v="False"/>
    <s v="True"/>
    <s v="U0028293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8"/>
    <s v="BONIS SPA"/>
    <s v="STOCK SCAFFALE MP"/>
    <x v="6"/>
    <m/>
    <m/>
    <n v="2"/>
    <s v="01"/>
    <s v="409"/>
    <s v="015"/>
    <s v="00"/>
    <s v="S"/>
    <s v="P"/>
    <s v="01"/>
    <s v="04"/>
    <s v="False"/>
    <s v="True"/>
    <s v="U0028294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9"/>
    <s v="BONIS SPA"/>
    <s v="STOCK SCAFFALE MP"/>
    <x v="6"/>
    <m/>
    <m/>
    <n v="1"/>
    <s v="01"/>
    <s v="409"/>
    <s v="015"/>
    <s v="00"/>
    <s v="S"/>
    <s v="P"/>
    <s v="01"/>
    <s v="04"/>
    <s v="False"/>
    <s v="True"/>
    <s v="U0028294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20"/>
    <s v="BONIS SPA"/>
    <s v="STOCK SCAFFALE MP"/>
    <x v="6"/>
    <m/>
    <m/>
    <n v="1"/>
    <s v="01"/>
    <s v="409"/>
    <s v="015"/>
    <s v="00"/>
    <s v="S"/>
    <s v="P"/>
    <s v="01"/>
    <s v="04"/>
    <s v="False"/>
    <s v="True"/>
    <s v="U0028294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19"/>
    <s v="BONIS SPA"/>
    <s v="STOCK SCAFFALE MP"/>
    <x v="6"/>
    <m/>
    <m/>
    <n v="2"/>
    <s v="01"/>
    <s v="409"/>
    <s v="015"/>
    <s v="00"/>
    <s v="S"/>
    <s v="P"/>
    <s v="01"/>
    <s v="04"/>
    <s v="False"/>
    <s v="True"/>
    <s v="U0028294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20"/>
    <s v="BONIS SPA"/>
    <s v="STOCK SCAFFALE MP"/>
    <x v="2"/>
    <m/>
    <m/>
    <n v="1"/>
    <s v="01"/>
    <s v="409"/>
    <s v="015"/>
    <s v="00"/>
    <s v="S"/>
    <s v="P"/>
    <s v="01"/>
    <s v="04"/>
    <s v="False"/>
    <s v="True"/>
    <s v="U002829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19"/>
    <s v="BONIS SPA"/>
    <s v="STOCK SCAFFALE MP"/>
    <x v="2"/>
    <m/>
    <m/>
    <n v="2"/>
    <s v="01"/>
    <s v="409"/>
    <s v="015"/>
    <s v="00"/>
    <s v="S"/>
    <s v="P"/>
    <s v="01"/>
    <s v="04"/>
    <s v="False"/>
    <s v="True"/>
    <s v="U002829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9"/>
    <s v="BONIS SPA"/>
    <s v="STOCK SCAFFALE MP"/>
    <x v="2"/>
    <m/>
    <m/>
    <n v="1"/>
    <s v="01"/>
    <s v="409"/>
    <s v="015"/>
    <s v="00"/>
    <s v="S"/>
    <s v="P"/>
    <s v="01"/>
    <s v="04"/>
    <s v="False"/>
    <s v="True"/>
    <s v="U0028294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20"/>
    <s v="BONIS SPA"/>
    <s v="STOCK SCAFFALE MP"/>
    <x v="4"/>
    <m/>
    <m/>
    <n v="1"/>
    <s v="01"/>
    <s v="409"/>
    <s v="015"/>
    <s v="00"/>
    <s v="S"/>
    <s v="P"/>
    <s v="01"/>
    <s v="04"/>
    <s v="False"/>
    <s v="True"/>
    <s v="U0028299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19"/>
    <s v="BONIS SPA"/>
    <s v="STOCK SCAFFALE MP"/>
    <x v="4"/>
    <m/>
    <m/>
    <n v="2"/>
    <s v="01"/>
    <s v="409"/>
    <s v="015"/>
    <s v="00"/>
    <s v="S"/>
    <s v="P"/>
    <s v="01"/>
    <s v="04"/>
    <s v="False"/>
    <s v="True"/>
    <s v="U0028299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21"/>
    <s v="BONIS SPA"/>
    <s v="STOCK SCAFFALE MP"/>
    <x v="4"/>
    <m/>
    <m/>
    <n v="1"/>
    <s v="01"/>
    <s v="409"/>
    <s v="015"/>
    <s v="00"/>
    <s v="S"/>
    <s v="P"/>
    <s v="01"/>
    <s v="04"/>
    <s v="False"/>
    <s v="True"/>
    <s v="U0028297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8"/>
    <s v="BONIS SPA"/>
    <s v="STOCK SCAFFALE MP"/>
    <x v="4"/>
    <m/>
    <m/>
    <n v="1"/>
    <s v="01"/>
    <s v="409"/>
    <s v="015"/>
    <s v="00"/>
    <s v="S"/>
    <s v="P"/>
    <s v="01"/>
    <s v="04"/>
    <s v="False"/>
    <s v="True"/>
    <s v="U0028299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9"/>
    <s v="BONIS SPA"/>
    <s v="STOCK SCAFFALE MP"/>
    <x v="4"/>
    <m/>
    <m/>
    <n v="2"/>
    <s v="01"/>
    <s v="409"/>
    <s v="015"/>
    <s v="00"/>
    <s v="S"/>
    <s v="P"/>
    <s v="01"/>
    <s v="04"/>
    <s v="False"/>
    <s v="True"/>
    <s v="U0028299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9"/>
    <s v="BONIS SPA"/>
    <s v="STOCK SCAFFALE MP"/>
    <x v="2"/>
    <m/>
    <m/>
    <n v="2"/>
    <s v="01"/>
    <s v="409"/>
    <s v="015"/>
    <s v="00"/>
    <s v="S"/>
    <s v="P"/>
    <s v="01"/>
    <s v="04"/>
    <s v="False"/>
    <s v="True"/>
    <s v="U0028297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9"/>
    <s v="BONIS SPA"/>
    <s v="STOCK SCAFFALE MP"/>
    <x v="10"/>
    <m/>
    <m/>
    <n v="1"/>
    <s v="01"/>
    <s v="409"/>
    <s v="015"/>
    <s v="00"/>
    <s v="S"/>
    <s v="P"/>
    <s v="01"/>
    <s v="04"/>
    <s v="False"/>
    <s v="True"/>
    <s v="U0028297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19"/>
    <s v="BONIS SPA"/>
    <s v="STOCK SCAFFALE MP"/>
    <x v="10"/>
    <m/>
    <m/>
    <n v="2"/>
    <s v="01"/>
    <s v="409"/>
    <s v="015"/>
    <s v="00"/>
    <s v="S"/>
    <s v="P"/>
    <s v="01"/>
    <s v="04"/>
    <s v="False"/>
    <s v="True"/>
    <s v="U0028297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20"/>
    <s v="BONIS SPA"/>
    <s v="STOCK SCAFFALE MP"/>
    <x v="10"/>
    <m/>
    <m/>
    <n v="3"/>
    <s v="01"/>
    <s v="409"/>
    <s v="015"/>
    <s v="00"/>
    <s v="S"/>
    <s v="P"/>
    <s v="01"/>
    <s v="04"/>
    <s v="False"/>
    <s v="True"/>
    <s v="U0028297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20"/>
    <s v="BONIS SPA"/>
    <s v="STOCK SCAFFALE MP"/>
    <x v="10"/>
    <m/>
    <m/>
    <n v="2"/>
    <s v="01"/>
    <s v="409"/>
    <s v="015"/>
    <s v="00"/>
    <s v="S"/>
    <s v="P"/>
    <s v="01"/>
    <s v="04"/>
    <s v="False"/>
    <s v="True"/>
    <s v="U0028299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63"/>
    <x v="82"/>
    <m/>
    <x v="19"/>
    <s v="BONIS SPA"/>
    <s v="STOCK SCAFFALE MP"/>
    <x v="10"/>
    <m/>
    <m/>
    <n v="1"/>
    <s v="01"/>
    <s v="409"/>
    <s v="015"/>
    <s v="00"/>
    <s v="S"/>
    <s v="P"/>
    <s v="01"/>
    <s v="04"/>
    <s v="False"/>
    <s v="True"/>
    <s v="U0028299"/>
    <n v="1"/>
    <m/>
    <n v="0"/>
    <n v="0"/>
    <m/>
    <s v="SMU"/>
    <m/>
    <m/>
    <m/>
    <m/>
    <m/>
    <m/>
    <s v="F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48"/>
    <x v="40"/>
    <m/>
    <x v="18"/>
    <s v="BONIS SPA"/>
    <s v="STOCK SCAFFALE MP"/>
    <x v="1"/>
    <m/>
    <m/>
    <n v="5"/>
    <s v="01"/>
    <s v="409"/>
    <s v="010"/>
    <s v="00"/>
    <s v="S"/>
    <s v="P"/>
    <s v="01"/>
    <s v="04"/>
    <s v="False"/>
    <s v="True"/>
    <s v="U002806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4"/>
    <s v="BONIS SPA"/>
    <s v="STOCK SCAFFALE MP"/>
    <x v="1"/>
    <m/>
    <m/>
    <n v="3"/>
    <s v="01"/>
    <s v="409"/>
    <s v="010"/>
    <s v="00"/>
    <s v="S"/>
    <s v="P"/>
    <s v="01"/>
    <s v="04"/>
    <s v="False"/>
    <s v="True"/>
    <s v="U002806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9"/>
    <s v="BONIS SPA"/>
    <s v="STOCK SCAFFALE MP"/>
    <x v="1"/>
    <m/>
    <m/>
    <n v="4"/>
    <s v="01"/>
    <s v="409"/>
    <s v="010"/>
    <s v="00"/>
    <s v="S"/>
    <s v="P"/>
    <s v="01"/>
    <s v="04"/>
    <s v="False"/>
    <s v="True"/>
    <s v="U002806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6"/>
    <s v="BONIS SPA"/>
    <s v="STOCK SCAFFALE MP"/>
    <x v="1"/>
    <m/>
    <m/>
    <n v="9"/>
    <s v="01"/>
    <s v="409"/>
    <s v="010"/>
    <s v="00"/>
    <s v="S"/>
    <s v="P"/>
    <s v="01"/>
    <s v="04"/>
    <s v="False"/>
    <s v="True"/>
    <s v="U002809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7"/>
    <s v="BONIS SPA"/>
    <s v="STOCK SCAFFALE MP"/>
    <x v="1"/>
    <m/>
    <m/>
    <n v="6"/>
    <s v="01"/>
    <s v="409"/>
    <s v="010"/>
    <s v="00"/>
    <s v="S"/>
    <s v="P"/>
    <s v="01"/>
    <s v="04"/>
    <s v="False"/>
    <s v="True"/>
    <s v="U0028061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5"/>
    <s v="BONIS SPA"/>
    <s v="STOCK SCAFFALE MP"/>
    <x v="1"/>
    <m/>
    <m/>
    <n v="4"/>
    <s v="01"/>
    <s v="409"/>
    <s v="010"/>
    <s v="00"/>
    <s v="S"/>
    <s v="P"/>
    <s v="01"/>
    <s v="04"/>
    <s v="False"/>
    <s v="True"/>
    <s v="U0028061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54"/>
    <x v="40"/>
    <m/>
    <x v="17"/>
    <s v="BONIS SPA"/>
    <s v="STOCK SCAFFALE MP"/>
    <x v="10"/>
    <m/>
    <m/>
    <n v="1"/>
    <s v="01"/>
    <s v="409"/>
    <s v="012"/>
    <s v="00"/>
    <s v="S"/>
    <s v="P"/>
    <s v="01"/>
    <s v="04"/>
    <s v="False"/>
    <s v="True"/>
    <s v="U0023757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54"/>
    <x v="40"/>
    <m/>
    <x v="14"/>
    <s v="BONIS SPA"/>
    <s v="STOCK SCAFFALE MP"/>
    <x v="10"/>
    <m/>
    <m/>
    <n v="1"/>
    <s v="01"/>
    <s v="409"/>
    <s v="012"/>
    <s v="00"/>
    <s v="S"/>
    <s v="P"/>
    <s v="01"/>
    <s v="04"/>
    <s v="False"/>
    <s v="True"/>
    <s v="U0023757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5"/>
    <s v="BONIS SPA"/>
    <s v="STOCK SCAFFALE MP"/>
    <x v="10"/>
    <m/>
    <m/>
    <n v="2"/>
    <s v="01"/>
    <s v="409"/>
    <s v="010"/>
    <s v="00"/>
    <s v="S"/>
    <s v="P"/>
    <s v="01"/>
    <s v="04"/>
    <s v="False"/>
    <s v="True"/>
    <s v="U0028061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5"/>
    <s v="BONIS SPA"/>
    <s v="STOCK SCAFFALE MP"/>
    <x v="10"/>
    <m/>
    <m/>
    <n v="3"/>
    <s v="01"/>
    <s v="409"/>
    <s v="010"/>
    <s v="00"/>
    <s v="S"/>
    <s v="P"/>
    <s v="01"/>
    <s v="04"/>
    <s v="False"/>
    <s v="True"/>
    <s v="U0028095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8"/>
    <s v="BONIS SPA"/>
    <s v="STOCK SCAFFALE MP"/>
    <x v="10"/>
    <m/>
    <m/>
    <n v="4"/>
    <s v="01"/>
    <s v="409"/>
    <s v="010"/>
    <s v="00"/>
    <s v="S"/>
    <s v="P"/>
    <s v="01"/>
    <s v="04"/>
    <s v="False"/>
    <s v="True"/>
    <s v="U0028095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7"/>
    <s v="BONIS SPA"/>
    <s v="STOCK SCAFFALE MP"/>
    <x v="10"/>
    <m/>
    <m/>
    <n v="3"/>
    <s v="01"/>
    <s v="409"/>
    <s v="010"/>
    <s v="00"/>
    <s v="S"/>
    <s v="P"/>
    <s v="01"/>
    <s v="04"/>
    <s v="False"/>
    <s v="True"/>
    <s v="U0028095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6"/>
    <s v="BONIS SPA"/>
    <s v="STOCK SCAFFALE MP"/>
    <x v="10"/>
    <m/>
    <m/>
    <n v="2"/>
    <s v="01"/>
    <s v="409"/>
    <s v="010"/>
    <s v="00"/>
    <s v="S"/>
    <s v="P"/>
    <s v="01"/>
    <s v="04"/>
    <s v="False"/>
    <s v="True"/>
    <s v="U0028095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38"/>
    <m/>
    <x v="16"/>
    <s v="BONIS SPA"/>
    <s v="STOCK SCAFFALE MP"/>
    <x v="4"/>
    <m/>
    <m/>
    <n v="2"/>
    <s v="01"/>
    <s v="409"/>
    <s v="010"/>
    <s v="00"/>
    <s v="S"/>
    <s v="P"/>
    <s v="01"/>
    <s v="04"/>
    <s v="False"/>
    <s v="True"/>
    <s v="U0028051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7"/>
    <s v="BONIS SPA"/>
    <s v="STOCK SCAFFALE MP"/>
    <x v="4"/>
    <m/>
    <m/>
    <n v="1"/>
    <s v="01"/>
    <s v="409"/>
    <s v="010"/>
    <s v="00"/>
    <s v="S"/>
    <s v="P"/>
    <s v="01"/>
    <s v="04"/>
    <s v="False"/>
    <s v="True"/>
    <s v="U0028051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40"/>
    <m/>
    <x v="18"/>
    <s v="BONIS SPA"/>
    <s v="STOCK SCAFFALE MP"/>
    <x v="4"/>
    <m/>
    <m/>
    <n v="6"/>
    <s v="01"/>
    <s v="409"/>
    <s v="010"/>
    <s v="00"/>
    <s v="S"/>
    <s v="P"/>
    <s v="01"/>
    <s v="04"/>
    <s v="False"/>
    <s v="True"/>
    <s v="U0028051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9"/>
    <s v="BONIS SPA"/>
    <s v="STOCK SCAFFALE MP"/>
    <x v="4"/>
    <m/>
    <m/>
    <n v="3"/>
    <s v="01"/>
    <s v="409"/>
    <s v="010"/>
    <s v="00"/>
    <s v="S"/>
    <s v="P"/>
    <s v="01"/>
    <s v="04"/>
    <s v="False"/>
    <s v="True"/>
    <s v="U0028051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9"/>
    <s v="BONIS SPA"/>
    <s v="STOCK SCAFFALE MP"/>
    <x v="4"/>
    <m/>
    <m/>
    <n v="8"/>
    <s v="01"/>
    <s v="409"/>
    <s v="010"/>
    <s v="00"/>
    <s v="S"/>
    <s v="P"/>
    <s v="01"/>
    <s v="04"/>
    <s v="False"/>
    <s v="True"/>
    <s v="U0028096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38"/>
    <m/>
    <x v="16"/>
    <s v="BONIS SPA"/>
    <s v="STOCK SCAFFALE MP"/>
    <x v="4"/>
    <m/>
    <m/>
    <n v="6"/>
    <s v="01"/>
    <s v="409"/>
    <s v="010"/>
    <s v="00"/>
    <s v="S"/>
    <s v="P"/>
    <s v="01"/>
    <s v="04"/>
    <s v="False"/>
    <s v="True"/>
    <s v="U0028094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40"/>
    <m/>
    <x v="18"/>
    <s v="BONIS SPA"/>
    <s v="STOCK SCAFFALE MP"/>
    <x v="4"/>
    <m/>
    <m/>
    <n v="3"/>
    <s v="01"/>
    <s v="409"/>
    <s v="010"/>
    <s v="00"/>
    <s v="S"/>
    <s v="P"/>
    <s v="01"/>
    <s v="04"/>
    <s v="False"/>
    <s v="True"/>
    <s v="U0028094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7"/>
    <s v="BONIS SPA"/>
    <s v="STOCK SCAFFALE MP"/>
    <x v="13"/>
    <m/>
    <m/>
    <n v="5"/>
    <s v="01"/>
    <s v="409"/>
    <s v="010"/>
    <s v="00"/>
    <s v="S"/>
    <s v="P"/>
    <s v="01"/>
    <s v="04"/>
    <s v="False"/>
    <s v="True"/>
    <s v="U0028053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8"/>
    <s v="BONIS SPA"/>
    <s v="STOCK SCAFFALE MP"/>
    <x v="13"/>
    <m/>
    <m/>
    <n v="2"/>
    <s v="01"/>
    <s v="409"/>
    <s v="010"/>
    <s v="00"/>
    <s v="S"/>
    <s v="P"/>
    <s v="01"/>
    <s v="04"/>
    <s v="False"/>
    <s v="True"/>
    <s v="U0028053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6"/>
    <s v="BONIS SPA"/>
    <s v="STOCK SCAFFALE MP"/>
    <x v="13"/>
    <m/>
    <m/>
    <n v="4"/>
    <s v="01"/>
    <s v="409"/>
    <s v="010"/>
    <s v="00"/>
    <s v="S"/>
    <s v="P"/>
    <s v="01"/>
    <s v="04"/>
    <s v="False"/>
    <s v="True"/>
    <s v="U0028053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7"/>
    <s v="BONIS SPA"/>
    <s v="STOCK SCAFFALE MP"/>
    <x v="2"/>
    <m/>
    <m/>
    <n v="2"/>
    <s v="01"/>
    <s v="409"/>
    <s v="010"/>
    <s v="00"/>
    <s v="S"/>
    <s v="P"/>
    <s v="01"/>
    <s v="04"/>
    <s v="False"/>
    <s v="True"/>
    <s v="U002805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5"/>
    <s v="BONIS SPA"/>
    <s v="STOCK SCAFFALE MP"/>
    <x v="13"/>
    <m/>
    <m/>
    <n v="2"/>
    <s v="01"/>
    <s v="409"/>
    <s v="010"/>
    <s v="00"/>
    <s v="S"/>
    <s v="P"/>
    <s v="01"/>
    <s v="04"/>
    <s v="False"/>
    <s v="True"/>
    <s v="U002805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8"/>
    <s v="BONIS SPA"/>
    <s v="STOCK SCAFFALE MP"/>
    <x v="4"/>
    <m/>
    <m/>
    <n v="4"/>
    <s v="01"/>
    <s v="409"/>
    <s v="010"/>
    <s v="00"/>
    <s v="S"/>
    <s v="P"/>
    <s v="01"/>
    <s v="04"/>
    <s v="False"/>
    <s v="True"/>
    <s v="U002805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9"/>
    <s v="BONIS SPA"/>
    <s v="STOCK SCAFFALE MP"/>
    <x v="2"/>
    <m/>
    <m/>
    <n v="1"/>
    <s v="01"/>
    <s v="409"/>
    <s v="010"/>
    <s v="00"/>
    <s v="S"/>
    <s v="P"/>
    <s v="01"/>
    <s v="04"/>
    <s v="False"/>
    <s v="True"/>
    <s v="U002805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6"/>
    <s v="BONIS SPA"/>
    <s v="STOCK SCAFFALE MP"/>
    <x v="2"/>
    <m/>
    <m/>
    <n v="1"/>
    <s v="01"/>
    <s v="409"/>
    <s v="010"/>
    <s v="00"/>
    <s v="S"/>
    <s v="P"/>
    <s v="01"/>
    <s v="04"/>
    <s v="False"/>
    <s v="True"/>
    <s v="U0028050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5"/>
    <s v="BONIS SPA"/>
    <s v="STOCK SCAFFALE MP"/>
    <x v="2"/>
    <m/>
    <m/>
    <n v="5"/>
    <s v="01"/>
    <s v="409"/>
    <s v="010"/>
    <s v="00"/>
    <s v="S"/>
    <s v="P"/>
    <s v="01"/>
    <s v="04"/>
    <s v="False"/>
    <s v="True"/>
    <s v="U0028059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6"/>
    <s v="BONIS SPA"/>
    <s v="STOCK SCAFFALE MP"/>
    <x v="2"/>
    <m/>
    <m/>
    <n v="3"/>
    <s v="01"/>
    <s v="409"/>
    <s v="010"/>
    <s v="00"/>
    <s v="S"/>
    <s v="P"/>
    <s v="01"/>
    <s v="04"/>
    <s v="False"/>
    <s v="True"/>
    <s v="U0028059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40"/>
    <m/>
    <x v="14"/>
    <s v="BONIS SPA"/>
    <s v="STOCK SCAFFALE MP"/>
    <x v="2"/>
    <m/>
    <m/>
    <n v="4"/>
    <s v="01"/>
    <s v="409"/>
    <s v="010"/>
    <s v="00"/>
    <s v="S"/>
    <s v="P"/>
    <s v="01"/>
    <s v="04"/>
    <s v="False"/>
    <s v="True"/>
    <s v="U0028059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48"/>
    <x v="38"/>
    <m/>
    <x v="18"/>
    <s v="BONIS SPA"/>
    <s v="STOCK SCAFFALE MP"/>
    <x v="13"/>
    <m/>
    <m/>
    <n v="2"/>
    <s v="01"/>
    <s v="409"/>
    <s v="010"/>
    <s v="00"/>
    <s v="S"/>
    <s v="P"/>
    <s v="01"/>
    <s v="04"/>
    <s v="False"/>
    <s v="True"/>
    <s v="U0028094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7"/>
    <s v="BONIS SPA"/>
    <s v="STOCK SCAFFALE MP"/>
    <x v="13"/>
    <m/>
    <m/>
    <n v="3"/>
    <s v="01"/>
    <s v="409"/>
    <s v="010"/>
    <s v="00"/>
    <s v="S"/>
    <s v="P"/>
    <s v="01"/>
    <s v="04"/>
    <s v="False"/>
    <s v="True"/>
    <s v="U0028092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6"/>
    <s v="BONIS SPA"/>
    <s v="STOCK SCAFFALE MP"/>
    <x v="13"/>
    <m/>
    <m/>
    <n v="9"/>
    <s v="01"/>
    <s v="409"/>
    <s v="010"/>
    <s v="00"/>
    <s v="S"/>
    <s v="P"/>
    <s v="01"/>
    <s v="04"/>
    <s v="False"/>
    <s v="True"/>
    <s v="U0028065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7"/>
    <s v="BONIS SPA"/>
    <s v="STOCK SCAFFALE MP"/>
    <x v="13"/>
    <m/>
    <m/>
    <n v="2"/>
    <s v="01"/>
    <s v="409"/>
    <s v="010"/>
    <s v="00"/>
    <s v="S"/>
    <s v="P"/>
    <s v="01"/>
    <s v="04"/>
    <s v="False"/>
    <s v="True"/>
    <s v="U0028065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8"/>
    <s v="BONIS SPA"/>
    <s v="STOCK SCAFFALE MP"/>
    <x v="1"/>
    <m/>
    <m/>
    <n v="3"/>
    <s v="01"/>
    <s v="409"/>
    <s v="010"/>
    <s v="00"/>
    <s v="S"/>
    <s v="P"/>
    <s v="01"/>
    <s v="04"/>
    <s v="False"/>
    <s v="True"/>
    <s v="U0022976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9"/>
    <s v="BONIS SPA"/>
    <s v="STOCK SCAFFALE MP"/>
    <x v="1"/>
    <m/>
    <m/>
    <n v="1"/>
    <s v="01"/>
    <s v="409"/>
    <s v="010"/>
    <s v="00"/>
    <s v="S"/>
    <s v="P"/>
    <s v="01"/>
    <s v="04"/>
    <s v="False"/>
    <s v="True"/>
    <s v="U0028089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7"/>
    <s v="BONIS SPA"/>
    <s v="STOCK SCAFFALE MP"/>
    <x v="1"/>
    <m/>
    <m/>
    <n v="1"/>
    <s v="01"/>
    <s v="409"/>
    <s v="010"/>
    <s v="00"/>
    <s v="S"/>
    <s v="P"/>
    <s v="01"/>
    <s v="04"/>
    <s v="False"/>
    <s v="True"/>
    <s v="U0028089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8"/>
    <s v="BONIS SPA"/>
    <s v="STOCK SCAFFALE MP"/>
    <x v="10"/>
    <m/>
    <m/>
    <n v="7"/>
    <s v="01"/>
    <s v="409"/>
    <s v="010"/>
    <s v="00"/>
    <s v="S"/>
    <s v="P"/>
    <s v="01"/>
    <s v="04"/>
    <s v="False"/>
    <s v="True"/>
    <s v="U002373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7"/>
    <s v="BONIS SPA"/>
    <s v="STOCK SCAFFALE MP"/>
    <x v="10"/>
    <m/>
    <m/>
    <n v="2"/>
    <s v="01"/>
    <s v="409"/>
    <s v="010"/>
    <s v="00"/>
    <s v="S"/>
    <s v="P"/>
    <s v="01"/>
    <s v="04"/>
    <s v="False"/>
    <s v="True"/>
    <s v="U002373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7"/>
    <s v="BONIS SPA"/>
    <s v="STOCK SCAFFALE MP"/>
    <x v="10"/>
    <m/>
    <m/>
    <n v="1"/>
    <s v="01"/>
    <s v="409"/>
    <s v="010"/>
    <s v="00"/>
    <s v="S"/>
    <s v="P"/>
    <s v="01"/>
    <s v="04"/>
    <s v="False"/>
    <s v="True"/>
    <s v="U002808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6"/>
    <s v="BONIS SPA"/>
    <s v="STOCK SCAFFALE MP"/>
    <x v="10"/>
    <m/>
    <m/>
    <n v="6"/>
    <s v="01"/>
    <s v="409"/>
    <s v="010"/>
    <s v="00"/>
    <s v="S"/>
    <s v="P"/>
    <s v="01"/>
    <s v="04"/>
    <s v="False"/>
    <s v="True"/>
    <s v="U002808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9"/>
    <s v="BONIS SPA"/>
    <s v="STOCK SCAFFALE MP"/>
    <x v="10"/>
    <m/>
    <m/>
    <n v="1"/>
    <s v="01"/>
    <s v="409"/>
    <s v="010"/>
    <s v="00"/>
    <s v="S"/>
    <s v="P"/>
    <s v="01"/>
    <s v="04"/>
    <s v="False"/>
    <s v="True"/>
    <s v="U002808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8"/>
    <s v="BONIS SPA"/>
    <s v="STOCK SCAFFALE MP"/>
    <x v="10"/>
    <m/>
    <m/>
    <n v="2"/>
    <s v="01"/>
    <s v="409"/>
    <s v="010"/>
    <s v="00"/>
    <s v="S"/>
    <s v="P"/>
    <s v="01"/>
    <s v="04"/>
    <s v="False"/>
    <s v="True"/>
    <s v="U002808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5"/>
    <s v="BONIS SPA"/>
    <s v="STOCK SCAFFALE MP"/>
    <x v="10"/>
    <m/>
    <m/>
    <n v="2"/>
    <s v="01"/>
    <s v="409"/>
    <s v="010"/>
    <s v="00"/>
    <s v="S"/>
    <s v="P"/>
    <s v="01"/>
    <s v="04"/>
    <s v="False"/>
    <s v="True"/>
    <s v="U002808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6"/>
    <s v="BONIS SPA"/>
    <s v="STOCK SCAFFALE MP"/>
    <x v="1"/>
    <m/>
    <m/>
    <n v="4"/>
    <s v="01"/>
    <s v="409"/>
    <s v="010"/>
    <s v="00"/>
    <s v="S"/>
    <s v="P"/>
    <s v="01"/>
    <s v="04"/>
    <s v="False"/>
    <s v="True"/>
    <s v="U0028096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7"/>
    <s v="BONIS SPA"/>
    <s v="STOCK SCAFFALE MP"/>
    <x v="1"/>
    <m/>
    <m/>
    <n v="1"/>
    <s v="01"/>
    <s v="409"/>
    <s v="010"/>
    <s v="00"/>
    <s v="S"/>
    <s v="P"/>
    <s v="01"/>
    <s v="04"/>
    <s v="False"/>
    <s v="True"/>
    <s v="U0028094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4"/>
    <s v="BONIS SPA"/>
    <s v="STOCK SCAFFALE MP"/>
    <x v="13"/>
    <m/>
    <m/>
    <n v="3"/>
    <s v="01"/>
    <s v="409"/>
    <s v="010"/>
    <s v="00"/>
    <s v="S"/>
    <s v="P"/>
    <s v="01"/>
    <s v="04"/>
    <s v="False"/>
    <s v="True"/>
    <s v="U0028089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5"/>
    <s v="BONIS SPA"/>
    <s v="STOCK SCAFFALE MP"/>
    <x v="13"/>
    <m/>
    <m/>
    <n v="5"/>
    <s v="01"/>
    <s v="409"/>
    <s v="010"/>
    <s v="00"/>
    <s v="S"/>
    <s v="P"/>
    <s v="01"/>
    <s v="04"/>
    <s v="False"/>
    <s v="True"/>
    <s v="U0028089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6"/>
    <s v="BONIS SPA"/>
    <s v="STOCK SCAFFALE MP"/>
    <x v="13"/>
    <m/>
    <m/>
    <n v="2"/>
    <s v="01"/>
    <s v="409"/>
    <s v="010"/>
    <s v="00"/>
    <s v="S"/>
    <s v="P"/>
    <s v="01"/>
    <s v="04"/>
    <s v="False"/>
    <s v="True"/>
    <s v="U0028089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5"/>
    <s v="BONIS SPA"/>
    <s v="STOCK SCAFFALE MP"/>
    <x v="1"/>
    <m/>
    <m/>
    <n v="6"/>
    <s v="01"/>
    <s v="409"/>
    <s v="010"/>
    <s v="00"/>
    <s v="S"/>
    <s v="P"/>
    <s v="01"/>
    <s v="04"/>
    <s v="False"/>
    <s v="True"/>
    <s v="U0028056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4"/>
    <s v="BONIS SPA"/>
    <s v="STOCK SCAFFALE MP"/>
    <x v="1"/>
    <m/>
    <m/>
    <n v="3"/>
    <s v="01"/>
    <s v="409"/>
    <s v="010"/>
    <s v="00"/>
    <s v="S"/>
    <s v="P"/>
    <s v="01"/>
    <s v="04"/>
    <s v="False"/>
    <s v="True"/>
    <s v="U0028056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7"/>
    <s v="BONIS SPA"/>
    <s v="STOCK SCAFFALE MP"/>
    <x v="13"/>
    <m/>
    <m/>
    <n v="1"/>
    <s v="01"/>
    <s v="409"/>
    <s v="010"/>
    <s v="00"/>
    <s v="S"/>
    <s v="P"/>
    <s v="01"/>
    <s v="04"/>
    <s v="False"/>
    <s v="True"/>
    <s v="U0028056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4"/>
    <s v="BONIS SPA"/>
    <s v="STOCK SCAFFALE MP"/>
    <x v="2"/>
    <m/>
    <m/>
    <n v="1"/>
    <s v="01"/>
    <s v="409"/>
    <s v="010"/>
    <s v="00"/>
    <s v="S"/>
    <s v="P"/>
    <s v="01"/>
    <s v="04"/>
    <s v="False"/>
    <s v="True"/>
    <s v="U0028065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4"/>
    <s v="BONIS SPA"/>
    <s v="STOCK SCAFFALE MP"/>
    <x v="2"/>
    <m/>
    <m/>
    <n v="3"/>
    <s v="01"/>
    <s v="409"/>
    <s v="010"/>
    <s v="00"/>
    <s v="S"/>
    <s v="P"/>
    <s v="01"/>
    <s v="04"/>
    <s v="False"/>
    <s v="True"/>
    <s v="U0023738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4"/>
    <s v="BONIS SPA"/>
    <s v="STOCK SCAFFALE MP"/>
    <x v="2"/>
    <m/>
    <m/>
    <n v="1"/>
    <s v="01"/>
    <s v="409"/>
    <s v="010"/>
    <s v="00"/>
    <s v="S"/>
    <s v="P"/>
    <s v="01"/>
    <s v="04"/>
    <s v="False"/>
    <s v="True"/>
    <s v="U0028053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4"/>
    <s v="BONIS SPA"/>
    <s v="STOCK SCAFFALE MP"/>
    <x v="2"/>
    <m/>
    <m/>
    <n v="1"/>
    <s v="01"/>
    <s v="409"/>
    <s v="010"/>
    <s v="00"/>
    <s v="S"/>
    <s v="P"/>
    <s v="01"/>
    <s v="04"/>
    <s v="False"/>
    <s v="True"/>
    <s v="U0028050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5"/>
    <s v="BONIS SPA"/>
    <s v="STOCK SCAFFALE MP"/>
    <x v="2"/>
    <m/>
    <m/>
    <n v="1"/>
    <s v="01"/>
    <s v="409"/>
    <s v="010"/>
    <s v="00"/>
    <s v="S"/>
    <s v="P"/>
    <s v="01"/>
    <s v="04"/>
    <s v="False"/>
    <s v="True"/>
    <s v="U0028050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5"/>
    <s v="BONIS SPA"/>
    <s v="STOCK SCAFFALE MP"/>
    <x v="2"/>
    <m/>
    <m/>
    <n v="2"/>
    <s v="01"/>
    <s v="409"/>
    <s v="010"/>
    <s v="00"/>
    <s v="S"/>
    <s v="P"/>
    <s v="01"/>
    <s v="04"/>
    <s v="False"/>
    <s v="True"/>
    <s v="U0028056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7"/>
    <s v="BONIS SPA"/>
    <s v="STOCK SCAFFALE MP"/>
    <x v="2"/>
    <m/>
    <m/>
    <n v="11"/>
    <s v="01"/>
    <s v="409"/>
    <s v="010"/>
    <s v="00"/>
    <s v="S"/>
    <s v="P"/>
    <s v="01"/>
    <s v="04"/>
    <s v="False"/>
    <s v="True"/>
    <s v="U0028068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5"/>
    <s v="BONIS SPA"/>
    <s v="STOCK SCAFFALE MP"/>
    <x v="10"/>
    <m/>
    <m/>
    <n v="9"/>
    <s v="01"/>
    <s v="409"/>
    <s v="010"/>
    <s v="00"/>
    <s v="S"/>
    <s v="P"/>
    <s v="01"/>
    <s v="04"/>
    <s v="False"/>
    <s v="True"/>
    <s v="U0023733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4"/>
    <s v="BONIS SPA"/>
    <s v="STOCK SCAFFALE MP"/>
    <x v="10"/>
    <m/>
    <m/>
    <n v="3"/>
    <s v="01"/>
    <s v="409"/>
    <s v="010"/>
    <s v="00"/>
    <s v="S"/>
    <s v="P"/>
    <s v="01"/>
    <s v="04"/>
    <s v="False"/>
    <s v="True"/>
    <s v="U0023733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7"/>
    <s v="BONIS SPA"/>
    <s v="STOCK SCAFFALE MP"/>
    <x v="4"/>
    <m/>
    <m/>
    <n v="8"/>
    <s v="01"/>
    <s v="409"/>
    <s v="010"/>
    <s v="00"/>
    <s v="S"/>
    <s v="P"/>
    <s v="01"/>
    <s v="04"/>
    <s v="False"/>
    <s v="True"/>
    <s v="U0028062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6"/>
    <s v="BONIS SPA"/>
    <s v="STOCK SCAFFALE MP"/>
    <x v="4"/>
    <m/>
    <m/>
    <n v="2"/>
    <s v="01"/>
    <s v="409"/>
    <s v="010"/>
    <s v="00"/>
    <s v="S"/>
    <s v="P"/>
    <s v="01"/>
    <s v="04"/>
    <s v="False"/>
    <s v="True"/>
    <s v="U0028062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8"/>
    <s v="BONIS SPA"/>
    <s v="STOCK SCAFFALE MP"/>
    <x v="4"/>
    <m/>
    <m/>
    <n v="12"/>
    <s v="01"/>
    <s v="409"/>
    <s v="010"/>
    <s v="00"/>
    <s v="S"/>
    <s v="P"/>
    <s v="01"/>
    <s v="04"/>
    <s v="False"/>
    <s v="True"/>
    <s v="U0028064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8"/>
    <s v="BONIS SPA"/>
    <s v="STOCK SCAFFALE MP"/>
    <x v="4"/>
    <m/>
    <m/>
    <n v="1"/>
    <s v="01"/>
    <s v="409"/>
    <s v="010"/>
    <s v="00"/>
    <s v="S"/>
    <s v="P"/>
    <s v="01"/>
    <s v="04"/>
    <s v="False"/>
    <s v="True"/>
    <s v="U0028068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8"/>
    <s v="BONIS SPA"/>
    <s v="STOCK SCAFFALE MP"/>
    <x v="2"/>
    <m/>
    <m/>
    <n v="12"/>
    <s v="01"/>
    <s v="409"/>
    <s v="010"/>
    <s v="00"/>
    <s v="S"/>
    <s v="P"/>
    <s v="01"/>
    <s v="04"/>
    <s v="False"/>
    <s v="True"/>
    <s v="U0023021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8"/>
    <s v="BONIS SPA"/>
    <s v="STOCK SCAFFALE MP"/>
    <x v="4"/>
    <m/>
    <m/>
    <n v="2"/>
    <s v="01"/>
    <s v="409"/>
    <s v="010"/>
    <s v="00"/>
    <s v="S"/>
    <s v="P"/>
    <s v="01"/>
    <s v="04"/>
    <s v="False"/>
    <s v="True"/>
    <s v="U0028062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8"/>
    <s v="BONIS SPA"/>
    <s v="STOCK SCAFFALE MP"/>
    <x v="2"/>
    <m/>
    <m/>
    <n v="1"/>
    <s v="01"/>
    <s v="409"/>
    <s v="010"/>
    <s v="00"/>
    <s v="S"/>
    <s v="P"/>
    <s v="01"/>
    <s v="04"/>
    <s v="False"/>
    <s v="True"/>
    <s v="U0022976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9"/>
    <s v="BONIS SPA"/>
    <s v="STOCK SCAFFALE MP"/>
    <x v="2"/>
    <m/>
    <m/>
    <n v="5"/>
    <s v="01"/>
    <s v="409"/>
    <s v="010"/>
    <s v="00"/>
    <s v="S"/>
    <s v="P"/>
    <s v="01"/>
    <s v="04"/>
    <s v="False"/>
    <s v="True"/>
    <s v="U0022976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4"/>
    <s v="BONIS SPA"/>
    <s v="STOCK SCAFFALE MP"/>
    <x v="4"/>
    <m/>
    <m/>
    <n v="3"/>
    <s v="01"/>
    <s v="409"/>
    <s v="010"/>
    <s v="00"/>
    <s v="S"/>
    <s v="P"/>
    <s v="01"/>
    <s v="04"/>
    <s v="False"/>
    <s v="True"/>
    <s v="U0022976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6"/>
    <s v="BONIS SPA"/>
    <s v="STOCK SCAFFALE MP"/>
    <x v="2"/>
    <m/>
    <m/>
    <n v="12"/>
    <s v="01"/>
    <s v="409"/>
    <s v="010"/>
    <s v="00"/>
    <s v="S"/>
    <s v="P"/>
    <s v="01"/>
    <s v="04"/>
    <s v="False"/>
    <s v="True"/>
    <s v="U0023473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21"/>
    <x v="38"/>
    <m/>
    <x v="16"/>
    <s v="BONIS SPA"/>
    <s v="STOCK SCAFFALE MP"/>
    <x v="2"/>
    <m/>
    <m/>
    <n v="12"/>
    <s v="01"/>
    <s v="409"/>
    <s v="001"/>
    <s v="00"/>
    <s v="S"/>
    <s v="P"/>
    <s v="01"/>
    <s v="04"/>
    <s v="False"/>
    <s v="True"/>
    <s v="U0023019"/>
    <n v="1"/>
    <m/>
    <n v="0"/>
    <n v="0"/>
    <m/>
    <s v="SMU"/>
    <m/>
    <m/>
    <m/>
    <m/>
    <m/>
    <m/>
    <s v="P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8"/>
    <x v="38"/>
    <m/>
    <x v="15"/>
    <s v="BONIS SPA"/>
    <s v="STOCK SCAFFALE MP"/>
    <x v="2"/>
    <m/>
    <m/>
    <n v="12"/>
    <s v="01"/>
    <s v="409"/>
    <s v="010"/>
    <s v="00"/>
    <s v="S"/>
    <s v="P"/>
    <s v="01"/>
    <s v="04"/>
    <s v="False"/>
    <s v="True"/>
    <s v="U0032614"/>
    <n v="1"/>
    <m/>
    <n v="0"/>
    <n v="0"/>
    <m/>
    <s v="SMU"/>
    <m/>
    <m/>
    <m/>
    <m/>
    <m/>
    <m/>
    <s v="F11"/>
    <s v="WOMAN"/>
    <s v="PA"/>
    <m/>
    <m/>
    <m/>
    <m/>
    <s v="False"/>
    <m/>
    <s v="DYON"/>
    <m/>
    <m/>
    <m/>
    <m/>
    <m/>
    <m/>
    <s v="PF"/>
    <n v="0"/>
    <n v="0"/>
    <n v="0"/>
    <n v="0"/>
    <n v="0"/>
    <s v="YON GOMMA TWILL CANVAS"/>
    <s v="Bonis SpA"/>
    <m/>
    <m/>
    <m/>
    <m/>
    <m/>
    <m/>
    <m/>
    <m/>
    <m/>
    <m/>
    <m/>
    <m/>
  </r>
  <r>
    <m/>
    <n v="2545"/>
    <x v="36"/>
    <m/>
    <x v="18"/>
    <s v="BONIS SPA"/>
    <s v="STOCK SCAFFALE MP"/>
    <x v="6"/>
    <m/>
    <m/>
    <n v="2"/>
    <s v="01"/>
    <s v="409"/>
    <s v="009"/>
    <s v="00"/>
    <s v="S"/>
    <s v="P"/>
    <s v="01"/>
    <s v="04"/>
    <s v="False"/>
    <s v="True"/>
    <s v="U002813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6"/>
    <m/>
    <m/>
    <n v="4"/>
    <s v="01"/>
    <s v="409"/>
    <s v="009"/>
    <s v="00"/>
    <s v="S"/>
    <s v="P"/>
    <s v="01"/>
    <s v="04"/>
    <s v="False"/>
    <s v="True"/>
    <s v="U002813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5"/>
    <m/>
    <x v="19"/>
    <s v="BONIS SPA"/>
    <s v="STOCK SCAFFALE MP"/>
    <x v="4"/>
    <m/>
    <m/>
    <n v="1"/>
    <s v="01"/>
    <s v="409"/>
    <s v="009"/>
    <s v="00"/>
    <s v="S"/>
    <s v="P"/>
    <s v="01"/>
    <s v="04"/>
    <s v="False"/>
    <s v="True"/>
    <s v="U0023154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5"/>
    <m/>
    <x v="20"/>
    <s v="BONIS SPA"/>
    <s v="STOCK SCAFFALE MP"/>
    <x v="4"/>
    <m/>
    <m/>
    <n v="8"/>
    <s v="01"/>
    <s v="409"/>
    <s v="009"/>
    <s v="00"/>
    <s v="S"/>
    <s v="P"/>
    <s v="01"/>
    <s v="04"/>
    <s v="False"/>
    <s v="True"/>
    <s v="U0023154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5"/>
    <m/>
    <x v="8"/>
    <s v="BONIS SPA"/>
    <s v="STOCK SCAFFALE MP"/>
    <x v="4"/>
    <m/>
    <m/>
    <n v="1"/>
    <s v="01"/>
    <s v="409"/>
    <s v="009"/>
    <s v="00"/>
    <s v="S"/>
    <s v="P"/>
    <s v="01"/>
    <s v="04"/>
    <s v="False"/>
    <s v="True"/>
    <s v="U0023154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5"/>
    <m/>
    <x v="19"/>
    <s v="BONIS SPA"/>
    <s v="STOCK SCAFFALE MP"/>
    <x v="4"/>
    <m/>
    <m/>
    <n v="5"/>
    <s v="01"/>
    <s v="409"/>
    <s v="009"/>
    <s v="00"/>
    <s v="S"/>
    <s v="P"/>
    <s v="01"/>
    <s v="04"/>
    <s v="False"/>
    <s v="True"/>
    <s v="U0028124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5"/>
    <m/>
    <x v="18"/>
    <s v="BONIS SPA"/>
    <s v="STOCK SCAFFALE MP"/>
    <x v="4"/>
    <m/>
    <m/>
    <n v="3"/>
    <s v="01"/>
    <s v="409"/>
    <s v="009"/>
    <s v="00"/>
    <s v="S"/>
    <s v="P"/>
    <s v="01"/>
    <s v="04"/>
    <s v="False"/>
    <s v="True"/>
    <s v="U0028124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8"/>
    <s v="BONIS SPA"/>
    <s v="STOCK SCAFFALE MP"/>
    <x v="4"/>
    <m/>
    <m/>
    <n v="3"/>
    <s v="01"/>
    <s v="409"/>
    <s v="009"/>
    <s v="00"/>
    <s v="S"/>
    <s v="P"/>
    <s v="01"/>
    <s v="04"/>
    <s v="False"/>
    <s v="True"/>
    <s v="U002813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8"/>
    <s v="BONIS SPA"/>
    <s v="STOCK SCAFFALE MP"/>
    <x v="4"/>
    <m/>
    <m/>
    <n v="1"/>
    <s v="01"/>
    <s v="409"/>
    <s v="009"/>
    <s v="00"/>
    <s v="S"/>
    <s v="P"/>
    <s v="01"/>
    <s v="04"/>
    <s v="False"/>
    <s v="True"/>
    <s v="U0028124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9"/>
    <s v="BONIS SPA"/>
    <s v="STOCK SCAFFALE MP"/>
    <x v="4"/>
    <m/>
    <m/>
    <n v="1"/>
    <s v="01"/>
    <s v="409"/>
    <s v="009"/>
    <s v="00"/>
    <s v="S"/>
    <s v="P"/>
    <s v="01"/>
    <s v="04"/>
    <s v="False"/>
    <s v="True"/>
    <s v="U0028132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8"/>
    <s v="BONIS SPA"/>
    <s v="STOCK SCAFFALE MP"/>
    <x v="4"/>
    <m/>
    <m/>
    <n v="3"/>
    <s v="01"/>
    <s v="409"/>
    <s v="009"/>
    <s v="00"/>
    <s v="S"/>
    <s v="P"/>
    <s v="01"/>
    <s v="04"/>
    <s v="False"/>
    <s v="True"/>
    <s v="U0028133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4"/>
    <m/>
    <m/>
    <n v="4"/>
    <s v="01"/>
    <s v="409"/>
    <s v="009"/>
    <s v="00"/>
    <s v="S"/>
    <s v="P"/>
    <s v="01"/>
    <s v="04"/>
    <s v="False"/>
    <s v="True"/>
    <s v="U0028133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20"/>
    <s v="BONIS SPA"/>
    <s v="STOCK SCAFFALE MP"/>
    <x v="0"/>
    <m/>
    <m/>
    <n v="3"/>
    <s v="01"/>
    <s v="409"/>
    <s v="009"/>
    <s v="00"/>
    <s v="S"/>
    <s v="P"/>
    <s v="01"/>
    <s v="04"/>
    <s v="False"/>
    <s v="True"/>
    <s v="U0032610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20"/>
    <s v="BONIS SPA"/>
    <s v="STOCK SCAFFALE MP"/>
    <x v="0"/>
    <m/>
    <m/>
    <n v="1"/>
    <s v="01"/>
    <s v="409"/>
    <s v="009"/>
    <s v="00"/>
    <s v="S"/>
    <s v="P"/>
    <s v="01"/>
    <s v="04"/>
    <s v="False"/>
    <s v="True"/>
    <s v="U0028133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0"/>
    <m/>
    <m/>
    <n v="1"/>
    <s v="01"/>
    <s v="409"/>
    <s v="009"/>
    <s v="00"/>
    <s v="S"/>
    <s v="P"/>
    <s v="01"/>
    <s v="04"/>
    <s v="False"/>
    <s v="True"/>
    <s v="U0028133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0"/>
    <m/>
    <m/>
    <n v="2"/>
    <s v="01"/>
    <s v="409"/>
    <s v="009"/>
    <s v="00"/>
    <s v="S"/>
    <s v="P"/>
    <s v="01"/>
    <s v="04"/>
    <s v="False"/>
    <s v="True"/>
    <s v="U002356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0"/>
    <m/>
    <m/>
    <n v="2"/>
    <s v="01"/>
    <s v="409"/>
    <s v="009"/>
    <s v="00"/>
    <s v="S"/>
    <s v="P"/>
    <s v="01"/>
    <s v="04"/>
    <s v="False"/>
    <s v="True"/>
    <s v="U002775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2"/>
    <m/>
    <m/>
    <n v="5"/>
    <s v="01"/>
    <s v="409"/>
    <s v="009"/>
    <s v="00"/>
    <s v="S"/>
    <s v="P"/>
    <s v="01"/>
    <s v="04"/>
    <s v="False"/>
    <s v="True"/>
    <s v="U0028138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2"/>
    <m/>
    <m/>
    <n v="3"/>
    <s v="01"/>
    <s v="409"/>
    <s v="009"/>
    <s v="00"/>
    <s v="S"/>
    <s v="P"/>
    <s v="01"/>
    <s v="04"/>
    <s v="False"/>
    <s v="True"/>
    <s v="U0028124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8"/>
    <s v="BONIS SPA"/>
    <s v="STOCK SCAFFALE MP"/>
    <x v="2"/>
    <m/>
    <m/>
    <n v="8"/>
    <s v="01"/>
    <s v="409"/>
    <s v="009"/>
    <s v="00"/>
    <s v="S"/>
    <s v="P"/>
    <s v="01"/>
    <s v="04"/>
    <s v="False"/>
    <s v="True"/>
    <s v="U0028146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2"/>
    <m/>
    <m/>
    <n v="4"/>
    <s v="01"/>
    <s v="409"/>
    <s v="009"/>
    <s v="00"/>
    <s v="S"/>
    <s v="P"/>
    <s v="01"/>
    <s v="04"/>
    <s v="False"/>
    <s v="True"/>
    <s v="U0028146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20"/>
    <s v="BONIS SPA"/>
    <s v="STOCK SCAFFALE MP"/>
    <x v="2"/>
    <m/>
    <m/>
    <n v="11"/>
    <s v="01"/>
    <s v="409"/>
    <s v="009"/>
    <s v="00"/>
    <s v="S"/>
    <s v="P"/>
    <s v="01"/>
    <s v="04"/>
    <s v="False"/>
    <s v="True"/>
    <s v="U0023683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9"/>
    <s v="BONIS SPA"/>
    <s v="STOCK SCAFFALE MP"/>
    <x v="2"/>
    <m/>
    <m/>
    <n v="12"/>
    <s v="01"/>
    <s v="409"/>
    <s v="009"/>
    <s v="00"/>
    <s v="S"/>
    <s v="P"/>
    <s v="01"/>
    <s v="04"/>
    <s v="False"/>
    <s v="True"/>
    <s v="U002317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9"/>
    <s v="BONIS SPA"/>
    <s v="STOCK SCAFFALE MP"/>
    <x v="2"/>
    <m/>
    <m/>
    <n v="3"/>
    <s v="01"/>
    <s v="409"/>
    <s v="009"/>
    <s v="00"/>
    <s v="S"/>
    <s v="P"/>
    <s v="01"/>
    <s v="04"/>
    <s v="False"/>
    <s v="True"/>
    <s v="U0028138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20"/>
    <s v="BONIS SPA"/>
    <s v="STOCK SCAFFALE MP"/>
    <x v="2"/>
    <m/>
    <m/>
    <n v="4"/>
    <s v="01"/>
    <s v="409"/>
    <s v="009"/>
    <s v="00"/>
    <s v="S"/>
    <s v="P"/>
    <s v="01"/>
    <s v="04"/>
    <s v="False"/>
    <s v="True"/>
    <s v="U0028138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20"/>
    <s v="BONIS SPA"/>
    <s v="STOCK SCAFFALE MP"/>
    <x v="2"/>
    <m/>
    <m/>
    <n v="1"/>
    <s v="01"/>
    <s v="409"/>
    <s v="009"/>
    <s v="00"/>
    <s v="S"/>
    <s v="P"/>
    <s v="01"/>
    <s v="04"/>
    <s v="False"/>
    <s v="True"/>
    <s v="U0032611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21"/>
    <s v="BONIS SPA"/>
    <s v="STOCK SCAFFALE MP"/>
    <x v="2"/>
    <m/>
    <m/>
    <n v="1"/>
    <s v="01"/>
    <s v="409"/>
    <s v="009"/>
    <s v="00"/>
    <s v="S"/>
    <s v="P"/>
    <s v="01"/>
    <s v="04"/>
    <s v="False"/>
    <s v="True"/>
    <s v="U002775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6"/>
    <m/>
    <m/>
    <n v="1"/>
    <s v="01"/>
    <s v="409"/>
    <s v="009"/>
    <s v="00"/>
    <s v="S"/>
    <s v="P"/>
    <s v="01"/>
    <s v="04"/>
    <s v="False"/>
    <s v="True"/>
    <s v="U0028133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9"/>
    <s v="BONIS SPA"/>
    <s v="STOCK SCAFFALE MP"/>
    <x v="10"/>
    <m/>
    <m/>
    <n v="3"/>
    <s v="01"/>
    <s v="409"/>
    <s v="009"/>
    <s v="00"/>
    <s v="S"/>
    <s v="P"/>
    <s v="01"/>
    <s v="04"/>
    <s v="False"/>
    <s v="True"/>
    <s v="U0023524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8"/>
    <s v="BONIS SPA"/>
    <s v="STOCK SCAFFALE MP"/>
    <x v="10"/>
    <m/>
    <m/>
    <n v="6"/>
    <s v="01"/>
    <s v="409"/>
    <s v="009"/>
    <s v="00"/>
    <s v="S"/>
    <s v="P"/>
    <s v="01"/>
    <s v="04"/>
    <s v="False"/>
    <s v="True"/>
    <s v="U0023524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10"/>
    <m/>
    <m/>
    <n v="2"/>
    <s v="01"/>
    <s v="409"/>
    <s v="009"/>
    <s v="00"/>
    <s v="S"/>
    <s v="P"/>
    <s v="01"/>
    <s v="04"/>
    <s v="False"/>
    <s v="True"/>
    <s v="U0028133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10"/>
    <m/>
    <m/>
    <n v="3"/>
    <s v="01"/>
    <s v="409"/>
    <s v="009"/>
    <s v="00"/>
    <s v="S"/>
    <s v="P"/>
    <s v="01"/>
    <s v="04"/>
    <s v="False"/>
    <s v="True"/>
    <s v="U0023524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10"/>
    <m/>
    <m/>
    <n v="2"/>
    <s v="01"/>
    <s v="409"/>
    <s v="009"/>
    <s v="00"/>
    <s v="S"/>
    <s v="P"/>
    <s v="01"/>
    <s v="04"/>
    <s v="False"/>
    <s v="True"/>
    <s v="U003261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10"/>
    <m/>
    <m/>
    <n v="1"/>
    <s v="01"/>
    <s v="409"/>
    <s v="009"/>
    <s v="00"/>
    <s v="S"/>
    <s v="P"/>
    <s v="01"/>
    <s v="04"/>
    <s v="False"/>
    <s v="True"/>
    <s v="U0028179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9"/>
    <s v="BONIS SPA"/>
    <s v="STOCK SCAFFALE MP"/>
    <x v="10"/>
    <m/>
    <m/>
    <n v="1"/>
    <s v="01"/>
    <s v="409"/>
    <s v="009"/>
    <s v="00"/>
    <s v="S"/>
    <s v="P"/>
    <s v="01"/>
    <s v="04"/>
    <s v="False"/>
    <s v="True"/>
    <s v="U0023683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18"/>
    <s v="BONIS SPA"/>
    <s v="STOCK SCAFFALE MP"/>
    <x v="10"/>
    <m/>
    <m/>
    <n v="4"/>
    <s v="01"/>
    <s v="409"/>
    <s v="009"/>
    <s v="00"/>
    <s v="S"/>
    <s v="P"/>
    <s v="01"/>
    <s v="04"/>
    <s v="False"/>
    <s v="True"/>
    <s v="U0027752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9"/>
    <s v="BONIS SPA"/>
    <s v="STOCK SCAFFALE MP"/>
    <x v="10"/>
    <m/>
    <m/>
    <n v="2"/>
    <s v="01"/>
    <s v="409"/>
    <s v="009"/>
    <s v="00"/>
    <s v="S"/>
    <s v="P"/>
    <s v="01"/>
    <s v="04"/>
    <s v="False"/>
    <s v="True"/>
    <s v="U0027752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36"/>
    <m/>
    <x v="20"/>
    <s v="BONIS SPA"/>
    <s v="STOCK SCAFFALE MP"/>
    <x v="10"/>
    <m/>
    <m/>
    <n v="3"/>
    <s v="01"/>
    <s v="409"/>
    <s v="009"/>
    <s v="00"/>
    <s v="S"/>
    <s v="P"/>
    <s v="01"/>
    <s v="04"/>
    <s v="False"/>
    <s v="True"/>
    <s v="U0027752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45"/>
    <x v="80"/>
    <m/>
    <x v="20"/>
    <s v="BONIS SPA"/>
    <s v="STOCK SCAFFALE MP"/>
    <x v="4"/>
    <m/>
    <m/>
    <n v="10"/>
    <s v="01"/>
    <s v="409"/>
    <s v="009"/>
    <s v="00"/>
    <s v="S"/>
    <s v="P"/>
    <s v="01"/>
    <s v="04"/>
    <s v="False"/>
    <s v="True"/>
    <s v="U0032612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45"/>
    <x v="80"/>
    <m/>
    <x v="19"/>
    <s v="BONIS SPA"/>
    <s v="STOCK SCAFFALE MP"/>
    <x v="2"/>
    <m/>
    <m/>
    <n v="11"/>
    <s v="01"/>
    <s v="409"/>
    <s v="009"/>
    <s v="00"/>
    <s v="S"/>
    <s v="P"/>
    <s v="01"/>
    <s v="04"/>
    <s v="False"/>
    <s v="True"/>
    <s v="U0032611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45"/>
    <x v="80"/>
    <m/>
    <x v="20"/>
    <s v="BONIS SPA"/>
    <s v="STOCK SCAFFALE MP"/>
    <x v="2"/>
    <m/>
    <m/>
    <n v="1"/>
    <s v="01"/>
    <s v="409"/>
    <s v="009"/>
    <s v="00"/>
    <s v="S"/>
    <s v="P"/>
    <s v="01"/>
    <s v="04"/>
    <s v="False"/>
    <s v="True"/>
    <s v="U0023128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45"/>
    <x v="80"/>
    <m/>
    <x v="18"/>
    <s v="BONIS SPA"/>
    <s v="STOCK SCAFFALE MP"/>
    <x v="2"/>
    <m/>
    <m/>
    <n v="11"/>
    <s v="01"/>
    <s v="409"/>
    <s v="009"/>
    <s v="00"/>
    <s v="S"/>
    <s v="P"/>
    <s v="01"/>
    <s v="04"/>
    <s v="False"/>
    <s v="True"/>
    <s v="U0023128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45"/>
    <x v="80"/>
    <m/>
    <x v="21"/>
    <s v="BONIS SPA"/>
    <s v="STOCK SCAFFALE MP"/>
    <x v="8"/>
    <m/>
    <m/>
    <n v="3"/>
    <s v="01"/>
    <s v="409"/>
    <s v="009"/>
    <s v="00"/>
    <s v="S"/>
    <s v="P"/>
    <s v="01"/>
    <s v="04"/>
    <s v="False"/>
    <s v="True"/>
    <s v="U0023562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45"/>
    <x v="80"/>
    <m/>
    <x v="20"/>
    <s v="BONIS SPA"/>
    <s v="STOCK SCAFFALE MP"/>
    <x v="8"/>
    <m/>
    <m/>
    <n v="7"/>
    <s v="01"/>
    <s v="409"/>
    <s v="009"/>
    <s v="00"/>
    <s v="S"/>
    <s v="P"/>
    <s v="01"/>
    <s v="04"/>
    <s v="False"/>
    <s v="True"/>
    <s v="U0023562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45"/>
    <x v="80"/>
    <m/>
    <x v="18"/>
    <s v="BONIS SPA"/>
    <s v="STOCK SCAFFALE MP"/>
    <x v="8"/>
    <m/>
    <m/>
    <n v="11"/>
    <s v="01"/>
    <s v="409"/>
    <s v="009"/>
    <s v="00"/>
    <s v="S"/>
    <s v="P"/>
    <s v="01"/>
    <s v="04"/>
    <s v="False"/>
    <s v="True"/>
    <s v="U0028179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45"/>
    <x v="80"/>
    <m/>
    <x v="20"/>
    <s v="BONIS SPA"/>
    <s v="STOCK SCAFFALE MP"/>
    <x v="2"/>
    <m/>
    <m/>
    <n v="3"/>
    <s v="01"/>
    <s v="409"/>
    <s v="009"/>
    <s v="00"/>
    <s v="S"/>
    <s v="P"/>
    <s v="01"/>
    <s v="04"/>
    <s v="False"/>
    <s v="True"/>
    <s v="U0032610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45"/>
    <x v="80"/>
    <m/>
    <x v="19"/>
    <s v="BONIS SPA"/>
    <s v="STOCK SCAFFALE MP"/>
    <x v="8"/>
    <m/>
    <m/>
    <n v="6"/>
    <s v="01"/>
    <s v="409"/>
    <s v="009"/>
    <s v="00"/>
    <s v="S"/>
    <s v="P"/>
    <s v="01"/>
    <s v="04"/>
    <s v="False"/>
    <s v="True"/>
    <s v="U0032610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45"/>
    <x v="80"/>
    <m/>
    <x v="8"/>
    <s v="BONIS SPA"/>
    <s v="STOCK SCAFFALE MP"/>
    <x v="8"/>
    <m/>
    <m/>
    <n v="12"/>
    <s v="01"/>
    <s v="409"/>
    <s v="009"/>
    <s v="00"/>
    <s v="S"/>
    <s v="P"/>
    <s v="01"/>
    <s v="04"/>
    <s v="False"/>
    <s v="True"/>
    <s v="U0028174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45"/>
    <x v="80"/>
    <m/>
    <x v="19"/>
    <s v="BONIS SPA"/>
    <s v="STOCK SCAFFALE MP"/>
    <x v="8"/>
    <m/>
    <m/>
    <n v="12"/>
    <s v="01"/>
    <s v="409"/>
    <s v="009"/>
    <s v="00"/>
    <s v="S"/>
    <s v="P"/>
    <s v="01"/>
    <s v="04"/>
    <s v="False"/>
    <s v="True"/>
    <s v="U0028178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9"/>
    <x v="80"/>
    <m/>
    <x v="20"/>
    <s v="BONIS SPA"/>
    <s v="STOCK SCAFFALE MP"/>
    <x v="8"/>
    <m/>
    <m/>
    <n v="12"/>
    <s v="01"/>
    <s v="409"/>
    <s v="007"/>
    <s v="00"/>
    <s v="S"/>
    <s v="P"/>
    <s v="01"/>
    <s v="04"/>
    <s v="False"/>
    <s v="True"/>
    <s v="U0028175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9"/>
    <x v="80"/>
    <m/>
    <x v="18"/>
    <s v="BONIS SPA"/>
    <s v="STOCK SCAFFALE MP"/>
    <x v="10"/>
    <m/>
    <m/>
    <n v="1"/>
    <s v="01"/>
    <s v="409"/>
    <s v="007"/>
    <s v="00"/>
    <s v="S"/>
    <s v="P"/>
    <s v="01"/>
    <s v="04"/>
    <s v="False"/>
    <s v="True"/>
    <s v="U0028177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9"/>
    <x v="80"/>
    <m/>
    <x v="19"/>
    <s v="BONIS SPA"/>
    <s v="STOCK SCAFFALE MP"/>
    <x v="6"/>
    <m/>
    <m/>
    <n v="5"/>
    <s v="01"/>
    <s v="409"/>
    <s v="007"/>
    <s v="00"/>
    <s v="S"/>
    <s v="P"/>
    <s v="01"/>
    <s v="04"/>
    <s v="False"/>
    <s v="True"/>
    <s v="U0028177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9"/>
    <x v="80"/>
    <m/>
    <x v="8"/>
    <s v="BONIS SPA"/>
    <s v="STOCK SCAFFALE MP"/>
    <x v="2"/>
    <m/>
    <m/>
    <n v="1"/>
    <s v="01"/>
    <s v="409"/>
    <s v="007"/>
    <s v="00"/>
    <s v="S"/>
    <s v="P"/>
    <s v="01"/>
    <s v="04"/>
    <s v="False"/>
    <s v="True"/>
    <s v="U0027691"/>
    <n v="1"/>
    <m/>
    <n v="0"/>
    <n v="0"/>
    <m/>
    <s v="SMU"/>
    <m/>
    <m/>
    <m/>
    <m/>
    <m/>
    <m/>
    <s v="106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9"/>
    <x v="80"/>
    <m/>
    <x v="8"/>
    <s v="BONIS SPA"/>
    <s v="STOCK SCAFFALE MP"/>
    <x v="2"/>
    <m/>
    <m/>
    <n v="4"/>
    <s v="01"/>
    <s v="409"/>
    <s v="007"/>
    <s v="00"/>
    <s v="S"/>
    <s v="P"/>
    <s v="01"/>
    <s v="04"/>
    <s v="False"/>
    <s v="True"/>
    <s v="U0028177"/>
    <n v="1"/>
    <m/>
    <n v="0"/>
    <n v="0"/>
    <m/>
    <s v="SMU"/>
    <m/>
    <m/>
    <m/>
    <m/>
    <m/>
    <m/>
    <s v="106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9"/>
    <x v="80"/>
    <m/>
    <x v="9"/>
    <s v="BONIS SPA"/>
    <s v="STOCK SCAFFALE MP"/>
    <x v="2"/>
    <m/>
    <m/>
    <n v="2"/>
    <s v="01"/>
    <s v="409"/>
    <s v="007"/>
    <s v="00"/>
    <s v="S"/>
    <s v="P"/>
    <s v="01"/>
    <s v="04"/>
    <s v="False"/>
    <s v="True"/>
    <s v="U0028177"/>
    <n v="1"/>
    <m/>
    <n v="0"/>
    <n v="0"/>
    <m/>
    <s v="SMU"/>
    <m/>
    <m/>
    <m/>
    <m/>
    <m/>
    <m/>
    <s v="106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9"/>
    <x v="0"/>
    <m/>
    <x v="19"/>
    <s v="BONIS SPA"/>
    <s v="STOCK SCAFFALE MP"/>
    <x v="10"/>
    <m/>
    <m/>
    <n v="8"/>
    <s v="01"/>
    <s v="409"/>
    <s v="007"/>
    <s v="00"/>
    <s v="S"/>
    <s v="P"/>
    <s v="01"/>
    <s v="04"/>
    <s v="False"/>
    <s v="True"/>
    <s v="U0027727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20"/>
    <s v="BONIS SPA"/>
    <s v="STOCK SCAFFALE MP"/>
    <x v="10"/>
    <m/>
    <m/>
    <n v="1"/>
    <s v="01"/>
    <s v="409"/>
    <s v="007"/>
    <s v="00"/>
    <s v="S"/>
    <s v="P"/>
    <s v="01"/>
    <s v="04"/>
    <s v="False"/>
    <s v="True"/>
    <s v="U0027727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9"/>
    <s v="BONIS SPA"/>
    <s v="STOCK SCAFFALE MP"/>
    <x v="10"/>
    <m/>
    <m/>
    <n v="1"/>
    <s v="01"/>
    <s v="409"/>
    <s v="007"/>
    <s v="00"/>
    <s v="S"/>
    <s v="P"/>
    <s v="01"/>
    <s v="04"/>
    <s v="False"/>
    <s v="True"/>
    <s v="U0027727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8"/>
    <s v="BONIS SPA"/>
    <s v="STOCK SCAFFALE MP"/>
    <x v="10"/>
    <m/>
    <m/>
    <n v="2"/>
    <s v="01"/>
    <s v="409"/>
    <s v="007"/>
    <s v="00"/>
    <s v="S"/>
    <s v="P"/>
    <s v="01"/>
    <s v="04"/>
    <s v="False"/>
    <s v="True"/>
    <s v="U0027727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19"/>
    <s v="BONIS SPA"/>
    <s v="STOCK SCAFFALE MP"/>
    <x v="10"/>
    <m/>
    <m/>
    <n v="6"/>
    <s v="01"/>
    <s v="409"/>
    <s v="007"/>
    <s v="00"/>
    <s v="S"/>
    <s v="P"/>
    <s v="01"/>
    <s v="04"/>
    <s v="False"/>
    <s v="True"/>
    <s v="U0027724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9"/>
    <s v="BONIS SPA"/>
    <s v="STOCK SCAFFALE MP"/>
    <x v="10"/>
    <m/>
    <m/>
    <n v="6"/>
    <s v="01"/>
    <s v="409"/>
    <s v="007"/>
    <s v="00"/>
    <s v="S"/>
    <s v="P"/>
    <s v="01"/>
    <s v="04"/>
    <s v="False"/>
    <s v="True"/>
    <s v="U0027724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20"/>
    <s v="BONIS SPA"/>
    <s v="STOCK SCAFFALE MP"/>
    <x v="10"/>
    <m/>
    <m/>
    <n v="12"/>
    <s v="01"/>
    <s v="409"/>
    <s v="007"/>
    <s v="00"/>
    <s v="S"/>
    <s v="P"/>
    <s v="01"/>
    <s v="04"/>
    <s v="False"/>
    <s v="True"/>
    <s v="U0027725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18"/>
    <s v="BONIS SPA"/>
    <s v="STOCK SCAFFALE MP"/>
    <x v="10"/>
    <m/>
    <m/>
    <n v="4"/>
    <s v="01"/>
    <s v="409"/>
    <s v="007"/>
    <s v="00"/>
    <s v="S"/>
    <s v="P"/>
    <s v="01"/>
    <s v="04"/>
    <s v="False"/>
    <s v="True"/>
    <s v="U0027720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19"/>
    <s v="BONIS SPA"/>
    <s v="STOCK SCAFFALE MP"/>
    <x v="10"/>
    <m/>
    <m/>
    <n v="6"/>
    <s v="01"/>
    <s v="409"/>
    <s v="007"/>
    <s v="00"/>
    <s v="S"/>
    <s v="P"/>
    <s v="01"/>
    <s v="04"/>
    <s v="False"/>
    <s v="True"/>
    <s v="U0027720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8"/>
    <s v="BONIS SPA"/>
    <s v="STOCK SCAFFALE MP"/>
    <x v="2"/>
    <m/>
    <m/>
    <n v="7"/>
    <s v="01"/>
    <s v="409"/>
    <s v="007"/>
    <s v="00"/>
    <s v="S"/>
    <s v="P"/>
    <s v="01"/>
    <s v="04"/>
    <s v="False"/>
    <s v="True"/>
    <s v="U0027715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80"/>
    <m/>
    <x v="19"/>
    <s v="BONIS SPA"/>
    <s v="STOCK SCAFFALE MP"/>
    <x v="4"/>
    <m/>
    <m/>
    <n v="3"/>
    <s v="01"/>
    <s v="409"/>
    <s v="007"/>
    <s v="00"/>
    <s v="S"/>
    <s v="P"/>
    <s v="01"/>
    <s v="04"/>
    <s v="False"/>
    <s v="True"/>
    <s v="U0027715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9"/>
    <x v="80"/>
    <m/>
    <x v="18"/>
    <s v="BONIS SPA"/>
    <s v="STOCK SCAFFALE MP"/>
    <x v="4"/>
    <m/>
    <m/>
    <n v="1"/>
    <s v="01"/>
    <s v="409"/>
    <s v="007"/>
    <s v="00"/>
    <s v="S"/>
    <s v="P"/>
    <s v="01"/>
    <s v="04"/>
    <s v="False"/>
    <s v="True"/>
    <s v="U0027715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9"/>
    <x v="0"/>
    <m/>
    <x v="21"/>
    <s v="BONIS SPA"/>
    <s v="STOCK SCAFFALE MP"/>
    <x v="2"/>
    <m/>
    <m/>
    <n v="1"/>
    <s v="01"/>
    <s v="409"/>
    <s v="007"/>
    <s v="00"/>
    <s v="S"/>
    <s v="P"/>
    <s v="01"/>
    <s v="04"/>
    <s v="False"/>
    <s v="True"/>
    <s v="U0023689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19"/>
    <s v="BONIS SPA"/>
    <s v="STOCK SCAFFALE MP"/>
    <x v="2"/>
    <m/>
    <m/>
    <n v="9"/>
    <s v="01"/>
    <s v="409"/>
    <s v="007"/>
    <s v="00"/>
    <s v="S"/>
    <s v="P"/>
    <s v="01"/>
    <s v="04"/>
    <s v="False"/>
    <s v="True"/>
    <s v="U0023689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18"/>
    <s v="BONIS SPA"/>
    <s v="STOCK SCAFFALE MP"/>
    <x v="2"/>
    <m/>
    <m/>
    <n v="2"/>
    <s v="01"/>
    <s v="409"/>
    <s v="007"/>
    <s v="00"/>
    <s v="S"/>
    <s v="P"/>
    <s v="01"/>
    <s v="04"/>
    <s v="False"/>
    <s v="True"/>
    <s v="U0023635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20"/>
    <s v="BONIS SPA"/>
    <s v="STOCK SCAFFALE MP"/>
    <x v="2"/>
    <m/>
    <m/>
    <n v="1"/>
    <s v="01"/>
    <s v="409"/>
    <s v="007"/>
    <s v="00"/>
    <s v="S"/>
    <s v="P"/>
    <s v="01"/>
    <s v="04"/>
    <s v="False"/>
    <s v="True"/>
    <s v="U0027721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9"/>
    <s v="BONIS SPA"/>
    <s v="STOCK SCAFFALE MP"/>
    <x v="2"/>
    <m/>
    <m/>
    <n v="1"/>
    <s v="01"/>
    <s v="409"/>
    <s v="007"/>
    <s v="00"/>
    <s v="S"/>
    <s v="P"/>
    <s v="01"/>
    <s v="04"/>
    <s v="False"/>
    <s v="True"/>
    <s v="U0027721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21"/>
    <s v="BONIS SPA"/>
    <s v="STOCK SCAFFALE MP"/>
    <x v="2"/>
    <m/>
    <m/>
    <n v="2"/>
    <s v="01"/>
    <s v="409"/>
    <s v="007"/>
    <s v="00"/>
    <s v="S"/>
    <s v="P"/>
    <s v="01"/>
    <s v="04"/>
    <s v="False"/>
    <s v="True"/>
    <s v="U0023635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8"/>
    <s v="BONIS SPA"/>
    <s v="STOCK SCAFFALE MP"/>
    <x v="4"/>
    <m/>
    <m/>
    <n v="1"/>
    <s v="01"/>
    <s v="409"/>
    <s v="007"/>
    <s v="00"/>
    <s v="S"/>
    <s v="P"/>
    <s v="01"/>
    <s v="04"/>
    <s v="False"/>
    <s v="True"/>
    <s v="U0027721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8"/>
    <s v="BONIS SPA"/>
    <s v="STOCK SCAFFALE MP"/>
    <x v="4"/>
    <m/>
    <m/>
    <n v="1"/>
    <s v="01"/>
    <s v="409"/>
    <s v="007"/>
    <s v="00"/>
    <s v="S"/>
    <s v="P"/>
    <s v="01"/>
    <s v="04"/>
    <s v="False"/>
    <s v="True"/>
    <s v="U0027728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20"/>
    <s v="BONIS SPA"/>
    <s v="STOCK SCAFFALE MP"/>
    <x v="4"/>
    <m/>
    <m/>
    <n v="4"/>
    <s v="01"/>
    <s v="409"/>
    <s v="007"/>
    <s v="00"/>
    <s v="S"/>
    <s v="P"/>
    <s v="01"/>
    <s v="04"/>
    <s v="False"/>
    <s v="True"/>
    <s v="U002775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18"/>
    <s v="BONIS SPA"/>
    <s v="STOCK SCAFFALE MP"/>
    <x v="4"/>
    <m/>
    <m/>
    <n v="7"/>
    <s v="01"/>
    <s v="409"/>
    <s v="007"/>
    <s v="00"/>
    <s v="S"/>
    <s v="P"/>
    <s v="01"/>
    <s v="04"/>
    <s v="False"/>
    <s v="True"/>
    <s v="U002775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9"/>
    <s v="BONIS SPA"/>
    <s v="STOCK SCAFFALE MP"/>
    <x v="4"/>
    <m/>
    <m/>
    <n v="1"/>
    <s v="01"/>
    <s v="409"/>
    <s v="007"/>
    <s v="00"/>
    <s v="S"/>
    <s v="P"/>
    <s v="01"/>
    <s v="04"/>
    <s v="False"/>
    <s v="True"/>
    <s v="U002775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9"/>
    <s v="BONIS SPA"/>
    <s v="STOCK SCAFFALE MP"/>
    <x v="2"/>
    <m/>
    <m/>
    <n v="4"/>
    <s v="01"/>
    <s v="409"/>
    <s v="007"/>
    <s v="00"/>
    <s v="S"/>
    <s v="P"/>
    <s v="01"/>
    <s v="04"/>
    <s v="False"/>
    <s v="True"/>
    <s v="U0027730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9"/>
    <s v="BONIS SPA"/>
    <s v="STOCK SCAFFALE MP"/>
    <x v="2"/>
    <m/>
    <m/>
    <n v="1"/>
    <s v="01"/>
    <s v="409"/>
    <s v="007"/>
    <s v="00"/>
    <s v="S"/>
    <s v="P"/>
    <s v="01"/>
    <s v="04"/>
    <s v="False"/>
    <s v="True"/>
    <s v="U0027715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9"/>
    <s v="BONIS SPA"/>
    <s v="STOCK SCAFFALE MP"/>
    <x v="2"/>
    <m/>
    <m/>
    <n v="2"/>
    <s v="01"/>
    <s v="409"/>
    <s v="007"/>
    <s v="00"/>
    <s v="S"/>
    <s v="P"/>
    <s v="01"/>
    <s v="04"/>
    <s v="False"/>
    <s v="True"/>
    <s v="U0023689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20"/>
    <s v="BONIS SPA"/>
    <s v="STOCK SCAFFALE MP"/>
    <x v="6"/>
    <m/>
    <m/>
    <n v="2"/>
    <s v="01"/>
    <s v="409"/>
    <s v="007"/>
    <s v="00"/>
    <s v="S"/>
    <s v="P"/>
    <s v="01"/>
    <s v="04"/>
    <s v="False"/>
    <s v="True"/>
    <s v="U0027720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8"/>
    <s v="BONIS SPA"/>
    <s v="STOCK SCAFFALE MP"/>
    <x v="0"/>
    <m/>
    <m/>
    <n v="7"/>
    <s v="01"/>
    <s v="409"/>
    <s v="007"/>
    <s v="00"/>
    <s v="S"/>
    <s v="P"/>
    <s v="01"/>
    <s v="04"/>
    <s v="False"/>
    <s v="True"/>
    <s v="U0027721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9"/>
    <s v="BONIS SPA"/>
    <s v="STOCK SCAFFALE MP"/>
    <x v="6"/>
    <m/>
    <m/>
    <n v="2"/>
    <s v="01"/>
    <s v="409"/>
    <s v="007"/>
    <s v="00"/>
    <s v="S"/>
    <s v="P"/>
    <s v="01"/>
    <s v="04"/>
    <s v="False"/>
    <s v="True"/>
    <s v="U0027721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19"/>
    <s v="BONIS SPA"/>
    <s v="STOCK SCAFFALE MP"/>
    <x v="0"/>
    <m/>
    <m/>
    <n v="8"/>
    <s v="01"/>
    <s v="409"/>
    <s v="007"/>
    <s v="00"/>
    <s v="S"/>
    <s v="P"/>
    <s v="01"/>
    <s v="04"/>
    <s v="False"/>
    <s v="True"/>
    <s v="U0027730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19"/>
    <s v="BONIS SPA"/>
    <s v="STOCK SCAFFALE MP"/>
    <x v="6"/>
    <m/>
    <m/>
    <n v="1"/>
    <s v="01"/>
    <s v="409"/>
    <s v="007"/>
    <s v="00"/>
    <s v="S"/>
    <s v="P"/>
    <s v="01"/>
    <s v="04"/>
    <s v="False"/>
    <s v="True"/>
    <s v="U0032608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20"/>
    <s v="BONIS SPA"/>
    <s v="STOCK SCAFFALE MP"/>
    <x v="6"/>
    <m/>
    <m/>
    <n v="5"/>
    <s v="01"/>
    <s v="409"/>
    <s v="007"/>
    <s v="00"/>
    <s v="S"/>
    <s v="P"/>
    <s v="01"/>
    <s v="04"/>
    <s v="False"/>
    <s v="True"/>
    <s v="U0032608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9"/>
    <s v="BONIS SPA"/>
    <s v="STOCK SCAFFALE MP"/>
    <x v="6"/>
    <m/>
    <m/>
    <n v="6"/>
    <s v="01"/>
    <s v="409"/>
    <s v="007"/>
    <s v="00"/>
    <s v="S"/>
    <s v="P"/>
    <s v="01"/>
    <s v="04"/>
    <s v="False"/>
    <s v="True"/>
    <s v="U0032608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9"/>
    <s v="BONIS SPA"/>
    <s v="STOCK SCAFFALE MP"/>
    <x v="6"/>
    <m/>
    <m/>
    <n v="3"/>
    <s v="01"/>
    <s v="409"/>
    <s v="007"/>
    <s v="00"/>
    <s v="S"/>
    <s v="P"/>
    <s v="01"/>
    <s v="04"/>
    <s v="False"/>
    <s v="True"/>
    <s v="U0027735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8"/>
    <s v="BONIS SPA"/>
    <s v="STOCK SCAFFALE MP"/>
    <x v="6"/>
    <m/>
    <m/>
    <n v="9"/>
    <s v="01"/>
    <s v="409"/>
    <s v="007"/>
    <s v="00"/>
    <s v="S"/>
    <s v="P"/>
    <s v="01"/>
    <s v="04"/>
    <s v="False"/>
    <s v="True"/>
    <s v="U0027735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19"/>
    <s v="BONIS SPA"/>
    <s v="STOCK SCAFFALE MP"/>
    <x v="6"/>
    <m/>
    <m/>
    <n v="12"/>
    <s v="01"/>
    <s v="409"/>
    <s v="007"/>
    <s v="00"/>
    <s v="S"/>
    <s v="P"/>
    <s v="01"/>
    <s v="04"/>
    <s v="False"/>
    <s v="True"/>
    <s v="U002773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18"/>
    <s v="BONIS SPA"/>
    <s v="STOCK SCAFFALE MP"/>
    <x v="6"/>
    <m/>
    <m/>
    <n v="10"/>
    <s v="01"/>
    <s v="409"/>
    <s v="007"/>
    <s v="00"/>
    <s v="S"/>
    <s v="P"/>
    <s v="01"/>
    <s v="04"/>
    <s v="False"/>
    <s v="True"/>
    <s v="U0027732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8"/>
    <s v="BONIS SPA"/>
    <s v="STOCK SCAFFALE MP"/>
    <x v="6"/>
    <m/>
    <m/>
    <n v="2"/>
    <s v="01"/>
    <s v="409"/>
    <s v="007"/>
    <s v="00"/>
    <s v="S"/>
    <s v="P"/>
    <s v="01"/>
    <s v="04"/>
    <s v="False"/>
    <s v="True"/>
    <s v="U0027732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35"/>
    <m/>
    <x v="9"/>
    <s v="BONIS SPA"/>
    <s v="STOCK SCAFFALE MP"/>
    <x v="10"/>
    <m/>
    <m/>
    <n v="8"/>
    <s v="01"/>
    <s v="409"/>
    <s v="007"/>
    <s v="00"/>
    <s v="S"/>
    <s v="P"/>
    <s v="01"/>
    <s v="04"/>
    <s v="False"/>
    <s v="True"/>
    <s v="U0023635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57"/>
    <x v="81"/>
    <m/>
    <x v="19"/>
    <s v="BONIS SPA"/>
    <s v="STOCK SCAFFALE MP"/>
    <x v="2"/>
    <m/>
    <m/>
    <n v="2"/>
    <s v="01"/>
    <s v="409"/>
    <s v="013"/>
    <s v="00"/>
    <s v="S"/>
    <s v="P"/>
    <s v="01"/>
    <s v="04"/>
    <s v="False"/>
    <s v="True"/>
    <s v="U0023713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9"/>
    <s v="BONIS SPA"/>
    <s v="STOCK SCAFFALE MP"/>
    <x v="2"/>
    <m/>
    <m/>
    <n v="2"/>
    <s v="01"/>
    <s v="409"/>
    <s v="013"/>
    <s v="00"/>
    <s v="S"/>
    <s v="P"/>
    <s v="01"/>
    <s v="04"/>
    <s v="False"/>
    <s v="True"/>
    <s v="U0028170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2"/>
    <m/>
    <m/>
    <n v="1"/>
    <s v="01"/>
    <s v="409"/>
    <s v="013"/>
    <s v="00"/>
    <s v="S"/>
    <s v="P"/>
    <s v="01"/>
    <s v="04"/>
    <s v="False"/>
    <s v="True"/>
    <s v="U0028165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4"/>
    <s v="BONIS SPA"/>
    <s v="STOCK SCAFFALE MP"/>
    <x v="2"/>
    <m/>
    <m/>
    <n v="4"/>
    <s v="01"/>
    <s v="409"/>
    <s v="013"/>
    <s v="00"/>
    <s v="S"/>
    <s v="P"/>
    <s v="01"/>
    <s v="04"/>
    <s v="False"/>
    <s v="True"/>
    <s v="U0028170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2"/>
    <m/>
    <m/>
    <n v="2"/>
    <s v="01"/>
    <s v="409"/>
    <s v="013"/>
    <s v="00"/>
    <s v="S"/>
    <s v="P"/>
    <s v="01"/>
    <s v="04"/>
    <s v="False"/>
    <s v="True"/>
    <s v="U0028170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5"/>
    <s v="BONIS SPA"/>
    <s v="STOCK SCAFFALE MP"/>
    <x v="2"/>
    <m/>
    <m/>
    <n v="3"/>
    <s v="01"/>
    <s v="409"/>
    <s v="013"/>
    <s v="00"/>
    <s v="S"/>
    <s v="P"/>
    <s v="01"/>
    <s v="04"/>
    <s v="False"/>
    <s v="True"/>
    <s v="U0028170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7"/>
    <s v="BONIS SPA"/>
    <s v="STOCK SCAFFALE MP"/>
    <x v="2"/>
    <m/>
    <m/>
    <n v="2"/>
    <s v="01"/>
    <s v="409"/>
    <s v="013"/>
    <s v="00"/>
    <s v="S"/>
    <s v="P"/>
    <s v="01"/>
    <s v="04"/>
    <s v="False"/>
    <s v="True"/>
    <s v="U0022773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2"/>
    <m/>
    <m/>
    <n v="2"/>
    <s v="01"/>
    <s v="409"/>
    <s v="013"/>
    <s v="00"/>
    <s v="S"/>
    <s v="P"/>
    <s v="01"/>
    <s v="04"/>
    <s v="False"/>
    <s v="True"/>
    <s v="U0022773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2"/>
    <m/>
    <m/>
    <n v="1"/>
    <s v="01"/>
    <s v="409"/>
    <s v="013"/>
    <s v="00"/>
    <s v="S"/>
    <s v="P"/>
    <s v="01"/>
    <s v="04"/>
    <s v="False"/>
    <s v="True"/>
    <s v="U0032197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2"/>
    <m/>
    <m/>
    <n v="12"/>
    <s v="01"/>
    <s v="409"/>
    <s v="013"/>
    <s v="00"/>
    <s v="S"/>
    <s v="P"/>
    <s v="01"/>
    <s v="04"/>
    <s v="False"/>
    <s v="True"/>
    <s v="U0032606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10"/>
    <m/>
    <m/>
    <n v="1"/>
    <s v="01"/>
    <s v="409"/>
    <s v="013"/>
    <s v="00"/>
    <s v="S"/>
    <s v="P"/>
    <s v="01"/>
    <s v="04"/>
    <s v="False"/>
    <s v="True"/>
    <s v="U0028170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10"/>
    <m/>
    <m/>
    <n v="1"/>
    <s v="01"/>
    <s v="409"/>
    <s v="013"/>
    <s v="00"/>
    <s v="S"/>
    <s v="P"/>
    <s v="01"/>
    <s v="04"/>
    <s v="False"/>
    <s v="True"/>
    <s v="U0023119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10"/>
    <m/>
    <m/>
    <n v="3"/>
    <s v="01"/>
    <s v="409"/>
    <s v="013"/>
    <s v="00"/>
    <s v="S"/>
    <s v="P"/>
    <s v="01"/>
    <s v="04"/>
    <s v="False"/>
    <s v="True"/>
    <s v="U0022773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7"/>
    <s v="BONIS SPA"/>
    <s v="STOCK SCAFFALE MP"/>
    <x v="10"/>
    <m/>
    <m/>
    <n v="4"/>
    <s v="01"/>
    <s v="409"/>
    <s v="013"/>
    <s v="00"/>
    <s v="S"/>
    <s v="P"/>
    <s v="01"/>
    <s v="04"/>
    <s v="False"/>
    <s v="True"/>
    <s v="U0022773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5"/>
    <s v="BONIS SPA"/>
    <s v="STOCK SCAFFALE MP"/>
    <x v="10"/>
    <m/>
    <m/>
    <n v="1"/>
    <s v="01"/>
    <s v="409"/>
    <s v="013"/>
    <s v="00"/>
    <s v="S"/>
    <s v="P"/>
    <s v="01"/>
    <s v="04"/>
    <s v="False"/>
    <s v="True"/>
    <s v="U0022773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7"/>
    <s v="BONIS SPA"/>
    <s v="STOCK SCAFFALE MP"/>
    <x v="8"/>
    <m/>
    <m/>
    <n v="4"/>
    <s v="01"/>
    <s v="409"/>
    <s v="013"/>
    <s v="00"/>
    <s v="S"/>
    <s v="P"/>
    <s v="01"/>
    <s v="04"/>
    <s v="False"/>
    <s v="True"/>
    <s v="U0028156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6"/>
    <s v="BONIS SPA"/>
    <s v="STOCK SCAFFALE MP"/>
    <x v="8"/>
    <m/>
    <m/>
    <n v="2"/>
    <s v="01"/>
    <s v="409"/>
    <s v="013"/>
    <s v="00"/>
    <s v="S"/>
    <s v="P"/>
    <s v="01"/>
    <s v="04"/>
    <s v="False"/>
    <s v="True"/>
    <s v="U0028156"/>
    <n v="1"/>
    <m/>
    <n v="0"/>
    <n v="0"/>
    <m/>
    <s v="SMU"/>
    <m/>
    <m/>
    <m/>
    <m/>
    <m/>
    <m/>
    <s v="F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9"/>
    <s v="BONIS SPA"/>
    <s v="STOCK SCAFFALE MP"/>
    <x v="8"/>
    <m/>
    <m/>
    <n v="1"/>
    <s v="01"/>
    <s v="409"/>
    <s v="013"/>
    <s v="00"/>
    <s v="S"/>
    <s v="P"/>
    <s v="01"/>
    <s v="04"/>
    <s v="False"/>
    <s v="True"/>
    <s v="U0028156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8"/>
    <m/>
    <m/>
    <n v="2"/>
    <s v="01"/>
    <s v="409"/>
    <s v="013"/>
    <s v="00"/>
    <s v="S"/>
    <s v="P"/>
    <s v="01"/>
    <s v="04"/>
    <s v="False"/>
    <s v="True"/>
    <s v="U0028156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8"/>
    <m/>
    <m/>
    <n v="3"/>
    <s v="01"/>
    <s v="409"/>
    <s v="013"/>
    <s v="00"/>
    <s v="S"/>
    <s v="P"/>
    <s v="01"/>
    <s v="04"/>
    <s v="False"/>
    <s v="True"/>
    <s v="U0028171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5"/>
    <s v="BONIS SPA"/>
    <s v="STOCK SCAFFALE MP"/>
    <x v="2"/>
    <m/>
    <m/>
    <n v="6"/>
    <s v="01"/>
    <s v="409"/>
    <s v="013"/>
    <s v="00"/>
    <s v="S"/>
    <s v="P"/>
    <s v="01"/>
    <s v="04"/>
    <s v="False"/>
    <s v="True"/>
    <s v="U0028171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4"/>
    <s v="BONIS SPA"/>
    <s v="STOCK SCAFFALE MP"/>
    <x v="21"/>
    <m/>
    <m/>
    <n v="3"/>
    <s v="01"/>
    <s v="409"/>
    <s v="013"/>
    <s v="00"/>
    <s v="S"/>
    <s v="P"/>
    <s v="01"/>
    <s v="04"/>
    <s v="False"/>
    <s v="True"/>
    <s v="U0028165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7"/>
    <s v="BONIS SPA"/>
    <s v="STOCK SCAFFALE MP"/>
    <x v="21"/>
    <m/>
    <m/>
    <n v="5"/>
    <s v="01"/>
    <s v="409"/>
    <s v="013"/>
    <s v="00"/>
    <s v="S"/>
    <s v="P"/>
    <s v="01"/>
    <s v="04"/>
    <s v="False"/>
    <s v="True"/>
    <s v="U0028165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6"/>
    <s v="BONIS SPA"/>
    <s v="STOCK SCAFFALE MP"/>
    <x v="21"/>
    <m/>
    <m/>
    <n v="1"/>
    <s v="01"/>
    <s v="409"/>
    <s v="013"/>
    <s v="00"/>
    <s v="S"/>
    <s v="P"/>
    <s v="01"/>
    <s v="04"/>
    <s v="False"/>
    <s v="True"/>
    <s v="U0028165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5"/>
    <s v="BONIS SPA"/>
    <s v="STOCK SCAFFALE MP"/>
    <x v="21"/>
    <m/>
    <m/>
    <n v="2"/>
    <s v="01"/>
    <s v="409"/>
    <s v="013"/>
    <s v="00"/>
    <s v="S"/>
    <s v="P"/>
    <s v="01"/>
    <s v="04"/>
    <s v="False"/>
    <s v="True"/>
    <s v="U0028165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5"/>
    <s v="BONIS SPA"/>
    <s v="STOCK SCAFFALE MP"/>
    <x v="21"/>
    <m/>
    <m/>
    <n v="11"/>
    <s v="01"/>
    <s v="409"/>
    <s v="013"/>
    <s v="00"/>
    <s v="S"/>
    <s v="P"/>
    <s v="01"/>
    <s v="04"/>
    <s v="False"/>
    <s v="True"/>
    <s v="U0023119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21"/>
    <m/>
    <m/>
    <n v="12"/>
    <s v="01"/>
    <s v="409"/>
    <s v="013"/>
    <s v="00"/>
    <s v="S"/>
    <s v="P"/>
    <s v="01"/>
    <s v="04"/>
    <s v="False"/>
    <s v="True"/>
    <s v="U0023116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7"/>
    <s v="BONIS SPA"/>
    <s v="STOCK SCAFFALE MP"/>
    <x v="21"/>
    <m/>
    <m/>
    <n v="2"/>
    <s v="01"/>
    <s v="409"/>
    <s v="013"/>
    <s v="00"/>
    <s v="S"/>
    <s v="P"/>
    <s v="01"/>
    <s v="04"/>
    <s v="False"/>
    <s v="True"/>
    <s v="U0032604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7"/>
    <s v="BONIS SPA"/>
    <s v="STOCK SCAFFALE MP"/>
    <x v="21"/>
    <m/>
    <m/>
    <n v="2"/>
    <s v="01"/>
    <s v="409"/>
    <s v="013"/>
    <s v="00"/>
    <s v="S"/>
    <s v="P"/>
    <s v="01"/>
    <s v="04"/>
    <s v="False"/>
    <s v="True"/>
    <s v="U0028182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7"/>
    <s v="BONIS SPA"/>
    <s v="STOCK SCAFFALE MP"/>
    <x v="21"/>
    <m/>
    <m/>
    <n v="1"/>
    <s v="01"/>
    <s v="409"/>
    <s v="013"/>
    <s v="00"/>
    <s v="S"/>
    <s v="P"/>
    <s v="01"/>
    <s v="04"/>
    <s v="False"/>
    <s v="True"/>
    <s v="U0028171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21"/>
    <m/>
    <m/>
    <n v="2"/>
    <s v="01"/>
    <s v="409"/>
    <s v="013"/>
    <s v="00"/>
    <s v="S"/>
    <s v="P"/>
    <s v="01"/>
    <s v="04"/>
    <s v="False"/>
    <s v="True"/>
    <s v="U0028171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8"/>
    <s v="BONIS SPA"/>
    <s v="STOCK SCAFFALE MP"/>
    <x v="21"/>
    <m/>
    <m/>
    <n v="2"/>
    <s v="01"/>
    <s v="409"/>
    <s v="013"/>
    <s v="00"/>
    <s v="S"/>
    <s v="P"/>
    <s v="01"/>
    <s v="04"/>
    <s v="False"/>
    <s v="True"/>
    <s v="U0023771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6"/>
    <s v="BONIS SPA"/>
    <s v="STOCK SCAFFALE MP"/>
    <x v="21"/>
    <m/>
    <m/>
    <n v="12"/>
    <s v="01"/>
    <s v="409"/>
    <s v="013"/>
    <s v="00"/>
    <s v="S"/>
    <s v="P"/>
    <s v="01"/>
    <s v="04"/>
    <s v="False"/>
    <s v="True"/>
    <s v="U0028166"/>
    <n v="1"/>
    <m/>
    <n v="0"/>
    <n v="0"/>
    <m/>
    <s v="SMU"/>
    <m/>
    <m/>
    <m/>
    <m/>
    <m/>
    <m/>
    <s v="F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7"/>
    <s v="BONIS SPA"/>
    <s v="STOCK SCAFFALE MP"/>
    <x v="21"/>
    <m/>
    <m/>
    <n v="4"/>
    <s v="01"/>
    <s v="409"/>
    <s v="013"/>
    <s v="00"/>
    <s v="S"/>
    <s v="P"/>
    <s v="01"/>
    <s v="04"/>
    <s v="False"/>
    <s v="True"/>
    <s v="U0023771"/>
    <n v="1"/>
    <m/>
    <n v="0"/>
    <n v="0"/>
    <m/>
    <s v="SMU"/>
    <m/>
    <m/>
    <m/>
    <m/>
    <m/>
    <m/>
    <s v="F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81"/>
    <m/>
    <x v="16"/>
    <s v="BONIS SPA"/>
    <s v="STOCK SCAFFALE MP"/>
    <x v="21"/>
    <m/>
    <m/>
    <n v="6"/>
    <s v="01"/>
    <s v="409"/>
    <s v="013"/>
    <s v="00"/>
    <s v="S"/>
    <s v="P"/>
    <s v="01"/>
    <s v="04"/>
    <s v="False"/>
    <s v="True"/>
    <s v="U0023771"/>
    <n v="1"/>
    <m/>
    <n v="0"/>
    <n v="0"/>
    <m/>
    <s v="SMU"/>
    <m/>
    <m/>
    <m/>
    <m/>
    <m/>
    <m/>
    <s v="F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7"/>
    <x v="37"/>
    <m/>
    <x v="14"/>
    <s v="BONIS SPA"/>
    <s v="STOCK SCAFFALE MP"/>
    <x v="2"/>
    <m/>
    <m/>
    <n v="3"/>
    <s v="01"/>
    <s v="409"/>
    <s v="013"/>
    <s v="00"/>
    <s v="S"/>
    <s v="P"/>
    <s v="01"/>
    <s v="04"/>
    <s v="False"/>
    <s v="True"/>
    <s v="U0023601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5"/>
    <s v="BONIS SPA"/>
    <s v="STOCK SCAFFALE MP"/>
    <x v="2"/>
    <m/>
    <m/>
    <n v="4"/>
    <s v="01"/>
    <s v="409"/>
    <s v="013"/>
    <s v="00"/>
    <s v="S"/>
    <s v="P"/>
    <s v="01"/>
    <s v="04"/>
    <s v="False"/>
    <s v="True"/>
    <s v="U0023601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6"/>
    <s v="BONIS SPA"/>
    <s v="STOCK SCAFFALE MP"/>
    <x v="2"/>
    <m/>
    <m/>
    <n v="5"/>
    <s v="01"/>
    <s v="409"/>
    <s v="013"/>
    <s v="00"/>
    <s v="S"/>
    <s v="P"/>
    <s v="01"/>
    <s v="04"/>
    <s v="False"/>
    <s v="True"/>
    <s v="U0023601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6"/>
    <s v="BONIS SPA"/>
    <s v="STOCK SCAFFALE MP"/>
    <x v="2"/>
    <m/>
    <m/>
    <n v="2"/>
    <s v="01"/>
    <s v="409"/>
    <s v="013"/>
    <s v="00"/>
    <s v="S"/>
    <s v="P"/>
    <s v="01"/>
    <s v="04"/>
    <s v="False"/>
    <s v="True"/>
    <s v="U0028182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7"/>
    <s v="BONIS SPA"/>
    <s v="STOCK SCAFFALE MP"/>
    <x v="2"/>
    <m/>
    <m/>
    <n v="7"/>
    <s v="01"/>
    <s v="409"/>
    <s v="013"/>
    <s v="00"/>
    <s v="S"/>
    <s v="P"/>
    <s v="01"/>
    <s v="04"/>
    <s v="False"/>
    <s v="True"/>
    <s v="U0028182"/>
    <n v="1"/>
    <m/>
    <n v="0"/>
    <n v="0"/>
    <m/>
    <s v="SMU"/>
    <m/>
    <m/>
    <m/>
    <m/>
    <m/>
    <m/>
    <s v="F06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8"/>
    <s v="BONIS SPA"/>
    <s v="STOCK SCAFFALE MP"/>
    <x v="2"/>
    <m/>
    <m/>
    <n v="1"/>
    <s v="01"/>
    <s v="409"/>
    <s v="013"/>
    <s v="00"/>
    <s v="S"/>
    <s v="P"/>
    <s v="01"/>
    <s v="04"/>
    <s v="False"/>
    <s v="True"/>
    <s v="U0028182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8"/>
    <s v="BONIS SPA"/>
    <s v="STOCK SCAFFALE MP"/>
    <x v="4"/>
    <m/>
    <m/>
    <n v="12"/>
    <s v="01"/>
    <s v="409"/>
    <s v="013"/>
    <s v="00"/>
    <s v="S"/>
    <s v="P"/>
    <s v="01"/>
    <s v="04"/>
    <s v="False"/>
    <s v="True"/>
    <s v="U0027689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7"/>
    <s v="BONIS SPA"/>
    <s v="STOCK SCAFFALE MP"/>
    <x v="21"/>
    <m/>
    <m/>
    <n v="6"/>
    <s v="01"/>
    <s v="409"/>
    <s v="013"/>
    <s v="00"/>
    <s v="S"/>
    <s v="P"/>
    <s v="01"/>
    <s v="04"/>
    <s v="False"/>
    <s v="True"/>
    <s v="U0027712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8"/>
    <s v="BONIS SPA"/>
    <s v="STOCK SCAFFALE MP"/>
    <x v="21"/>
    <m/>
    <m/>
    <n v="3"/>
    <s v="01"/>
    <s v="409"/>
    <s v="013"/>
    <s v="00"/>
    <s v="S"/>
    <s v="P"/>
    <s v="01"/>
    <s v="04"/>
    <s v="False"/>
    <s v="True"/>
    <s v="U0027712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9"/>
    <s v="BONIS SPA"/>
    <s v="STOCK SCAFFALE MP"/>
    <x v="21"/>
    <m/>
    <m/>
    <n v="3"/>
    <s v="01"/>
    <s v="409"/>
    <s v="013"/>
    <s v="00"/>
    <s v="S"/>
    <s v="P"/>
    <s v="01"/>
    <s v="04"/>
    <s v="False"/>
    <s v="True"/>
    <s v="U0027712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7"/>
    <s v="BONIS SPA"/>
    <s v="STOCK SCAFFALE MP"/>
    <x v="21"/>
    <m/>
    <m/>
    <n v="1"/>
    <s v="01"/>
    <s v="409"/>
    <s v="013"/>
    <s v="00"/>
    <s v="S"/>
    <s v="P"/>
    <s v="01"/>
    <s v="04"/>
    <s v="False"/>
    <s v="True"/>
    <s v="U0023713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6"/>
    <s v="BONIS SPA"/>
    <s v="STOCK SCAFFALE MP"/>
    <x v="21"/>
    <m/>
    <m/>
    <n v="7"/>
    <s v="01"/>
    <s v="409"/>
    <s v="013"/>
    <s v="00"/>
    <s v="S"/>
    <s v="P"/>
    <s v="01"/>
    <s v="04"/>
    <s v="False"/>
    <s v="True"/>
    <s v="U0023713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5"/>
    <s v="BONIS SPA"/>
    <s v="STOCK SCAFFALE MP"/>
    <x v="21"/>
    <m/>
    <m/>
    <n v="2"/>
    <s v="01"/>
    <s v="409"/>
    <s v="013"/>
    <s v="00"/>
    <s v="S"/>
    <s v="P"/>
    <s v="01"/>
    <s v="04"/>
    <s v="False"/>
    <s v="True"/>
    <s v="U0023713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6"/>
    <s v="BONIS SPA"/>
    <s v="STOCK SCAFFALE MP"/>
    <x v="10"/>
    <m/>
    <m/>
    <n v="10"/>
    <s v="01"/>
    <s v="409"/>
    <s v="013"/>
    <s v="00"/>
    <s v="S"/>
    <s v="P"/>
    <s v="01"/>
    <s v="04"/>
    <s v="False"/>
    <s v="True"/>
    <s v="U0032604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8"/>
    <s v="BONIS SPA"/>
    <s v="STOCK SCAFFALE MP"/>
    <x v="2"/>
    <m/>
    <m/>
    <n v="3"/>
    <s v="01"/>
    <s v="409"/>
    <s v="013"/>
    <s v="00"/>
    <s v="S"/>
    <s v="P"/>
    <s v="01"/>
    <s v="04"/>
    <s v="False"/>
    <s v="True"/>
    <s v="U0028156"/>
    <n v="1"/>
    <m/>
    <n v="0"/>
    <n v="0"/>
    <m/>
    <s v="SMU"/>
    <m/>
    <m/>
    <m/>
    <m/>
    <m/>
    <m/>
    <s v="106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9"/>
    <s v="BONIS SPA"/>
    <s v="STOCK SCAFFALE MP"/>
    <x v="4"/>
    <m/>
    <m/>
    <n v="12"/>
    <s v="01"/>
    <s v="409"/>
    <s v="013"/>
    <s v="00"/>
    <s v="S"/>
    <s v="P"/>
    <s v="01"/>
    <s v="04"/>
    <s v="False"/>
    <s v="True"/>
    <s v="U0023696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39"/>
    <x v="37"/>
    <m/>
    <x v="18"/>
    <s v="BONIS SPA"/>
    <s v="STOCK SCAFFALE MP"/>
    <x v="4"/>
    <m/>
    <m/>
    <n v="2"/>
    <s v="01"/>
    <s v="409"/>
    <s v="007"/>
    <s v="00"/>
    <s v="S"/>
    <s v="P"/>
    <s v="01"/>
    <s v="04"/>
    <s v="False"/>
    <s v="True"/>
    <s v="U0027691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39"/>
    <x v="37"/>
    <m/>
    <x v="17"/>
    <s v="BONIS SPA"/>
    <s v="STOCK SCAFFALE MP"/>
    <x v="4"/>
    <m/>
    <m/>
    <n v="7"/>
    <s v="01"/>
    <s v="409"/>
    <s v="007"/>
    <s v="00"/>
    <s v="S"/>
    <s v="P"/>
    <s v="01"/>
    <s v="04"/>
    <s v="False"/>
    <s v="True"/>
    <s v="U0027691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7"/>
    <x v="37"/>
    <m/>
    <x v="15"/>
    <s v="BONIS SPA"/>
    <s v="STOCK SCAFFALE MP"/>
    <x v="10"/>
    <m/>
    <m/>
    <n v="12"/>
    <s v="01"/>
    <s v="409"/>
    <s v="013"/>
    <s v="00"/>
    <s v="S"/>
    <s v="P"/>
    <s v="01"/>
    <s v="04"/>
    <s v="False"/>
    <s v="True"/>
    <s v="U0023711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4"/>
    <x v="37"/>
    <m/>
    <x v="17"/>
    <s v="BONIS SPA"/>
    <s v="STOCK SCAFFALE MP"/>
    <x v="10"/>
    <m/>
    <m/>
    <n v="11"/>
    <s v="01"/>
    <s v="409"/>
    <s v="012"/>
    <s v="00"/>
    <s v="S"/>
    <s v="P"/>
    <s v="01"/>
    <s v="04"/>
    <s v="False"/>
    <s v="True"/>
    <s v="U0027688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4"/>
    <x v="37"/>
    <m/>
    <x v="18"/>
    <s v="BONIS SPA"/>
    <s v="STOCK SCAFFALE MP"/>
    <x v="10"/>
    <m/>
    <m/>
    <n v="12"/>
    <s v="01"/>
    <s v="409"/>
    <s v="012"/>
    <s v="00"/>
    <s v="S"/>
    <s v="P"/>
    <s v="01"/>
    <s v="04"/>
    <s v="False"/>
    <s v="True"/>
    <s v="U0028184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4"/>
    <x v="37"/>
    <m/>
    <x v="16"/>
    <s v="BONIS SPA"/>
    <s v="STOCK SCAFFALE MP"/>
    <x v="8"/>
    <m/>
    <m/>
    <n v="5"/>
    <s v="01"/>
    <s v="409"/>
    <s v="012"/>
    <s v="00"/>
    <s v="S"/>
    <s v="P"/>
    <s v="01"/>
    <s v="04"/>
    <s v="False"/>
    <s v="True"/>
    <s v="U0023166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4"/>
    <x v="37"/>
    <m/>
    <x v="17"/>
    <s v="BONIS SPA"/>
    <s v="STOCK SCAFFALE MP"/>
    <x v="8"/>
    <m/>
    <m/>
    <n v="4"/>
    <s v="01"/>
    <s v="409"/>
    <s v="012"/>
    <s v="00"/>
    <s v="S"/>
    <s v="P"/>
    <s v="01"/>
    <s v="04"/>
    <s v="False"/>
    <s v="True"/>
    <s v="U0023166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4"/>
    <x v="37"/>
    <m/>
    <x v="18"/>
    <s v="BONIS SPA"/>
    <s v="STOCK SCAFFALE MP"/>
    <x v="8"/>
    <m/>
    <m/>
    <n v="2"/>
    <s v="01"/>
    <s v="409"/>
    <s v="012"/>
    <s v="00"/>
    <s v="S"/>
    <s v="P"/>
    <s v="01"/>
    <s v="04"/>
    <s v="False"/>
    <s v="True"/>
    <s v="U0023166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30"/>
    <x v="37"/>
    <m/>
    <x v="19"/>
    <s v="BONIS SPA"/>
    <s v="STOCK SCAFFALE MP"/>
    <x v="10"/>
    <m/>
    <m/>
    <n v="2"/>
    <s v="01"/>
    <s v="409"/>
    <s v="004"/>
    <s v="00"/>
    <s v="S"/>
    <s v="P"/>
    <s v="01"/>
    <s v="04"/>
    <s v="False"/>
    <s v="True"/>
    <s v="U0028105"/>
    <n v="1"/>
    <m/>
    <n v="0"/>
    <n v="0"/>
    <m/>
    <s v="SMU"/>
    <m/>
    <m/>
    <m/>
    <m/>
    <m/>
    <m/>
    <s v="106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30"/>
    <x v="37"/>
    <m/>
    <x v="19"/>
    <s v="BONIS SPA"/>
    <s v="STOCK SCAFFALE MP"/>
    <x v="10"/>
    <m/>
    <m/>
    <n v="3"/>
    <s v="01"/>
    <s v="409"/>
    <s v="004"/>
    <s v="00"/>
    <s v="S"/>
    <s v="P"/>
    <s v="01"/>
    <s v="04"/>
    <s v="False"/>
    <s v="True"/>
    <s v="U0028111"/>
    <n v="1"/>
    <m/>
    <n v="0"/>
    <n v="0"/>
    <m/>
    <s v="SMU"/>
    <m/>
    <m/>
    <m/>
    <m/>
    <m/>
    <m/>
    <s v="106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30"/>
    <x v="37"/>
    <m/>
    <x v="19"/>
    <s v="BONIS SPA"/>
    <s v="STOCK SCAFFALE MP"/>
    <x v="10"/>
    <m/>
    <m/>
    <n v="1"/>
    <s v="01"/>
    <s v="409"/>
    <s v="004"/>
    <s v="00"/>
    <s v="S"/>
    <s v="P"/>
    <s v="01"/>
    <s v="04"/>
    <s v="False"/>
    <s v="True"/>
    <s v="U0028114"/>
    <n v="1"/>
    <m/>
    <n v="0"/>
    <n v="0"/>
    <m/>
    <s v="SMU"/>
    <m/>
    <m/>
    <m/>
    <m/>
    <m/>
    <m/>
    <s v="106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4"/>
    <x v="37"/>
    <m/>
    <x v="19"/>
    <s v="BONIS SPA"/>
    <s v="STOCK SCAFFALE MP"/>
    <x v="10"/>
    <m/>
    <m/>
    <n v="1"/>
    <s v="01"/>
    <s v="409"/>
    <s v="012"/>
    <s v="00"/>
    <s v="S"/>
    <s v="P"/>
    <s v="01"/>
    <s v="04"/>
    <s v="False"/>
    <s v="True"/>
    <s v="U0028097"/>
    <n v="1"/>
    <m/>
    <n v="0"/>
    <n v="0"/>
    <m/>
    <s v="SMU"/>
    <m/>
    <m/>
    <m/>
    <m/>
    <m/>
    <m/>
    <s v="106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4"/>
    <x v="81"/>
    <m/>
    <x v="16"/>
    <s v="BONIS SPA"/>
    <s v="STOCK SCAFFALE MP"/>
    <x v="4"/>
    <m/>
    <m/>
    <n v="1"/>
    <s v="01"/>
    <s v="409"/>
    <s v="012"/>
    <s v="00"/>
    <s v="S"/>
    <s v="P"/>
    <s v="01"/>
    <s v="04"/>
    <s v="False"/>
    <s v="True"/>
    <s v="U0028097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54"/>
    <x v="37"/>
    <m/>
    <x v="15"/>
    <s v="BONIS SPA"/>
    <s v="STOCK SCAFFALE MP"/>
    <x v="10"/>
    <m/>
    <m/>
    <n v="1"/>
    <s v="01"/>
    <s v="409"/>
    <s v="012"/>
    <s v="00"/>
    <s v="S"/>
    <s v="P"/>
    <s v="01"/>
    <s v="04"/>
    <s v="False"/>
    <s v="True"/>
    <s v="U0028097"/>
    <n v="1"/>
    <m/>
    <n v="0"/>
    <n v="0"/>
    <m/>
    <s v="SMU"/>
    <m/>
    <m/>
    <m/>
    <m/>
    <m/>
    <m/>
    <s v="106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4"/>
    <x v="37"/>
    <m/>
    <x v="14"/>
    <s v="BONIS SPA"/>
    <s v="STOCK SCAFFALE MP"/>
    <x v="10"/>
    <m/>
    <m/>
    <n v="3"/>
    <s v="01"/>
    <s v="409"/>
    <s v="012"/>
    <s v="00"/>
    <s v="S"/>
    <s v="P"/>
    <s v="01"/>
    <s v="04"/>
    <s v="False"/>
    <s v="True"/>
    <s v="U0028097"/>
    <n v="1"/>
    <m/>
    <n v="0"/>
    <n v="0"/>
    <m/>
    <s v="SMU"/>
    <m/>
    <m/>
    <m/>
    <m/>
    <m/>
    <m/>
    <s v="106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4"/>
    <x v="37"/>
    <m/>
    <x v="14"/>
    <s v="BONIS SPA"/>
    <s v="STOCK SCAFFALE MP"/>
    <x v="8"/>
    <m/>
    <m/>
    <n v="2"/>
    <s v="01"/>
    <s v="409"/>
    <s v="012"/>
    <s v="00"/>
    <s v="S"/>
    <s v="P"/>
    <s v="01"/>
    <s v="04"/>
    <s v="False"/>
    <s v="True"/>
    <s v="U0023164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4"/>
    <x v="37"/>
    <m/>
    <x v="15"/>
    <s v="BONIS SPA"/>
    <s v="STOCK SCAFFALE MP"/>
    <x v="8"/>
    <m/>
    <m/>
    <n v="5"/>
    <s v="01"/>
    <s v="409"/>
    <s v="012"/>
    <s v="00"/>
    <s v="S"/>
    <s v="P"/>
    <s v="01"/>
    <s v="04"/>
    <s v="False"/>
    <s v="True"/>
    <s v="U0023164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54"/>
    <x v="37"/>
    <m/>
    <x v="16"/>
    <s v="BONIS SPA"/>
    <s v="STOCK SCAFFALE MP"/>
    <x v="8"/>
    <m/>
    <m/>
    <n v="3"/>
    <s v="01"/>
    <s v="409"/>
    <s v="012"/>
    <s v="00"/>
    <s v="S"/>
    <s v="P"/>
    <s v="01"/>
    <s v="04"/>
    <s v="False"/>
    <s v="True"/>
    <s v="U0023164"/>
    <n v="1"/>
    <m/>
    <n v="0"/>
    <n v="0"/>
    <m/>
    <s v="SMU"/>
    <m/>
    <m/>
    <m/>
    <m/>
    <m/>
    <m/>
    <s v="F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27"/>
    <x v="35"/>
    <m/>
    <x v="19"/>
    <s v="BONIS SPA"/>
    <s v="STOCK SCAFFALE MP"/>
    <x v="8"/>
    <m/>
    <m/>
    <n v="4"/>
    <s v="01"/>
    <s v="409"/>
    <s v="003"/>
    <s v="00"/>
    <s v="S"/>
    <s v="P"/>
    <s v="01"/>
    <s v="04"/>
    <s v="False"/>
    <s v="True"/>
    <s v="U0028139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18"/>
    <s v="BONIS SPA"/>
    <s v="STOCK SCAFFALE MP"/>
    <x v="2"/>
    <m/>
    <m/>
    <n v="1"/>
    <s v="01"/>
    <s v="409"/>
    <s v="003"/>
    <s v="00"/>
    <s v="S"/>
    <s v="P"/>
    <s v="01"/>
    <s v="04"/>
    <s v="False"/>
    <s v="True"/>
    <s v="U0028139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8"/>
    <s v="BONIS SPA"/>
    <s v="STOCK SCAFFALE MP"/>
    <x v="2"/>
    <m/>
    <m/>
    <n v="1"/>
    <s v="01"/>
    <s v="409"/>
    <s v="003"/>
    <s v="00"/>
    <s v="S"/>
    <s v="P"/>
    <s v="01"/>
    <s v="04"/>
    <s v="False"/>
    <s v="True"/>
    <s v="U0028139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19"/>
    <s v="BONIS SPA"/>
    <s v="STOCK SCAFFALE MP"/>
    <x v="2"/>
    <m/>
    <m/>
    <n v="2"/>
    <s v="01"/>
    <s v="409"/>
    <s v="003"/>
    <s v="00"/>
    <s v="S"/>
    <s v="P"/>
    <s v="01"/>
    <s v="04"/>
    <s v="False"/>
    <s v="True"/>
    <s v="U0028139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19"/>
    <s v="BONIS SPA"/>
    <s v="STOCK SCAFFALE MP"/>
    <x v="2"/>
    <m/>
    <m/>
    <n v="6"/>
    <s v="01"/>
    <s v="409"/>
    <s v="003"/>
    <s v="00"/>
    <s v="S"/>
    <s v="P"/>
    <s v="01"/>
    <s v="04"/>
    <s v="False"/>
    <s v="True"/>
    <s v="U0028140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9"/>
    <s v="BONIS SPA"/>
    <s v="STOCK SCAFFALE MP"/>
    <x v="2"/>
    <m/>
    <m/>
    <n v="4"/>
    <s v="01"/>
    <s v="409"/>
    <s v="003"/>
    <s v="00"/>
    <s v="S"/>
    <s v="P"/>
    <s v="01"/>
    <s v="04"/>
    <s v="False"/>
    <s v="True"/>
    <s v="U0028140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8"/>
    <s v="BONIS SPA"/>
    <s v="STOCK SCAFFALE MP"/>
    <x v="2"/>
    <m/>
    <m/>
    <n v="2"/>
    <s v="01"/>
    <s v="409"/>
    <s v="003"/>
    <s v="00"/>
    <s v="S"/>
    <s v="P"/>
    <s v="01"/>
    <s v="04"/>
    <s v="False"/>
    <s v="True"/>
    <s v="U0028140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18"/>
    <s v="BONIS SPA"/>
    <s v="STOCK SCAFFALE MP"/>
    <x v="8"/>
    <m/>
    <m/>
    <n v="10"/>
    <s v="01"/>
    <s v="409"/>
    <s v="003"/>
    <s v="00"/>
    <s v="S"/>
    <s v="P"/>
    <s v="01"/>
    <s v="04"/>
    <s v="False"/>
    <s v="True"/>
    <s v="U0028141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19"/>
    <s v="BONIS SPA"/>
    <s v="STOCK SCAFFALE MP"/>
    <x v="8"/>
    <m/>
    <m/>
    <n v="2"/>
    <s v="01"/>
    <s v="409"/>
    <s v="003"/>
    <s v="00"/>
    <s v="S"/>
    <s v="P"/>
    <s v="01"/>
    <s v="04"/>
    <s v="False"/>
    <s v="True"/>
    <s v="U0028141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20"/>
    <s v="BONIS SPA"/>
    <s v="STOCK SCAFFALE MP"/>
    <x v="8"/>
    <m/>
    <m/>
    <n v="8"/>
    <s v="01"/>
    <s v="409"/>
    <s v="003"/>
    <s v="00"/>
    <s v="S"/>
    <s v="P"/>
    <s v="01"/>
    <s v="04"/>
    <s v="False"/>
    <s v="True"/>
    <s v="U0023161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8"/>
    <s v="BONIS SPA"/>
    <s v="STOCK SCAFFALE MP"/>
    <x v="8"/>
    <m/>
    <m/>
    <n v="11"/>
    <s v="01"/>
    <s v="409"/>
    <s v="003"/>
    <s v="00"/>
    <s v="S"/>
    <s v="P"/>
    <s v="01"/>
    <s v="04"/>
    <s v="False"/>
    <s v="True"/>
    <s v="U0028134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9"/>
    <x v="35"/>
    <m/>
    <x v="9"/>
    <s v="BONIS SPA"/>
    <s v="STOCK SCAFFALE MP"/>
    <x v="2"/>
    <m/>
    <m/>
    <n v="4"/>
    <s v="01"/>
    <s v="409"/>
    <s v="007"/>
    <s v="00"/>
    <s v="S"/>
    <s v="P"/>
    <s v="01"/>
    <s v="04"/>
    <s v="False"/>
    <s v="True"/>
    <s v="U0032600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9"/>
    <x v="35"/>
    <m/>
    <x v="8"/>
    <s v="BONIS SPA"/>
    <s v="STOCK SCAFFALE MP"/>
    <x v="2"/>
    <m/>
    <m/>
    <n v="4"/>
    <s v="01"/>
    <s v="409"/>
    <s v="007"/>
    <s v="00"/>
    <s v="S"/>
    <s v="P"/>
    <s v="01"/>
    <s v="04"/>
    <s v="False"/>
    <s v="True"/>
    <s v="U0032600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20"/>
    <s v="BONIS SPA"/>
    <s v="STOCK SCAFFALE MP"/>
    <x v="2"/>
    <m/>
    <m/>
    <n v="11"/>
    <s v="01"/>
    <s v="409"/>
    <s v="003"/>
    <s v="00"/>
    <s v="S"/>
    <s v="P"/>
    <s v="01"/>
    <s v="04"/>
    <s v="False"/>
    <s v="True"/>
    <s v="U0032601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9"/>
    <s v="BONIS SPA"/>
    <s v="STOCK SCAFFALE MP"/>
    <x v="2"/>
    <m/>
    <m/>
    <n v="1"/>
    <s v="01"/>
    <s v="409"/>
    <s v="003"/>
    <s v="00"/>
    <s v="S"/>
    <s v="P"/>
    <s v="01"/>
    <s v="04"/>
    <s v="False"/>
    <s v="True"/>
    <s v="U0032601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20"/>
    <s v="BONIS SPA"/>
    <s v="STOCK SCAFFALE MP"/>
    <x v="8"/>
    <m/>
    <m/>
    <n v="6"/>
    <s v="01"/>
    <s v="409"/>
    <s v="003"/>
    <s v="00"/>
    <s v="S"/>
    <s v="P"/>
    <s v="01"/>
    <s v="04"/>
    <s v="False"/>
    <s v="True"/>
    <s v="U0028131"/>
    <n v="1"/>
    <m/>
    <n v="0"/>
    <n v="0"/>
    <m/>
    <s v="SMU"/>
    <m/>
    <m/>
    <m/>
    <m/>
    <m/>
    <m/>
    <s v="F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9"/>
    <s v="BONIS SPA"/>
    <s v="STOCK SCAFFALE MP"/>
    <x v="8"/>
    <m/>
    <m/>
    <n v="5"/>
    <s v="01"/>
    <s v="409"/>
    <s v="003"/>
    <s v="00"/>
    <s v="S"/>
    <s v="P"/>
    <s v="01"/>
    <s v="04"/>
    <s v="False"/>
    <s v="True"/>
    <s v="U0023581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9"/>
    <s v="BONIS SPA"/>
    <s v="STOCK SCAFFALE MP"/>
    <x v="8"/>
    <m/>
    <m/>
    <n v="5"/>
    <s v="01"/>
    <s v="409"/>
    <s v="003"/>
    <s v="00"/>
    <s v="S"/>
    <s v="P"/>
    <s v="01"/>
    <s v="04"/>
    <s v="False"/>
    <s v="True"/>
    <s v="U0028131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19"/>
    <s v="BONIS SPA"/>
    <s v="STOCK SCAFFALE MP"/>
    <x v="8"/>
    <m/>
    <m/>
    <n v="10"/>
    <s v="01"/>
    <s v="409"/>
    <s v="003"/>
    <s v="00"/>
    <s v="S"/>
    <s v="P"/>
    <s v="01"/>
    <s v="04"/>
    <s v="False"/>
    <s v="True"/>
    <s v="U0023632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9"/>
    <s v="BONIS SPA"/>
    <s v="STOCK SCAFFALE MP"/>
    <x v="0"/>
    <m/>
    <m/>
    <n v="9"/>
    <s v="01"/>
    <s v="409"/>
    <s v="003"/>
    <s v="00"/>
    <s v="S"/>
    <s v="P"/>
    <s v="01"/>
    <s v="04"/>
    <s v="False"/>
    <s v="True"/>
    <s v="U002814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9"/>
    <s v="BONIS SPA"/>
    <s v="STOCK SCAFFALE MP"/>
    <x v="0"/>
    <m/>
    <m/>
    <n v="1"/>
    <s v="01"/>
    <s v="409"/>
    <s v="003"/>
    <s v="00"/>
    <s v="S"/>
    <s v="P"/>
    <s v="01"/>
    <s v="04"/>
    <s v="False"/>
    <s v="True"/>
    <s v="U0023581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8"/>
    <s v="BONIS SPA"/>
    <s v="STOCK SCAFFALE MP"/>
    <x v="10"/>
    <m/>
    <m/>
    <n v="1"/>
    <s v="01"/>
    <s v="409"/>
    <s v="003"/>
    <s v="00"/>
    <s v="S"/>
    <s v="P"/>
    <s v="01"/>
    <s v="04"/>
    <s v="False"/>
    <s v="True"/>
    <s v="U0023581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21"/>
    <s v="BONIS SPA"/>
    <s v="STOCK SCAFFALE MP"/>
    <x v="0"/>
    <m/>
    <m/>
    <n v="2"/>
    <s v="01"/>
    <s v="409"/>
    <s v="003"/>
    <s v="00"/>
    <s v="S"/>
    <s v="P"/>
    <s v="01"/>
    <s v="04"/>
    <s v="False"/>
    <s v="True"/>
    <s v="U0023581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18"/>
    <s v="BONIS SPA"/>
    <s v="STOCK SCAFFALE MP"/>
    <x v="0"/>
    <m/>
    <m/>
    <n v="3"/>
    <s v="01"/>
    <s v="409"/>
    <s v="003"/>
    <s v="00"/>
    <s v="S"/>
    <s v="P"/>
    <s v="01"/>
    <s v="04"/>
    <s v="False"/>
    <s v="True"/>
    <s v="U0023581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19"/>
    <s v="BONIS SPA"/>
    <s v="STOCK SCAFFALE MP"/>
    <x v="0"/>
    <m/>
    <m/>
    <n v="5"/>
    <s v="01"/>
    <s v="409"/>
    <s v="003"/>
    <s v="00"/>
    <s v="S"/>
    <s v="P"/>
    <s v="01"/>
    <s v="04"/>
    <s v="False"/>
    <s v="True"/>
    <s v="U0032599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20"/>
    <s v="BONIS SPA"/>
    <s v="STOCK SCAFFALE MP"/>
    <x v="0"/>
    <m/>
    <m/>
    <n v="6"/>
    <s v="01"/>
    <s v="409"/>
    <s v="003"/>
    <s v="00"/>
    <s v="S"/>
    <s v="P"/>
    <s v="01"/>
    <s v="04"/>
    <s v="False"/>
    <s v="True"/>
    <s v="U0032599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0"/>
    <x v="37"/>
    <m/>
    <x v="19"/>
    <s v="BONIS SPA"/>
    <s v="STOCK SCAFFALE MP"/>
    <x v="8"/>
    <m/>
    <m/>
    <n v="1"/>
    <s v="01"/>
    <s v="409"/>
    <s v="004"/>
    <s v="00"/>
    <s v="S"/>
    <s v="P"/>
    <s v="01"/>
    <s v="04"/>
    <s v="False"/>
    <s v="True"/>
    <s v="U0032598"/>
    <n v="1"/>
    <m/>
    <n v="0"/>
    <n v="0"/>
    <m/>
    <s v="SMU"/>
    <m/>
    <m/>
    <m/>
    <m/>
    <m/>
    <m/>
    <s v="P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30"/>
    <x v="37"/>
    <m/>
    <x v="18"/>
    <s v="BONIS SPA"/>
    <s v="STOCK SCAFFALE MP"/>
    <x v="8"/>
    <m/>
    <m/>
    <n v="2"/>
    <s v="01"/>
    <s v="409"/>
    <s v="004"/>
    <s v="00"/>
    <s v="S"/>
    <s v="P"/>
    <s v="01"/>
    <s v="04"/>
    <s v="False"/>
    <s v="True"/>
    <s v="U0032598"/>
    <n v="1"/>
    <m/>
    <n v="0"/>
    <n v="0"/>
    <m/>
    <s v="SMU"/>
    <m/>
    <m/>
    <m/>
    <m/>
    <m/>
    <m/>
    <s v="P11"/>
    <s v="WOMAN"/>
    <s v="PA"/>
    <m/>
    <m/>
    <m/>
    <m/>
    <s v="False"/>
    <m/>
    <s v="SOLAD"/>
    <m/>
    <m/>
    <m/>
    <m/>
    <m/>
    <m/>
    <s v="PF"/>
    <n v="0"/>
    <n v="0"/>
    <n v="0"/>
    <n v="0"/>
    <n v="0"/>
    <s v="S.CADEW  TWILL CANVAS"/>
    <s v="Bonis SpA"/>
    <m/>
    <m/>
    <m/>
    <m/>
    <m/>
    <m/>
    <m/>
    <m/>
    <m/>
    <m/>
    <m/>
    <m/>
  </r>
  <r>
    <m/>
    <n v="2527"/>
    <x v="35"/>
    <m/>
    <x v="8"/>
    <s v="BONIS SPA"/>
    <s v="STOCK SCAFFALE MP"/>
    <x v="4"/>
    <m/>
    <m/>
    <n v="8"/>
    <s v="01"/>
    <s v="409"/>
    <s v="003"/>
    <s v="00"/>
    <s v="S"/>
    <s v="P"/>
    <s v="01"/>
    <s v="04"/>
    <s v="False"/>
    <s v="True"/>
    <s v="U0028127"/>
    <n v="1"/>
    <m/>
    <n v="0"/>
    <n v="0"/>
    <m/>
    <s v="SMU"/>
    <m/>
    <m/>
    <m/>
    <m/>
    <m/>
    <m/>
    <s v="P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18"/>
    <s v="BONIS SPA"/>
    <s v="STOCK SCAFFALE MP"/>
    <x v="10"/>
    <m/>
    <m/>
    <n v="2"/>
    <s v="01"/>
    <s v="409"/>
    <s v="003"/>
    <s v="00"/>
    <s v="S"/>
    <s v="P"/>
    <s v="01"/>
    <s v="04"/>
    <s v="False"/>
    <s v="True"/>
    <s v="U002812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20"/>
    <s v="BONIS SPA"/>
    <s v="STOCK SCAFFALE MP"/>
    <x v="4"/>
    <m/>
    <m/>
    <n v="2"/>
    <s v="01"/>
    <s v="409"/>
    <s v="003"/>
    <s v="00"/>
    <s v="S"/>
    <s v="P"/>
    <s v="01"/>
    <s v="04"/>
    <s v="False"/>
    <s v="True"/>
    <s v="U002812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20"/>
    <s v="BONIS SPA"/>
    <s v="STOCK SCAFFALE MP"/>
    <x v="4"/>
    <m/>
    <m/>
    <n v="1"/>
    <s v="01"/>
    <s v="409"/>
    <s v="003"/>
    <s v="00"/>
    <s v="S"/>
    <s v="P"/>
    <s v="01"/>
    <s v="04"/>
    <s v="False"/>
    <s v="True"/>
    <s v="U0028131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9"/>
    <s v="BONIS SPA"/>
    <s v="STOCK SCAFFALE MP"/>
    <x v="4"/>
    <m/>
    <m/>
    <n v="8"/>
    <s v="01"/>
    <s v="409"/>
    <s v="003"/>
    <s v="00"/>
    <s v="S"/>
    <s v="P"/>
    <s v="01"/>
    <s v="04"/>
    <s v="False"/>
    <s v="True"/>
    <s v="U002812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9"/>
    <s v="BONIS SPA"/>
    <s v="STOCK SCAFFALE MP"/>
    <x v="4"/>
    <m/>
    <m/>
    <n v="1"/>
    <s v="01"/>
    <s v="409"/>
    <s v="003"/>
    <s v="00"/>
    <s v="S"/>
    <s v="P"/>
    <s v="01"/>
    <s v="04"/>
    <s v="False"/>
    <s v="True"/>
    <s v="U0032599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19"/>
    <s v="BONIS SPA"/>
    <s v="STOCK SCAFFALE MP"/>
    <x v="4"/>
    <m/>
    <m/>
    <n v="3"/>
    <s v="01"/>
    <s v="409"/>
    <s v="003"/>
    <s v="00"/>
    <s v="S"/>
    <s v="P"/>
    <s v="01"/>
    <s v="04"/>
    <s v="False"/>
    <s v="True"/>
    <s v="U002814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27"/>
    <x v="35"/>
    <m/>
    <x v="19"/>
    <s v="BONIS SPA"/>
    <s v="STOCK SCAFFALE MP"/>
    <x v="4"/>
    <m/>
    <m/>
    <n v="4"/>
    <s v="01"/>
    <s v="409"/>
    <s v="003"/>
    <s v="00"/>
    <s v="S"/>
    <s v="P"/>
    <s v="01"/>
    <s v="04"/>
    <s v="False"/>
    <s v="True"/>
    <s v="U0028127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54"/>
    <x v="79"/>
    <m/>
    <x v="14"/>
    <s v="BONIS SPA"/>
    <s v="STOCK SCAFFALE MP"/>
    <x v="8"/>
    <m/>
    <m/>
    <n v="1"/>
    <s v="01"/>
    <s v="409"/>
    <s v="012"/>
    <s v="00"/>
    <s v="S"/>
    <s v="P"/>
    <s v="01"/>
    <s v="04"/>
    <s v="False"/>
    <s v="True"/>
    <s v="U0023197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4"/>
    <s v="BONIS SPA"/>
    <s v="STOCK SCAFFALE MP"/>
    <x v="8"/>
    <m/>
    <m/>
    <n v="1"/>
    <s v="01"/>
    <s v="409"/>
    <s v="012"/>
    <s v="00"/>
    <s v="S"/>
    <s v="P"/>
    <s v="01"/>
    <s v="04"/>
    <s v="False"/>
    <s v="True"/>
    <s v="U0023194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5"/>
    <s v="BONIS SPA"/>
    <s v="STOCK SCAFFALE MP"/>
    <x v="8"/>
    <m/>
    <m/>
    <n v="4"/>
    <s v="01"/>
    <s v="409"/>
    <s v="012"/>
    <s v="00"/>
    <s v="S"/>
    <s v="P"/>
    <s v="01"/>
    <s v="04"/>
    <s v="False"/>
    <s v="True"/>
    <s v="U0023194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5"/>
    <s v="BONIS SPA"/>
    <s v="STOCK SCAFFALE MP"/>
    <x v="8"/>
    <m/>
    <m/>
    <n v="1"/>
    <s v="01"/>
    <s v="409"/>
    <s v="012"/>
    <s v="00"/>
    <s v="S"/>
    <s v="P"/>
    <s v="01"/>
    <s v="04"/>
    <s v="False"/>
    <s v="True"/>
    <s v="U0023758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6"/>
    <s v="BONIS SPA"/>
    <s v="STOCK SCAFFALE MP"/>
    <x v="8"/>
    <m/>
    <m/>
    <n v="1"/>
    <s v="01"/>
    <s v="409"/>
    <s v="012"/>
    <s v="00"/>
    <s v="S"/>
    <s v="P"/>
    <s v="01"/>
    <s v="04"/>
    <s v="False"/>
    <s v="True"/>
    <s v="U0027750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6"/>
    <s v="BONIS SPA"/>
    <s v="STOCK SCAFFALE MP"/>
    <x v="8"/>
    <m/>
    <m/>
    <n v="6"/>
    <s v="01"/>
    <s v="409"/>
    <s v="012"/>
    <s v="00"/>
    <s v="S"/>
    <s v="P"/>
    <s v="01"/>
    <s v="04"/>
    <s v="False"/>
    <s v="True"/>
    <s v="U0028099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7"/>
    <s v="BONIS SPA"/>
    <s v="STOCK SCAFFALE MP"/>
    <x v="8"/>
    <m/>
    <m/>
    <n v="5"/>
    <s v="01"/>
    <s v="409"/>
    <s v="012"/>
    <s v="00"/>
    <s v="S"/>
    <s v="P"/>
    <s v="01"/>
    <s v="04"/>
    <s v="False"/>
    <s v="True"/>
    <s v="U0028099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6"/>
    <s v="BONIS SPA"/>
    <s v="STOCK SCAFFALE MP"/>
    <x v="4"/>
    <m/>
    <m/>
    <n v="8"/>
    <s v="01"/>
    <s v="409"/>
    <s v="012"/>
    <s v="00"/>
    <s v="S"/>
    <s v="P"/>
    <s v="01"/>
    <s v="04"/>
    <s v="False"/>
    <s v="True"/>
    <s v="U0023197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9"/>
    <s v="BONIS SPA"/>
    <s v="STOCK SCAFFALE MP"/>
    <x v="4"/>
    <m/>
    <m/>
    <n v="1"/>
    <s v="01"/>
    <s v="409"/>
    <s v="012"/>
    <s v="00"/>
    <s v="S"/>
    <s v="P"/>
    <s v="01"/>
    <s v="04"/>
    <s v="False"/>
    <s v="True"/>
    <s v="U0028076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9"/>
    <s v="BONIS SPA"/>
    <s v="STOCK SCAFFALE MP"/>
    <x v="4"/>
    <m/>
    <m/>
    <n v="2"/>
    <s v="01"/>
    <s v="409"/>
    <s v="012"/>
    <s v="00"/>
    <s v="S"/>
    <s v="P"/>
    <s v="01"/>
    <s v="04"/>
    <s v="False"/>
    <s v="True"/>
    <s v="U0028100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9"/>
    <s v="BONIS SPA"/>
    <s v="STOCK SCAFFALE MP"/>
    <x v="4"/>
    <m/>
    <m/>
    <n v="1"/>
    <s v="01"/>
    <s v="409"/>
    <s v="012"/>
    <s v="00"/>
    <s v="S"/>
    <s v="P"/>
    <s v="01"/>
    <s v="04"/>
    <s v="False"/>
    <s v="True"/>
    <s v="U0028099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9"/>
    <s v="BONIS SPA"/>
    <s v="STOCK SCAFFALE MP"/>
    <x v="4"/>
    <m/>
    <m/>
    <n v="2"/>
    <s v="01"/>
    <s v="409"/>
    <s v="012"/>
    <s v="00"/>
    <s v="S"/>
    <s v="P"/>
    <s v="01"/>
    <s v="04"/>
    <s v="False"/>
    <s v="True"/>
    <s v="U0023197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8"/>
    <s v="BONIS SPA"/>
    <s v="STOCK SCAFFALE MP"/>
    <x v="4"/>
    <m/>
    <m/>
    <n v="1"/>
    <s v="01"/>
    <s v="409"/>
    <s v="012"/>
    <s v="00"/>
    <s v="S"/>
    <s v="P"/>
    <s v="01"/>
    <s v="04"/>
    <s v="False"/>
    <s v="True"/>
    <s v="U0023197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8"/>
    <s v="BONIS SPA"/>
    <s v="STOCK SCAFFALE MP"/>
    <x v="4"/>
    <m/>
    <m/>
    <n v="2"/>
    <s v="01"/>
    <s v="409"/>
    <s v="012"/>
    <s v="00"/>
    <s v="S"/>
    <s v="P"/>
    <s v="01"/>
    <s v="04"/>
    <s v="False"/>
    <s v="True"/>
    <s v="U0023757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4"/>
    <s v="BONIS SPA"/>
    <s v="STOCK SCAFFALE MP"/>
    <x v="21"/>
    <m/>
    <m/>
    <n v="1"/>
    <s v="01"/>
    <s v="409"/>
    <s v="012"/>
    <s v="00"/>
    <s v="S"/>
    <s v="P"/>
    <s v="01"/>
    <s v="04"/>
    <s v="False"/>
    <s v="True"/>
    <s v="U0022674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5"/>
    <s v="BONIS SPA"/>
    <s v="STOCK SCAFFALE MP"/>
    <x v="21"/>
    <m/>
    <m/>
    <n v="2"/>
    <s v="01"/>
    <s v="409"/>
    <s v="012"/>
    <s v="00"/>
    <s v="S"/>
    <s v="P"/>
    <s v="01"/>
    <s v="04"/>
    <s v="False"/>
    <s v="True"/>
    <s v="U0022674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6"/>
    <s v="BONIS SPA"/>
    <s v="STOCK SCAFFALE MP"/>
    <x v="21"/>
    <m/>
    <m/>
    <n v="4"/>
    <s v="01"/>
    <s v="409"/>
    <s v="012"/>
    <s v="00"/>
    <s v="S"/>
    <s v="P"/>
    <s v="01"/>
    <s v="04"/>
    <s v="False"/>
    <s v="True"/>
    <s v="U0022674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7"/>
    <s v="BONIS SPA"/>
    <s v="STOCK SCAFFALE MP"/>
    <x v="21"/>
    <m/>
    <m/>
    <n v="3"/>
    <s v="01"/>
    <s v="409"/>
    <s v="012"/>
    <s v="00"/>
    <s v="S"/>
    <s v="P"/>
    <s v="01"/>
    <s v="04"/>
    <s v="False"/>
    <s v="True"/>
    <s v="U0022674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8"/>
    <s v="BONIS SPA"/>
    <s v="STOCK SCAFFALE MP"/>
    <x v="4"/>
    <m/>
    <m/>
    <n v="5"/>
    <s v="01"/>
    <s v="409"/>
    <s v="012"/>
    <s v="00"/>
    <s v="S"/>
    <s v="P"/>
    <s v="01"/>
    <s v="04"/>
    <s v="False"/>
    <s v="True"/>
    <s v="U0027750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7"/>
    <s v="BONIS SPA"/>
    <s v="STOCK SCAFFALE MP"/>
    <x v="4"/>
    <m/>
    <m/>
    <n v="4"/>
    <s v="01"/>
    <s v="409"/>
    <s v="012"/>
    <s v="00"/>
    <s v="S"/>
    <s v="P"/>
    <s v="01"/>
    <s v="04"/>
    <s v="False"/>
    <s v="True"/>
    <s v="U0027750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5"/>
    <s v="BONIS SPA"/>
    <s v="STOCK SCAFFALE MP"/>
    <x v="4"/>
    <m/>
    <m/>
    <n v="2"/>
    <s v="01"/>
    <s v="409"/>
    <s v="012"/>
    <s v="00"/>
    <s v="S"/>
    <s v="P"/>
    <s v="01"/>
    <s v="04"/>
    <s v="False"/>
    <s v="True"/>
    <s v="U0027750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4"/>
    <s v="BONIS SPA"/>
    <s v="STOCK SCAFFALE MP"/>
    <x v="4"/>
    <m/>
    <m/>
    <n v="4"/>
    <s v="01"/>
    <s v="409"/>
    <s v="012"/>
    <s v="00"/>
    <s v="S"/>
    <s v="P"/>
    <s v="01"/>
    <s v="04"/>
    <s v="False"/>
    <s v="True"/>
    <s v="U0028097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7"/>
    <s v="BONIS SPA"/>
    <s v="STOCK SCAFFALE MP"/>
    <x v="4"/>
    <m/>
    <m/>
    <n v="2"/>
    <s v="01"/>
    <s v="409"/>
    <s v="012"/>
    <s v="00"/>
    <s v="S"/>
    <s v="P"/>
    <s v="01"/>
    <s v="04"/>
    <s v="False"/>
    <s v="True"/>
    <s v="U0022674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7"/>
    <s v="BONIS SPA"/>
    <s v="STOCK SCAFFALE MP"/>
    <x v="4"/>
    <m/>
    <m/>
    <n v="1"/>
    <s v="01"/>
    <s v="409"/>
    <s v="012"/>
    <s v="00"/>
    <s v="S"/>
    <s v="P"/>
    <s v="01"/>
    <s v="04"/>
    <s v="False"/>
    <s v="True"/>
    <s v="U0023164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9"/>
    <s v="BONIS SPA"/>
    <s v="STOCK SCAFFALE MP"/>
    <x v="4"/>
    <m/>
    <m/>
    <n v="1"/>
    <s v="01"/>
    <s v="409"/>
    <s v="012"/>
    <s v="00"/>
    <s v="S"/>
    <s v="P"/>
    <s v="01"/>
    <s v="04"/>
    <s v="False"/>
    <s v="True"/>
    <s v="U0023164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8"/>
    <s v="BONIS SPA"/>
    <s v="STOCK SCAFFALE MP"/>
    <x v="4"/>
    <m/>
    <m/>
    <n v="10"/>
    <s v="01"/>
    <s v="409"/>
    <s v="012"/>
    <s v="00"/>
    <s v="S"/>
    <s v="P"/>
    <s v="01"/>
    <s v="04"/>
    <s v="False"/>
    <s v="True"/>
    <s v="U0028100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9"/>
    <s v="BONIS SPA"/>
    <s v="STOCK SCAFFALE MP"/>
    <x v="8"/>
    <m/>
    <m/>
    <n v="2"/>
    <s v="01"/>
    <s v="409"/>
    <s v="004"/>
    <s v="00"/>
    <s v="S"/>
    <s v="P"/>
    <s v="01"/>
    <s v="04"/>
    <s v="False"/>
    <s v="True"/>
    <s v="U0028112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8"/>
    <s v="BONIS SPA"/>
    <s v="STOCK SCAFFALE MP"/>
    <x v="8"/>
    <m/>
    <m/>
    <n v="3"/>
    <s v="01"/>
    <s v="409"/>
    <s v="004"/>
    <s v="00"/>
    <s v="S"/>
    <s v="P"/>
    <s v="01"/>
    <s v="04"/>
    <s v="False"/>
    <s v="True"/>
    <s v="U0028112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8"/>
    <s v="BONIS SPA"/>
    <s v="STOCK SCAFFALE MP"/>
    <x v="21"/>
    <m/>
    <m/>
    <n v="5"/>
    <s v="01"/>
    <s v="409"/>
    <s v="012"/>
    <s v="00"/>
    <s v="S"/>
    <s v="P"/>
    <s v="01"/>
    <s v="04"/>
    <s v="False"/>
    <s v="True"/>
    <s v="U0028078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9"/>
    <s v="BONIS SPA"/>
    <s v="STOCK SCAFFALE MP"/>
    <x v="21"/>
    <m/>
    <m/>
    <n v="1"/>
    <s v="01"/>
    <s v="409"/>
    <s v="012"/>
    <s v="00"/>
    <s v="S"/>
    <s v="P"/>
    <s v="01"/>
    <s v="04"/>
    <s v="False"/>
    <s v="True"/>
    <s v="U0028078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7"/>
    <s v="BONIS SPA"/>
    <s v="STOCK SCAFFALE MP"/>
    <x v="21"/>
    <m/>
    <m/>
    <n v="6"/>
    <s v="01"/>
    <s v="409"/>
    <s v="012"/>
    <s v="00"/>
    <s v="S"/>
    <s v="P"/>
    <s v="01"/>
    <s v="04"/>
    <s v="False"/>
    <s v="True"/>
    <s v="U0028078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7"/>
    <s v="BONIS SPA"/>
    <s v="STOCK SCAFFALE MP"/>
    <x v="10"/>
    <m/>
    <m/>
    <n v="11"/>
    <s v="01"/>
    <s v="409"/>
    <s v="012"/>
    <s v="00"/>
    <s v="S"/>
    <s v="P"/>
    <s v="01"/>
    <s v="04"/>
    <s v="False"/>
    <s v="True"/>
    <s v="U0028076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6"/>
    <s v="BONIS SPA"/>
    <s v="STOCK SCAFFALE MP"/>
    <x v="10"/>
    <m/>
    <m/>
    <n v="12"/>
    <s v="01"/>
    <s v="409"/>
    <s v="012"/>
    <s v="00"/>
    <s v="S"/>
    <s v="P"/>
    <s v="01"/>
    <s v="04"/>
    <s v="False"/>
    <s v="True"/>
    <s v="U0028077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8"/>
    <s v="BONIS SPA"/>
    <s v="STOCK SCAFFALE MP"/>
    <x v="10"/>
    <m/>
    <m/>
    <n v="12"/>
    <s v="01"/>
    <s v="409"/>
    <s v="012"/>
    <s v="00"/>
    <s v="S"/>
    <s v="P"/>
    <s v="01"/>
    <s v="04"/>
    <s v="False"/>
    <s v="True"/>
    <s v="U0023518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4"/>
    <s v="BONIS SPA"/>
    <s v="STOCK SCAFFALE MP"/>
    <x v="10"/>
    <m/>
    <m/>
    <n v="1"/>
    <s v="01"/>
    <s v="409"/>
    <s v="012"/>
    <s v="00"/>
    <s v="S"/>
    <s v="P"/>
    <s v="01"/>
    <s v="04"/>
    <s v="False"/>
    <s v="True"/>
    <s v="U0023194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6"/>
    <s v="BONIS SPA"/>
    <s v="STOCK SCAFFALE MP"/>
    <x v="10"/>
    <m/>
    <m/>
    <n v="3"/>
    <s v="01"/>
    <s v="409"/>
    <s v="012"/>
    <s v="00"/>
    <s v="S"/>
    <s v="P"/>
    <s v="01"/>
    <s v="04"/>
    <s v="False"/>
    <s v="True"/>
    <s v="U0023194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5"/>
    <s v="BONIS SPA"/>
    <s v="STOCK SCAFFALE MP"/>
    <x v="10"/>
    <m/>
    <m/>
    <n v="1"/>
    <s v="01"/>
    <s v="409"/>
    <s v="012"/>
    <s v="00"/>
    <s v="S"/>
    <s v="P"/>
    <s v="01"/>
    <s v="04"/>
    <s v="False"/>
    <s v="True"/>
    <s v="U0023194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8"/>
    <s v="BONIS SPA"/>
    <s v="STOCK SCAFFALE MP"/>
    <x v="10"/>
    <m/>
    <m/>
    <n v="2"/>
    <s v="01"/>
    <s v="409"/>
    <s v="012"/>
    <s v="00"/>
    <s v="S"/>
    <s v="P"/>
    <s v="01"/>
    <s v="04"/>
    <s v="False"/>
    <s v="True"/>
    <s v="U0023194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5"/>
    <s v="BONIS SPA"/>
    <s v="STOCK SCAFFALE MP"/>
    <x v="10"/>
    <m/>
    <m/>
    <n v="12"/>
    <s v="01"/>
    <s v="409"/>
    <s v="012"/>
    <s v="00"/>
    <s v="S"/>
    <s v="P"/>
    <s v="01"/>
    <s v="04"/>
    <s v="False"/>
    <s v="True"/>
    <s v="U0023195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5"/>
    <s v="BONIS SPA"/>
    <s v="STOCK SCAFFALE MP"/>
    <x v="2"/>
    <m/>
    <m/>
    <n v="3"/>
    <s v="01"/>
    <s v="409"/>
    <s v="012"/>
    <s v="00"/>
    <s v="S"/>
    <s v="P"/>
    <s v="01"/>
    <s v="04"/>
    <s v="False"/>
    <s v="True"/>
    <s v="U0023757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39"/>
    <m/>
    <x v="14"/>
    <s v="BONIS SPA"/>
    <s v="STOCK SCAFFALE MP"/>
    <x v="10"/>
    <m/>
    <m/>
    <n v="4"/>
    <s v="01"/>
    <s v="409"/>
    <s v="012"/>
    <s v="00"/>
    <s v="S"/>
    <s v="P"/>
    <s v="01"/>
    <s v="04"/>
    <s v="False"/>
    <s v="True"/>
    <s v="U0023757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39"/>
    <m/>
    <x v="15"/>
    <s v="BONIS SPA"/>
    <s v="STOCK SCAFFALE MP"/>
    <x v="10"/>
    <m/>
    <m/>
    <n v="1"/>
    <s v="01"/>
    <s v="409"/>
    <s v="012"/>
    <s v="00"/>
    <s v="S"/>
    <s v="P"/>
    <s v="01"/>
    <s v="04"/>
    <s v="False"/>
    <s v="True"/>
    <s v="U0023757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7"/>
    <s v="BONIS SPA"/>
    <s v="STOCK SCAFFALE MP"/>
    <x v="10"/>
    <m/>
    <m/>
    <n v="12"/>
    <s v="01"/>
    <s v="409"/>
    <s v="012"/>
    <s v="00"/>
    <s v="S"/>
    <s v="P"/>
    <s v="01"/>
    <s v="04"/>
    <s v="False"/>
    <s v="True"/>
    <s v="U0028079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4"/>
    <s v="BONIS SPA"/>
    <s v="STOCK SCAFFALE MP"/>
    <x v="2"/>
    <m/>
    <m/>
    <n v="2"/>
    <s v="01"/>
    <s v="409"/>
    <s v="012"/>
    <s v="00"/>
    <s v="S"/>
    <s v="P"/>
    <s v="01"/>
    <s v="04"/>
    <s v="False"/>
    <s v="True"/>
    <s v="U0028080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8"/>
    <s v="BONIS SPA"/>
    <s v="STOCK SCAFFALE MP"/>
    <x v="2"/>
    <m/>
    <m/>
    <n v="2"/>
    <s v="01"/>
    <s v="409"/>
    <s v="012"/>
    <s v="00"/>
    <s v="S"/>
    <s v="P"/>
    <s v="01"/>
    <s v="04"/>
    <s v="False"/>
    <s v="True"/>
    <s v="U0028080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7"/>
    <s v="BONIS SPA"/>
    <s v="STOCK SCAFFALE MP"/>
    <x v="2"/>
    <m/>
    <m/>
    <n v="2"/>
    <s v="01"/>
    <s v="409"/>
    <s v="012"/>
    <s v="00"/>
    <s v="S"/>
    <s v="P"/>
    <s v="01"/>
    <s v="04"/>
    <s v="False"/>
    <s v="True"/>
    <s v="U0028080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5"/>
    <s v="BONIS SPA"/>
    <s v="STOCK SCAFFALE MP"/>
    <x v="2"/>
    <m/>
    <m/>
    <n v="4"/>
    <s v="01"/>
    <s v="409"/>
    <s v="012"/>
    <s v="00"/>
    <s v="S"/>
    <s v="P"/>
    <s v="01"/>
    <s v="04"/>
    <s v="False"/>
    <s v="True"/>
    <s v="U0028080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6"/>
    <s v="BONIS SPA"/>
    <s v="STOCK SCAFFALE MP"/>
    <x v="2"/>
    <m/>
    <m/>
    <n v="2"/>
    <s v="01"/>
    <s v="409"/>
    <s v="012"/>
    <s v="00"/>
    <s v="S"/>
    <s v="P"/>
    <s v="01"/>
    <s v="04"/>
    <s v="False"/>
    <s v="True"/>
    <s v="U0028080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79"/>
    <m/>
    <x v="16"/>
    <s v="BONIS SPA"/>
    <s v="STOCK SCAFFALE MP"/>
    <x v="2"/>
    <m/>
    <m/>
    <n v="12"/>
    <s v="01"/>
    <s v="409"/>
    <s v="012"/>
    <s v="00"/>
    <s v="S"/>
    <s v="P"/>
    <s v="01"/>
    <s v="04"/>
    <s v="False"/>
    <s v="True"/>
    <s v="U0022672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39"/>
    <m/>
    <x v="18"/>
    <s v="BONIS SPA"/>
    <s v="STOCK SCAFFALE MP"/>
    <x v="10"/>
    <m/>
    <m/>
    <n v="7"/>
    <s v="01"/>
    <s v="409"/>
    <s v="012"/>
    <s v="00"/>
    <s v="S"/>
    <s v="P"/>
    <s v="01"/>
    <s v="04"/>
    <s v="False"/>
    <s v="True"/>
    <s v="U0023758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4"/>
    <x v="39"/>
    <m/>
    <x v="19"/>
    <s v="BONIS SPA"/>
    <s v="STOCK SCAFFALE MP"/>
    <x v="10"/>
    <m/>
    <m/>
    <n v="4"/>
    <s v="01"/>
    <s v="409"/>
    <s v="012"/>
    <s v="00"/>
    <s v="S"/>
    <s v="P"/>
    <s v="01"/>
    <s v="04"/>
    <s v="False"/>
    <s v="True"/>
    <s v="U0023758"/>
    <n v="1"/>
    <m/>
    <n v="0"/>
    <n v="0"/>
    <m/>
    <s v="SMU"/>
    <m/>
    <m/>
    <m/>
    <m/>
    <m/>
    <m/>
    <s v="F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7"/>
    <s v="BONIS SPA"/>
    <s v="STOCK SCAFFALE MP"/>
    <x v="2"/>
    <m/>
    <m/>
    <n v="12"/>
    <s v="01"/>
    <s v="409"/>
    <s v="004"/>
    <s v="00"/>
    <s v="S"/>
    <s v="P"/>
    <s v="01"/>
    <s v="04"/>
    <s v="False"/>
    <s v="True"/>
    <s v="U0023751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8"/>
    <s v="BONIS SPA"/>
    <s v="STOCK SCAFFALE MP"/>
    <x v="10"/>
    <m/>
    <m/>
    <n v="3"/>
    <s v="01"/>
    <s v="409"/>
    <s v="004"/>
    <s v="00"/>
    <s v="S"/>
    <s v="P"/>
    <s v="01"/>
    <s v="04"/>
    <s v="False"/>
    <s v="True"/>
    <s v="U0028114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10"/>
    <m/>
    <m/>
    <n v="1"/>
    <s v="01"/>
    <s v="409"/>
    <s v="004"/>
    <s v="00"/>
    <s v="S"/>
    <s v="P"/>
    <s v="01"/>
    <s v="04"/>
    <s v="False"/>
    <s v="True"/>
    <s v="U0028114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10"/>
    <m/>
    <m/>
    <n v="2"/>
    <s v="01"/>
    <s v="409"/>
    <s v="004"/>
    <s v="00"/>
    <s v="S"/>
    <s v="P"/>
    <s v="01"/>
    <s v="04"/>
    <s v="False"/>
    <s v="True"/>
    <s v="U0028126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6"/>
    <s v="BONIS SPA"/>
    <s v="STOCK SCAFFALE MP"/>
    <x v="21"/>
    <m/>
    <m/>
    <n v="7"/>
    <s v="01"/>
    <s v="409"/>
    <s v="004"/>
    <s v="00"/>
    <s v="S"/>
    <s v="P"/>
    <s v="01"/>
    <s v="04"/>
    <s v="False"/>
    <s v="True"/>
    <s v="U0027751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21"/>
    <m/>
    <m/>
    <n v="4"/>
    <s v="01"/>
    <s v="409"/>
    <s v="004"/>
    <s v="00"/>
    <s v="S"/>
    <s v="P"/>
    <s v="01"/>
    <s v="04"/>
    <s v="False"/>
    <s v="True"/>
    <s v="U0027751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21"/>
    <m/>
    <m/>
    <n v="4"/>
    <s v="01"/>
    <s v="409"/>
    <s v="004"/>
    <s v="00"/>
    <s v="S"/>
    <s v="P"/>
    <s v="01"/>
    <s v="04"/>
    <s v="False"/>
    <s v="True"/>
    <s v="U0028126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8"/>
    <s v="BONIS SPA"/>
    <s v="STOCK SCAFFALE MP"/>
    <x v="21"/>
    <m/>
    <m/>
    <n v="5"/>
    <s v="01"/>
    <s v="409"/>
    <s v="004"/>
    <s v="00"/>
    <s v="S"/>
    <s v="P"/>
    <s v="01"/>
    <s v="04"/>
    <s v="False"/>
    <s v="True"/>
    <s v="U0028126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9"/>
    <s v="BONIS SPA"/>
    <s v="STOCK SCAFFALE MP"/>
    <x v="21"/>
    <m/>
    <m/>
    <n v="1"/>
    <s v="01"/>
    <s v="409"/>
    <s v="004"/>
    <s v="00"/>
    <s v="S"/>
    <s v="P"/>
    <s v="01"/>
    <s v="04"/>
    <s v="False"/>
    <s v="True"/>
    <s v="U0032562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9"/>
    <s v="BONIS SPA"/>
    <s v="STOCK SCAFFALE MP"/>
    <x v="21"/>
    <m/>
    <m/>
    <n v="1"/>
    <s v="01"/>
    <s v="409"/>
    <s v="004"/>
    <s v="00"/>
    <s v="S"/>
    <s v="P"/>
    <s v="01"/>
    <s v="04"/>
    <s v="False"/>
    <s v="True"/>
    <s v="U0032565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9"/>
    <s v="BONIS SPA"/>
    <s v="STOCK SCAFFALE MP"/>
    <x v="21"/>
    <m/>
    <m/>
    <n v="2"/>
    <s v="01"/>
    <s v="409"/>
    <s v="004"/>
    <s v="00"/>
    <s v="S"/>
    <s v="P"/>
    <s v="01"/>
    <s v="04"/>
    <s v="False"/>
    <s v="True"/>
    <s v="U0023754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8"/>
    <s v="BONIS SPA"/>
    <s v="STOCK SCAFFALE MP"/>
    <x v="21"/>
    <m/>
    <m/>
    <n v="1"/>
    <s v="01"/>
    <s v="409"/>
    <s v="004"/>
    <s v="00"/>
    <s v="S"/>
    <s v="P"/>
    <s v="01"/>
    <s v="04"/>
    <s v="False"/>
    <s v="True"/>
    <s v="U0023754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8"/>
    <s v="BONIS SPA"/>
    <s v="STOCK SCAFFALE MP"/>
    <x v="4"/>
    <m/>
    <m/>
    <n v="9"/>
    <s v="01"/>
    <s v="409"/>
    <s v="004"/>
    <s v="00"/>
    <s v="S"/>
    <s v="P"/>
    <s v="01"/>
    <s v="04"/>
    <s v="False"/>
    <s v="True"/>
    <s v="U0028111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8"/>
    <s v="BONIS SPA"/>
    <s v="STOCK SCAFFALE MP"/>
    <x v="10"/>
    <m/>
    <m/>
    <n v="3"/>
    <s v="01"/>
    <s v="409"/>
    <s v="004"/>
    <s v="00"/>
    <s v="S"/>
    <s v="P"/>
    <s v="01"/>
    <s v="04"/>
    <s v="False"/>
    <s v="True"/>
    <s v="U002811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4"/>
    <s v="BONIS SPA"/>
    <s v="STOCK SCAFFALE MP"/>
    <x v="4"/>
    <m/>
    <m/>
    <n v="2"/>
    <s v="01"/>
    <s v="409"/>
    <s v="004"/>
    <s v="00"/>
    <s v="S"/>
    <s v="P"/>
    <s v="01"/>
    <s v="04"/>
    <s v="False"/>
    <s v="True"/>
    <s v="U002811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4"/>
    <m/>
    <m/>
    <n v="1"/>
    <s v="01"/>
    <s v="409"/>
    <s v="004"/>
    <s v="00"/>
    <s v="S"/>
    <s v="P"/>
    <s v="01"/>
    <s v="04"/>
    <s v="False"/>
    <s v="True"/>
    <s v="U002811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6"/>
    <s v="BONIS SPA"/>
    <s v="STOCK SCAFFALE MP"/>
    <x v="4"/>
    <m/>
    <m/>
    <n v="1"/>
    <s v="01"/>
    <s v="409"/>
    <s v="004"/>
    <s v="00"/>
    <s v="S"/>
    <s v="P"/>
    <s v="01"/>
    <s v="04"/>
    <s v="False"/>
    <s v="True"/>
    <s v="U002811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5"/>
    <s v="BONIS SPA"/>
    <s v="STOCK SCAFFALE MP"/>
    <x v="21"/>
    <m/>
    <m/>
    <n v="7"/>
    <s v="01"/>
    <s v="409"/>
    <s v="004"/>
    <s v="00"/>
    <s v="S"/>
    <s v="P"/>
    <s v="01"/>
    <s v="04"/>
    <s v="False"/>
    <s v="True"/>
    <s v="U003259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6"/>
    <s v="BONIS SPA"/>
    <s v="STOCK SCAFFALE MP"/>
    <x v="21"/>
    <m/>
    <m/>
    <n v="2"/>
    <s v="01"/>
    <s v="409"/>
    <s v="004"/>
    <s v="00"/>
    <s v="S"/>
    <s v="P"/>
    <s v="01"/>
    <s v="04"/>
    <s v="False"/>
    <s v="True"/>
    <s v="U003259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4"/>
    <s v="BONIS SPA"/>
    <s v="STOCK SCAFFALE MP"/>
    <x v="21"/>
    <m/>
    <m/>
    <n v="2"/>
    <s v="01"/>
    <s v="409"/>
    <s v="004"/>
    <s v="00"/>
    <s v="S"/>
    <s v="P"/>
    <s v="01"/>
    <s v="04"/>
    <s v="False"/>
    <s v="True"/>
    <s v="U003259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2"/>
    <m/>
    <m/>
    <n v="3"/>
    <s v="01"/>
    <s v="409"/>
    <s v="004"/>
    <s v="00"/>
    <s v="S"/>
    <s v="P"/>
    <s v="01"/>
    <s v="04"/>
    <s v="False"/>
    <s v="True"/>
    <s v="U0023754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2"/>
    <m/>
    <m/>
    <n v="1"/>
    <s v="01"/>
    <s v="409"/>
    <s v="004"/>
    <s v="00"/>
    <s v="S"/>
    <s v="P"/>
    <s v="01"/>
    <s v="04"/>
    <s v="False"/>
    <s v="True"/>
    <s v="U0032595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2"/>
    <m/>
    <m/>
    <n v="1"/>
    <s v="01"/>
    <s v="409"/>
    <s v="004"/>
    <s v="00"/>
    <s v="S"/>
    <s v="P"/>
    <s v="01"/>
    <s v="04"/>
    <s v="False"/>
    <s v="True"/>
    <s v="U0028112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9"/>
    <s v="BONIS SPA"/>
    <s v="STOCK SCAFFALE MP"/>
    <x v="4"/>
    <m/>
    <m/>
    <n v="6"/>
    <s v="01"/>
    <s v="409"/>
    <s v="004"/>
    <s v="00"/>
    <s v="S"/>
    <s v="P"/>
    <s v="01"/>
    <s v="04"/>
    <s v="False"/>
    <s v="True"/>
    <s v="U002810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8"/>
    <s v="BONIS SPA"/>
    <s v="STOCK SCAFFALE MP"/>
    <x v="4"/>
    <m/>
    <m/>
    <n v="1"/>
    <s v="01"/>
    <s v="409"/>
    <s v="004"/>
    <s v="00"/>
    <s v="S"/>
    <s v="P"/>
    <s v="01"/>
    <s v="04"/>
    <s v="False"/>
    <s v="True"/>
    <s v="U002810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4"/>
    <m/>
    <m/>
    <n v="2"/>
    <s v="01"/>
    <s v="409"/>
    <s v="004"/>
    <s v="00"/>
    <s v="S"/>
    <s v="P"/>
    <s v="01"/>
    <s v="04"/>
    <s v="False"/>
    <s v="True"/>
    <s v="U0028105"/>
    <n v="1"/>
    <m/>
    <n v="0"/>
    <n v="0"/>
    <m/>
    <s v="SMU"/>
    <m/>
    <m/>
    <m/>
    <m/>
    <m/>
    <m/>
    <s v="F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4"/>
    <s v="BONIS SPA"/>
    <s v="STOCK SCAFFALE MP"/>
    <x v="2"/>
    <m/>
    <m/>
    <n v="5"/>
    <s v="01"/>
    <s v="409"/>
    <s v="004"/>
    <s v="00"/>
    <s v="S"/>
    <s v="P"/>
    <s v="01"/>
    <s v="04"/>
    <s v="False"/>
    <s v="True"/>
    <s v="U002375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6"/>
    <s v="BONIS SPA"/>
    <s v="STOCK SCAFFALE MP"/>
    <x v="2"/>
    <m/>
    <m/>
    <n v="1"/>
    <s v="01"/>
    <s v="409"/>
    <s v="004"/>
    <s v="00"/>
    <s v="S"/>
    <s v="P"/>
    <s v="01"/>
    <s v="04"/>
    <s v="False"/>
    <s v="True"/>
    <s v="U002375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4"/>
    <m/>
    <m/>
    <n v="9"/>
    <s v="01"/>
    <s v="409"/>
    <s v="004"/>
    <s v="00"/>
    <s v="S"/>
    <s v="P"/>
    <s v="01"/>
    <s v="04"/>
    <s v="False"/>
    <s v="True"/>
    <s v="U0028113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2"/>
    <m/>
    <m/>
    <n v="1"/>
    <s v="01"/>
    <s v="409"/>
    <s v="004"/>
    <s v="00"/>
    <s v="S"/>
    <s v="P"/>
    <s v="01"/>
    <s v="04"/>
    <s v="False"/>
    <s v="True"/>
    <s v="U003259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8"/>
    <s v="BONIS SPA"/>
    <s v="STOCK SCAFFALE MP"/>
    <x v="2"/>
    <m/>
    <m/>
    <n v="3"/>
    <s v="01"/>
    <s v="409"/>
    <s v="004"/>
    <s v="00"/>
    <s v="S"/>
    <s v="P"/>
    <s v="01"/>
    <s v="04"/>
    <s v="False"/>
    <s v="True"/>
    <s v="U003259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6"/>
    <s v="BONIS SPA"/>
    <s v="STOCK SCAFFALE MP"/>
    <x v="2"/>
    <m/>
    <m/>
    <n v="8"/>
    <s v="01"/>
    <s v="409"/>
    <s v="004"/>
    <s v="00"/>
    <s v="S"/>
    <s v="P"/>
    <s v="01"/>
    <s v="04"/>
    <s v="False"/>
    <s v="True"/>
    <s v="U003259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8"/>
    <s v="BONIS SPA"/>
    <s v="STOCK SCAFFALE MP"/>
    <x v="2"/>
    <m/>
    <m/>
    <n v="3"/>
    <s v="01"/>
    <s v="409"/>
    <s v="004"/>
    <s v="00"/>
    <s v="S"/>
    <s v="P"/>
    <s v="01"/>
    <s v="04"/>
    <s v="False"/>
    <s v="True"/>
    <s v="U0028113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8"/>
    <s v="BONIS SPA"/>
    <s v="STOCK SCAFFALE MP"/>
    <x v="2"/>
    <m/>
    <m/>
    <n v="1"/>
    <s v="01"/>
    <s v="409"/>
    <s v="004"/>
    <s v="00"/>
    <s v="S"/>
    <s v="P"/>
    <s v="01"/>
    <s v="04"/>
    <s v="False"/>
    <s v="True"/>
    <s v="U0028105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4"/>
    <s v="BONIS SPA"/>
    <s v="STOCK SCAFFALE MP"/>
    <x v="8"/>
    <m/>
    <m/>
    <n v="4"/>
    <s v="01"/>
    <s v="409"/>
    <s v="004"/>
    <s v="00"/>
    <s v="S"/>
    <s v="P"/>
    <s v="01"/>
    <s v="04"/>
    <s v="False"/>
    <s v="True"/>
    <s v="U002375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5"/>
    <s v="BONIS SPA"/>
    <s v="STOCK SCAFFALE MP"/>
    <x v="8"/>
    <m/>
    <m/>
    <n v="2"/>
    <s v="01"/>
    <s v="409"/>
    <s v="004"/>
    <s v="00"/>
    <s v="S"/>
    <s v="P"/>
    <s v="01"/>
    <s v="04"/>
    <s v="False"/>
    <s v="True"/>
    <s v="U002375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6"/>
    <s v="BONIS SPA"/>
    <s v="STOCK SCAFFALE MP"/>
    <x v="8"/>
    <m/>
    <m/>
    <n v="6"/>
    <s v="01"/>
    <s v="409"/>
    <s v="004"/>
    <s v="00"/>
    <s v="S"/>
    <s v="P"/>
    <s v="01"/>
    <s v="04"/>
    <s v="False"/>
    <s v="True"/>
    <s v="U002375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8"/>
    <m/>
    <m/>
    <n v="6"/>
    <s v="01"/>
    <s v="409"/>
    <s v="004"/>
    <s v="00"/>
    <s v="S"/>
    <s v="P"/>
    <s v="01"/>
    <s v="04"/>
    <s v="False"/>
    <s v="True"/>
    <s v="U0028117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6"/>
    <s v="BONIS SPA"/>
    <s v="STOCK SCAFFALE MP"/>
    <x v="8"/>
    <m/>
    <m/>
    <n v="6"/>
    <s v="01"/>
    <s v="409"/>
    <s v="004"/>
    <s v="00"/>
    <s v="S"/>
    <s v="P"/>
    <s v="01"/>
    <s v="04"/>
    <s v="False"/>
    <s v="True"/>
    <s v="U0028117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8"/>
    <s v="BONIS SPA"/>
    <s v="STOCK SCAFFALE MP"/>
    <x v="8"/>
    <m/>
    <m/>
    <n v="7"/>
    <s v="01"/>
    <s v="409"/>
    <s v="004"/>
    <s v="00"/>
    <s v="S"/>
    <s v="P"/>
    <s v="01"/>
    <s v="04"/>
    <s v="False"/>
    <s v="True"/>
    <s v="U002812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5"/>
    <s v="BONIS SPA"/>
    <s v="STOCK SCAFFALE MP"/>
    <x v="8"/>
    <m/>
    <m/>
    <n v="1"/>
    <s v="01"/>
    <s v="409"/>
    <s v="004"/>
    <s v="00"/>
    <s v="S"/>
    <s v="P"/>
    <s v="01"/>
    <s v="04"/>
    <s v="False"/>
    <s v="True"/>
    <s v="U002812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6"/>
    <s v="BONIS SPA"/>
    <s v="STOCK SCAFFALE MP"/>
    <x v="8"/>
    <m/>
    <m/>
    <n v="2"/>
    <s v="01"/>
    <s v="409"/>
    <s v="004"/>
    <s v="00"/>
    <s v="S"/>
    <s v="P"/>
    <s v="01"/>
    <s v="04"/>
    <s v="False"/>
    <s v="True"/>
    <s v="U002812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8"/>
    <m/>
    <m/>
    <n v="2"/>
    <s v="01"/>
    <s v="409"/>
    <s v="004"/>
    <s v="00"/>
    <s v="S"/>
    <s v="P"/>
    <s v="01"/>
    <s v="04"/>
    <s v="False"/>
    <s v="True"/>
    <s v="U002812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5"/>
    <s v="BONIS SPA"/>
    <s v="STOCK SCAFFALE MP"/>
    <x v="8"/>
    <m/>
    <m/>
    <n v="3"/>
    <s v="01"/>
    <s v="409"/>
    <s v="004"/>
    <s v="00"/>
    <s v="S"/>
    <s v="P"/>
    <s v="01"/>
    <s v="04"/>
    <s v="False"/>
    <s v="True"/>
    <s v="U0028112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39"/>
    <m/>
    <x v="17"/>
    <s v="BONIS SPA"/>
    <s v="STOCK SCAFFALE MP"/>
    <x v="8"/>
    <m/>
    <m/>
    <n v="3"/>
    <s v="01"/>
    <s v="409"/>
    <s v="004"/>
    <s v="00"/>
    <s v="S"/>
    <s v="P"/>
    <s v="01"/>
    <s v="04"/>
    <s v="False"/>
    <s v="True"/>
    <s v="U0028112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1"/>
    <x v="1"/>
    <m/>
    <x v="16"/>
    <s v="BONIS SPA"/>
    <s v="STOCK SCAFFALE MP"/>
    <x v="1"/>
    <m/>
    <m/>
    <n v="5"/>
    <s v="01"/>
    <s v="409"/>
    <s v="001"/>
    <s v="00"/>
    <s v="S"/>
    <s v="P"/>
    <s v="01"/>
    <s v="04"/>
    <s v="False"/>
    <s v="True"/>
    <s v="U0028158"/>
    <n v="1"/>
    <m/>
    <n v="0"/>
    <n v="0"/>
    <m/>
    <s v="SMU"/>
    <m/>
    <m/>
    <m/>
    <m/>
    <m/>
    <m/>
    <s v="P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8"/>
    <s v="BONIS SPA"/>
    <s v="STOCK SCAFFALE MP"/>
    <x v="13"/>
    <m/>
    <m/>
    <n v="6"/>
    <s v="01"/>
    <s v="409"/>
    <s v="001"/>
    <s v="00"/>
    <s v="S"/>
    <s v="P"/>
    <s v="01"/>
    <s v="04"/>
    <s v="False"/>
    <s v="True"/>
    <s v="U0028158"/>
    <n v="1"/>
    <m/>
    <n v="0"/>
    <n v="0"/>
    <m/>
    <s v="SMU"/>
    <m/>
    <m/>
    <m/>
    <m/>
    <m/>
    <m/>
    <s v="P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4"/>
    <s v="BONIS SPA"/>
    <s v="STOCK SCAFFALE MP"/>
    <x v="13"/>
    <m/>
    <m/>
    <n v="1"/>
    <s v="01"/>
    <s v="409"/>
    <s v="001"/>
    <s v="00"/>
    <s v="S"/>
    <s v="P"/>
    <s v="01"/>
    <s v="04"/>
    <s v="False"/>
    <s v="True"/>
    <s v="U0032593"/>
    <n v="1"/>
    <m/>
    <n v="0"/>
    <n v="0"/>
    <m/>
    <s v="SMU"/>
    <m/>
    <m/>
    <m/>
    <m/>
    <m/>
    <m/>
    <s v="P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5"/>
    <s v="BONIS SPA"/>
    <s v="STOCK SCAFFALE MP"/>
    <x v="13"/>
    <m/>
    <m/>
    <n v="2"/>
    <s v="01"/>
    <s v="409"/>
    <s v="001"/>
    <s v="00"/>
    <s v="S"/>
    <s v="P"/>
    <s v="01"/>
    <s v="04"/>
    <s v="False"/>
    <s v="True"/>
    <s v="U0032593"/>
    <n v="1"/>
    <m/>
    <n v="0"/>
    <n v="0"/>
    <m/>
    <s v="SMU"/>
    <m/>
    <m/>
    <m/>
    <m/>
    <m/>
    <m/>
    <s v="P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6"/>
    <s v="BONIS SPA"/>
    <s v="STOCK SCAFFALE MP"/>
    <x v="13"/>
    <m/>
    <m/>
    <n v="3"/>
    <s v="01"/>
    <s v="409"/>
    <s v="001"/>
    <s v="00"/>
    <s v="S"/>
    <s v="P"/>
    <s v="01"/>
    <s v="04"/>
    <s v="False"/>
    <s v="True"/>
    <s v="U0032593"/>
    <n v="1"/>
    <m/>
    <n v="0"/>
    <n v="0"/>
    <m/>
    <s v="SMU"/>
    <m/>
    <m/>
    <m/>
    <m/>
    <m/>
    <m/>
    <s v="P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7"/>
    <s v="BONIS SPA"/>
    <s v="STOCK SCAFFALE MP"/>
    <x v="13"/>
    <m/>
    <m/>
    <n v="3"/>
    <s v="01"/>
    <s v="409"/>
    <s v="001"/>
    <s v="00"/>
    <s v="S"/>
    <s v="P"/>
    <s v="01"/>
    <s v="04"/>
    <s v="False"/>
    <s v="True"/>
    <s v="U0032593"/>
    <n v="1"/>
    <m/>
    <n v="0"/>
    <n v="0"/>
    <m/>
    <s v="SMU"/>
    <m/>
    <m/>
    <m/>
    <m/>
    <m/>
    <m/>
    <s v="P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8"/>
    <s v="BONIS SPA"/>
    <s v="STOCK SCAFFALE MP"/>
    <x v="13"/>
    <m/>
    <m/>
    <n v="2"/>
    <s v="01"/>
    <s v="409"/>
    <s v="001"/>
    <s v="00"/>
    <s v="S"/>
    <s v="P"/>
    <s v="01"/>
    <s v="04"/>
    <s v="False"/>
    <s v="True"/>
    <s v="U0032593"/>
    <n v="1"/>
    <m/>
    <n v="0"/>
    <n v="0"/>
    <m/>
    <s v="SMU"/>
    <m/>
    <m/>
    <m/>
    <m/>
    <m/>
    <m/>
    <s v="P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7"/>
    <s v="BONIS SPA"/>
    <s v="STOCK SCAFFALE MP"/>
    <x v="1"/>
    <m/>
    <m/>
    <n v="12"/>
    <s v="01"/>
    <s v="409"/>
    <s v="001"/>
    <s v="00"/>
    <s v="S"/>
    <s v="P"/>
    <s v="01"/>
    <s v="04"/>
    <s v="False"/>
    <s v="True"/>
    <s v="U0028157"/>
    <n v="1"/>
    <m/>
    <n v="0"/>
    <n v="0"/>
    <m/>
    <s v="SMU"/>
    <m/>
    <m/>
    <m/>
    <m/>
    <m/>
    <m/>
    <s v="P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6"/>
    <s v="BONIS SPA"/>
    <s v="STOCK SCAFFALE MP"/>
    <x v="1"/>
    <m/>
    <m/>
    <n v="3"/>
    <s v="01"/>
    <s v="409"/>
    <s v="001"/>
    <s v="00"/>
    <s v="S"/>
    <s v="P"/>
    <s v="01"/>
    <s v="04"/>
    <s v="False"/>
    <s v="True"/>
    <s v="U0032592"/>
    <n v="1"/>
    <m/>
    <n v="0"/>
    <n v="0"/>
    <m/>
    <s v="SMU"/>
    <m/>
    <m/>
    <m/>
    <m/>
    <m/>
    <m/>
    <s v="1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7"/>
    <s v="BONIS SPA"/>
    <s v="STOCK SCAFFALE MP"/>
    <x v="1"/>
    <m/>
    <m/>
    <n v="1"/>
    <s v="01"/>
    <s v="409"/>
    <s v="001"/>
    <s v="00"/>
    <s v="S"/>
    <s v="P"/>
    <s v="01"/>
    <s v="04"/>
    <s v="False"/>
    <s v="True"/>
    <s v="U0032592"/>
    <n v="1"/>
    <m/>
    <n v="0"/>
    <n v="0"/>
    <m/>
    <s v="SMU"/>
    <m/>
    <m/>
    <m/>
    <m/>
    <m/>
    <m/>
    <s v="1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8"/>
    <s v="BONIS SPA"/>
    <s v="STOCK SCAFFALE MP"/>
    <x v="1"/>
    <m/>
    <m/>
    <n v="6"/>
    <s v="01"/>
    <s v="409"/>
    <s v="001"/>
    <s v="00"/>
    <s v="S"/>
    <s v="P"/>
    <s v="01"/>
    <s v="04"/>
    <s v="False"/>
    <s v="True"/>
    <s v="U0028162"/>
    <n v="1"/>
    <m/>
    <n v="0"/>
    <n v="0"/>
    <m/>
    <s v="SMU"/>
    <m/>
    <m/>
    <m/>
    <m/>
    <m/>
    <m/>
    <s v="P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6"/>
    <s v="BONIS SPA"/>
    <s v="STOCK SCAFFALE MP"/>
    <x v="13"/>
    <m/>
    <m/>
    <n v="5"/>
    <s v="01"/>
    <s v="409"/>
    <s v="001"/>
    <s v="00"/>
    <s v="S"/>
    <s v="P"/>
    <s v="01"/>
    <s v="04"/>
    <s v="False"/>
    <s v="True"/>
    <s v="U0032592"/>
    <n v="1"/>
    <m/>
    <n v="0"/>
    <n v="0"/>
    <m/>
    <s v="SMU"/>
    <m/>
    <m/>
    <m/>
    <m/>
    <m/>
    <m/>
    <s v="1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6"/>
    <s v="BONIS SPA"/>
    <s v="STOCK SCAFFALE MP"/>
    <x v="13"/>
    <m/>
    <m/>
    <n v="2"/>
    <s v="01"/>
    <s v="409"/>
    <s v="001"/>
    <s v="00"/>
    <s v="S"/>
    <s v="P"/>
    <s v="01"/>
    <s v="04"/>
    <s v="False"/>
    <s v="True"/>
    <s v="U0032589"/>
    <n v="1"/>
    <m/>
    <n v="0"/>
    <n v="0"/>
    <m/>
    <s v="SMU"/>
    <m/>
    <m/>
    <m/>
    <m/>
    <m/>
    <m/>
    <s v="1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7"/>
    <s v="BONIS SPA"/>
    <s v="STOCK SCAFFALE MP"/>
    <x v="13"/>
    <m/>
    <m/>
    <n v="1"/>
    <s v="01"/>
    <s v="409"/>
    <s v="001"/>
    <s v="00"/>
    <s v="S"/>
    <s v="P"/>
    <s v="01"/>
    <s v="04"/>
    <s v="False"/>
    <s v="True"/>
    <s v="U0032592"/>
    <n v="1"/>
    <m/>
    <n v="0"/>
    <n v="0"/>
    <m/>
    <s v="SMU"/>
    <m/>
    <m/>
    <m/>
    <m/>
    <m/>
    <m/>
    <s v="P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7"/>
    <s v="BONIS SPA"/>
    <s v="STOCK SCAFFALE MP"/>
    <x v="13"/>
    <m/>
    <m/>
    <n v="4"/>
    <s v="01"/>
    <s v="409"/>
    <s v="001"/>
    <s v="00"/>
    <s v="S"/>
    <s v="P"/>
    <s v="01"/>
    <s v="04"/>
    <s v="False"/>
    <s v="True"/>
    <s v="U0032589"/>
    <n v="1"/>
    <m/>
    <n v="0"/>
    <n v="0"/>
    <m/>
    <s v="SMU"/>
    <m/>
    <m/>
    <m/>
    <m/>
    <m/>
    <m/>
    <s v="1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5"/>
    <s v="BONIS SPA"/>
    <s v="STOCK SCAFFALE MP"/>
    <x v="13"/>
    <m/>
    <m/>
    <n v="5"/>
    <s v="01"/>
    <s v="409"/>
    <s v="001"/>
    <s v="00"/>
    <s v="S"/>
    <s v="P"/>
    <s v="01"/>
    <s v="04"/>
    <s v="False"/>
    <s v="True"/>
    <s v="U0022756"/>
    <n v="1"/>
    <m/>
    <n v="0"/>
    <n v="0"/>
    <m/>
    <s v="SMU"/>
    <m/>
    <m/>
    <m/>
    <m/>
    <m/>
    <m/>
    <s v="P11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39"/>
    <m/>
    <x v="18"/>
    <s v="BONIS SPA"/>
    <s v="STOCK SCAFFALE MP"/>
    <x v="2"/>
    <m/>
    <m/>
    <n v="3"/>
    <s v="01"/>
    <s v="409"/>
    <s v="001"/>
    <s v="00"/>
    <s v="S"/>
    <s v="P"/>
    <s v="01"/>
    <s v="04"/>
    <s v="False"/>
    <s v="True"/>
    <s v="U0023726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1"/>
    <x v="39"/>
    <m/>
    <x v="19"/>
    <s v="BONIS SPA"/>
    <s v="STOCK SCAFFALE MP"/>
    <x v="2"/>
    <m/>
    <m/>
    <n v="5"/>
    <s v="01"/>
    <s v="409"/>
    <s v="001"/>
    <s v="00"/>
    <s v="S"/>
    <s v="P"/>
    <s v="01"/>
    <s v="04"/>
    <s v="False"/>
    <s v="True"/>
    <s v="U0023726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1"/>
    <x v="78"/>
    <m/>
    <x v="19"/>
    <s v="BONIS SPA"/>
    <s v="STOCK SCAFFALE MP"/>
    <x v="1"/>
    <m/>
    <m/>
    <n v="5"/>
    <s v="01"/>
    <s v="409"/>
    <s v="001"/>
    <s v="00"/>
    <s v="S"/>
    <s v="P"/>
    <s v="01"/>
    <s v="04"/>
    <s v="False"/>
    <s v="True"/>
    <s v="U0032589"/>
    <n v="1"/>
    <m/>
    <n v="0"/>
    <n v="0"/>
    <m/>
    <s v="SMU"/>
    <m/>
    <m/>
    <m/>
    <m/>
    <m/>
    <m/>
    <s v="P11"/>
    <s v="MAN"/>
    <s v="PA"/>
    <m/>
    <m/>
    <m/>
    <m/>
    <s v="False"/>
    <m/>
    <s v="NOBIL"/>
    <m/>
    <m/>
    <m/>
    <m/>
    <m/>
    <m/>
    <s v="PF"/>
    <n v="0"/>
    <n v="0"/>
    <n v="0"/>
    <n v="0"/>
    <n v="0"/>
    <s v="BBER FLAT MOL.TW CANVAS+MICROS"/>
    <s v="Bonis SpA"/>
    <m/>
    <m/>
    <m/>
    <m/>
    <m/>
    <m/>
    <m/>
    <m/>
    <m/>
    <m/>
    <m/>
    <m/>
  </r>
  <r>
    <m/>
    <n v="2521"/>
    <x v="1"/>
    <m/>
    <x v="17"/>
    <s v="BONIS SPA"/>
    <s v="STOCK SCAFFALE MP"/>
    <x v="1"/>
    <m/>
    <m/>
    <n v="3"/>
    <s v="01"/>
    <s v="409"/>
    <s v="001"/>
    <s v="00"/>
    <s v="S"/>
    <s v="P"/>
    <s v="01"/>
    <s v="04"/>
    <s v="False"/>
    <s v="True"/>
    <s v="U0022756"/>
    <n v="1"/>
    <m/>
    <n v="0"/>
    <n v="0"/>
    <m/>
    <s v="SMU"/>
    <m/>
    <m/>
    <m/>
    <m/>
    <m/>
    <m/>
    <s v="1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21"/>
    <x v="1"/>
    <m/>
    <x v="19"/>
    <s v="BONIS SPA"/>
    <s v="STOCK SCAFFALE MP"/>
    <x v="1"/>
    <m/>
    <m/>
    <n v="1"/>
    <s v="01"/>
    <s v="409"/>
    <s v="001"/>
    <s v="00"/>
    <s v="S"/>
    <s v="P"/>
    <s v="01"/>
    <s v="04"/>
    <s v="False"/>
    <s v="True"/>
    <s v="U0022756"/>
    <n v="1"/>
    <m/>
    <n v="0"/>
    <n v="0"/>
    <m/>
    <s v="SMU"/>
    <m/>
    <m/>
    <m/>
    <m/>
    <m/>
    <m/>
    <s v="106"/>
    <s v="WOMAN"/>
    <s v="PA"/>
    <m/>
    <m/>
    <m/>
    <m/>
    <s v="False"/>
    <m/>
    <s v="NOBIW"/>
    <m/>
    <m/>
    <m/>
    <m/>
    <m/>
    <m/>
    <s v="PF"/>
    <n v="0"/>
    <n v="0"/>
    <n v="0"/>
    <n v="0"/>
    <n v="0"/>
    <s v="UBBER FLAT MOL.CANVAS+MICROSUE"/>
    <s v="Bonis SpA"/>
    <m/>
    <m/>
    <m/>
    <m/>
    <m/>
    <m/>
    <m/>
    <m/>
    <m/>
    <m/>
    <m/>
    <m/>
  </r>
  <r>
    <m/>
    <n v="2530"/>
    <x v="82"/>
    <m/>
    <x v="21"/>
    <s v="BONIS SPA"/>
    <s v="STOCK SCAFFALE MP"/>
    <x v="4"/>
    <m/>
    <m/>
    <n v="1"/>
    <s v="01"/>
    <s v="409"/>
    <s v="004"/>
    <s v="00"/>
    <s v="S"/>
    <s v="P"/>
    <s v="01"/>
    <s v="04"/>
    <s v="False"/>
    <s v="True"/>
    <s v="U0032588"/>
    <n v="1"/>
    <m/>
    <n v="0"/>
    <n v="0"/>
    <m/>
    <s v="SMU"/>
    <m/>
    <m/>
    <m/>
    <m/>
    <m/>
    <m/>
    <s v="P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30"/>
    <x v="82"/>
    <m/>
    <x v="18"/>
    <s v="BONIS SPA"/>
    <s v="STOCK SCAFFALE MP"/>
    <x v="4"/>
    <m/>
    <m/>
    <n v="2"/>
    <s v="01"/>
    <s v="409"/>
    <s v="004"/>
    <s v="00"/>
    <s v="S"/>
    <s v="P"/>
    <s v="01"/>
    <s v="04"/>
    <s v="False"/>
    <s v="True"/>
    <s v="U0032588"/>
    <n v="1"/>
    <m/>
    <n v="0"/>
    <n v="0"/>
    <m/>
    <s v="SMU"/>
    <m/>
    <m/>
    <m/>
    <m/>
    <m/>
    <m/>
    <s v="P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30"/>
    <x v="82"/>
    <m/>
    <x v="19"/>
    <s v="BONIS SPA"/>
    <s v="STOCK SCAFFALE MP"/>
    <x v="4"/>
    <m/>
    <m/>
    <n v="1"/>
    <s v="01"/>
    <s v="409"/>
    <s v="004"/>
    <s v="00"/>
    <s v="S"/>
    <s v="P"/>
    <s v="01"/>
    <s v="04"/>
    <s v="False"/>
    <s v="True"/>
    <s v="U0032588"/>
    <n v="1"/>
    <m/>
    <n v="0"/>
    <n v="0"/>
    <m/>
    <s v="SMU"/>
    <m/>
    <m/>
    <m/>
    <m/>
    <m/>
    <m/>
    <s v="P11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27"/>
    <x v="82"/>
    <m/>
    <x v="8"/>
    <s v="BONIS SPA"/>
    <s v="STOCK SCAFFALE MP"/>
    <x v="10"/>
    <m/>
    <m/>
    <n v="1"/>
    <s v="01"/>
    <s v="409"/>
    <s v="003"/>
    <s v="00"/>
    <s v="S"/>
    <s v="P"/>
    <s v="01"/>
    <s v="04"/>
    <s v="False"/>
    <s v="True"/>
    <s v="U002363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27"/>
    <x v="82"/>
    <m/>
    <x v="8"/>
    <s v="BONIS SPA"/>
    <s v="STOCK SCAFFALE MP"/>
    <x v="2"/>
    <m/>
    <m/>
    <n v="1"/>
    <s v="01"/>
    <s v="409"/>
    <s v="003"/>
    <s v="00"/>
    <s v="S"/>
    <s v="P"/>
    <s v="01"/>
    <s v="04"/>
    <s v="False"/>
    <s v="True"/>
    <s v="U0023632"/>
    <n v="1"/>
    <m/>
    <n v="0"/>
    <n v="0"/>
    <m/>
    <s v="SMU"/>
    <m/>
    <m/>
    <m/>
    <m/>
    <m/>
    <m/>
    <s v="106"/>
    <s v="MAN"/>
    <s v="PA"/>
    <m/>
    <m/>
    <m/>
    <m/>
    <s v="False"/>
    <m/>
    <s v="MARCS"/>
    <m/>
    <m/>
    <m/>
    <m/>
    <m/>
    <m/>
    <s v="PF"/>
    <n v="0"/>
    <n v="0"/>
    <n v="0"/>
    <n v="0"/>
    <n v="0"/>
    <s v="RCS GOMMA TWILL CANVAS"/>
    <s v="Bonis SpA"/>
    <m/>
    <m/>
    <m/>
    <m/>
    <m/>
    <m/>
    <m/>
    <m/>
    <m/>
    <m/>
    <m/>
    <m/>
  </r>
  <r>
    <m/>
    <n v="2530"/>
    <x v="40"/>
    <m/>
    <x v="19"/>
    <s v="BONIS SPA"/>
    <s v="STOCK SCAFFALE MP"/>
    <x v="13"/>
    <m/>
    <m/>
    <n v="2"/>
    <s v="01"/>
    <s v="409"/>
    <s v="004"/>
    <s v="00"/>
    <s v="S"/>
    <s v="P"/>
    <s v="01"/>
    <s v="04"/>
    <s v="False"/>
    <s v="True"/>
    <s v="U0032586"/>
    <n v="1"/>
    <m/>
    <n v="0"/>
    <n v="0"/>
    <m/>
    <s v="SMU"/>
    <m/>
    <m/>
    <m/>
    <m/>
    <m/>
    <m/>
    <s v="P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30"/>
    <x v="40"/>
    <m/>
    <x v="17"/>
    <s v="BONIS SPA"/>
    <s v="STOCK SCAFFALE MP"/>
    <x v="10"/>
    <m/>
    <m/>
    <n v="1"/>
    <s v="01"/>
    <s v="409"/>
    <s v="004"/>
    <s v="00"/>
    <s v="S"/>
    <s v="P"/>
    <s v="01"/>
    <s v="04"/>
    <s v="False"/>
    <s v="True"/>
    <s v="U0032586"/>
    <n v="1"/>
    <m/>
    <n v="0"/>
    <n v="0"/>
    <m/>
    <s v="SMU"/>
    <m/>
    <m/>
    <m/>
    <m/>
    <m/>
    <m/>
    <s v="P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30"/>
    <x v="0"/>
    <m/>
    <x v="9"/>
    <s v="BONIS SPA"/>
    <s v="STOCK SCAFFALE MP"/>
    <x v="10"/>
    <m/>
    <m/>
    <n v="3"/>
    <s v="01"/>
    <s v="409"/>
    <s v="004"/>
    <s v="00"/>
    <s v="S"/>
    <s v="P"/>
    <s v="01"/>
    <s v="04"/>
    <s v="False"/>
    <s v="True"/>
    <s v="U0032584"/>
    <n v="1"/>
    <m/>
    <n v="0"/>
    <n v="0"/>
    <m/>
    <s v="SMU"/>
    <m/>
    <m/>
    <m/>
    <m/>
    <m/>
    <m/>
    <s v="P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36"/>
    <m/>
    <x v="19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85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9"/>
    <s v="BONIS SPA"/>
    <s v="STOCK SCAFFALE MP"/>
    <x v="4"/>
    <m/>
    <m/>
    <n v="3"/>
    <s v="01"/>
    <s v="409"/>
    <s v="006"/>
    <s v="00"/>
    <s v="S"/>
    <s v="P"/>
    <s v="01"/>
    <s v="04"/>
    <s v="False"/>
    <s v="True"/>
    <s v="U0032585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8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85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21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85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8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75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9"/>
    <s v="BONIS SPA"/>
    <s v="STOCK SCAFFALE MP"/>
    <x v="4"/>
    <m/>
    <m/>
    <n v="3"/>
    <s v="01"/>
    <s v="409"/>
    <s v="006"/>
    <s v="00"/>
    <s v="S"/>
    <s v="P"/>
    <s v="01"/>
    <s v="04"/>
    <s v="False"/>
    <s v="True"/>
    <s v="U0032576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18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8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19"/>
    <s v="BONIS SPA"/>
    <s v="STOCK SCAFFALE MP"/>
    <x v="4"/>
    <m/>
    <m/>
    <n v="5"/>
    <s v="01"/>
    <s v="409"/>
    <s v="006"/>
    <s v="00"/>
    <s v="S"/>
    <s v="P"/>
    <s v="01"/>
    <s v="04"/>
    <s v="False"/>
    <s v="True"/>
    <s v="U003258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9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82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8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8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8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73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21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82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18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85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9"/>
    <s v="BONIS SPA"/>
    <s v="STOCK SCAFFALE MP"/>
    <x v="10"/>
    <m/>
    <m/>
    <n v="3"/>
    <s v="01"/>
    <s v="409"/>
    <s v="006"/>
    <s v="00"/>
    <s v="S"/>
    <s v="P"/>
    <s v="01"/>
    <s v="04"/>
    <s v="False"/>
    <s v="True"/>
    <s v="U0032569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8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68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8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69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18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8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19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8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20"/>
    <s v="BONIS SPA"/>
    <s v="STOCK SCAFFALE MP"/>
    <x v="10"/>
    <m/>
    <m/>
    <n v="3"/>
    <s v="01"/>
    <s v="409"/>
    <s v="006"/>
    <s v="00"/>
    <s v="S"/>
    <s v="P"/>
    <s v="01"/>
    <s v="04"/>
    <s v="False"/>
    <s v="True"/>
    <s v="U003258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9"/>
    <s v="BONIS SPA"/>
    <s v="STOCK SCAFFALE MP"/>
    <x v="10"/>
    <m/>
    <m/>
    <n v="3"/>
    <s v="01"/>
    <s v="409"/>
    <s v="006"/>
    <s v="00"/>
    <s v="S"/>
    <s v="P"/>
    <s v="01"/>
    <s v="04"/>
    <s v="False"/>
    <s v="True"/>
    <s v="U003258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8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8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6"/>
    <m/>
    <x v="21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8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8"/>
    <s v="BONIS SPA"/>
    <s v="STOCK SCAFFALE MP"/>
    <x v="8"/>
    <m/>
    <m/>
    <n v="1"/>
    <s v="01"/>
    <s v="409"/>
    <s v="006"/>
    <s v="00"/>
    <s v="S"/>
    <s v="P"/>
    <s v="01"/>
    <s v="04"/>
    <s v="False"/>
    <s v="True"/>
    <s v="U0032578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9"/>
    <s v="BONIS SPA"/>
    <s v="STOCK SCAFFALE MP"/>
    <x v="8"/>
    <m/>
    <m/>
    <n v="2"/>
    <s v="01"/>
    <s v="409"/>
    <s v="006"/>
    <s v="00"/>
    <s v="S"/>
    <s v="P"/>
    <s v="01"/>
    <s v="04"/>
    <s v="False"/>
    <s v="True"/>
    <s v="U0032578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20"/>
    <s v="BONIS SPA"/>
    <s v="STOCK SCAFFALE MP"/>
    <x v="8"/>
    <m/>
    <m/>
    <n v="3"/>
    <s v="01"/>
    <s v="409"/>
    <s v="006"/>
    <s v="00"/>
    <s v="S"/>
    <s v="P"/>
    <s v="01"/>
    <s v="04"/>
    <s v="False"/>
    <s v="True"/>
    <s v="U0032578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9"/>
    <s v="BONIS SPA"/>
    <s v="STOCK SCAFFALE MP"/>
    <x v="8"/>
    <m/>
    <m/>
    <n v="3"/>
    <s v="01"/>
    <s v="409"/>
    <s v="006"/>
    <s v="00"/>
    <s v="S"/>
    <s v="P"/>
    <s v="01"/>
    <s v="04"/>
    <s v="False"/>
    <s v="True"/>
    <s v="U0032578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8"/>
    <s v="BONIS SPA"/>
    <s v="STOCK SCAFFALE MP"/>
    <x v="8"/>
    <m/>
    <m/>
    <n v="2"/>
    <s v="01"/>
    <s v="409"/>
    <s v="006"/>
    <s v="00"/>
    <s v="S"/>
    <s v="P"/>
    <s v="01"/>
    <s v="04"/>
    <s v="False"/>
    <s v="True"/>
    <s v="U0032578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8"/>
    <s v="BONIS SPA"/>
    <s v="STOCK SCAFFALE MP"/>
    <x v="8"/>
    <m/>
    <m/>
    <n v="1"/>
    <s v="01"/>
    <s v="409"/>
    <s v="006"/>
    <s v="00"/>
    <s v="S"/>
    <s v="P"/>
    <s v="01"/>
    <s v="04"/>
    <s v="False"/>
    <s v="True"/>
    <s v="U003257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9"/>
    <s v="BONIS SPA"/>
    <s v="STOCK SCAFFALE MP"/>
    <x v="8"/>
    <m/>
    <m/>
    <n v="2"/>
    <s v="01"/>
    <s v="409"/>
    <s v="006"/>
    <s v="00"/>
    <s v="S"/>
    <s v="P"/>
    <s v="01"/>
    <s v="04"/>
    <s v="False"/>
    <s v="True"/>
    <s v="U003257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20"/>
    <s v="BONIS SPA"/>
    <s v="STOCK SCAFFALE MP"/>
    <x v="8"/>
    <m/>
    <m/>
    <n v="3"/>
    <s v="01"/>
    <s v="409"/>
    <s v="006"/>
    <s v="00"/>
    <s v="S"/>
    <s v="P"/>
    <s v="01"/>
    <s v="04"/>
    <s v="False"/>
    <s v="True"/>
    <s v="U003257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9"/>
    <s v="BONIS SPA"/>
    <s v="STOCK SCAFFALE MP"/>
    <x v="8"/>
    <m/>
    <m/>
    <n v="3"/>
    <s v="01"/>
    <s v="409"/>
    <s v="006"/>
    <s v="00"/>
    <s v="S"/>
    <s v="P"/>
    <s v="01"/>
    <s v="04"/>
    <s v="False"/>
    <s v="True"/>
    <s v="U003257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8"/>
    <s v="BONIS SPA"/>
    <s v="STOCK SCAFFALE MP"/>
    <x v="8"/>
    <m/>
    <m/>
    <n v="2"/>
    <s v="01"/>
    <s v="409"/>
    <s v="006"/>
    <s v="00"/>
    <s v="S"/>
    <s v="P"/>
    <s v="01"/>
    <s v="04"/>
    <s v="False"/>
    <s v="True"/>
    <s v="U003257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8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76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9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76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9"/>
    <s v="BONIS SPA"/>
    <s v="STOCK SCAFFALE MP"/>
    <x v="10"/>
    <m/>
    <m/>
    <n v="3"/>
    <s v="01"/>
    <s v="409"/>
    <s v="006"/>
    <s v="00"/>
    <s v="S"/>
    <s v="P"/>
    <s v="01"/>
    <s v="04"/>
    <s v="False"/>
    <s v="True"/>
    <s v="U0032576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20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76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8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76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8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75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9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75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20"/>
    <s v="BONIS SPA"/>
    <s v="STOCK SCAFFALE MP"/>
    <x v="10"/>
    <m/>
    <m/>
    <n v="3"/>
    <s v="01"/>
    <s v="409"/>
    <s v="006"/>
    <s v="00"/>
    <s v="S"/>
    <s v="P"/>
    <s v="01"/>
    <s v="04"/>
    <s v="False"/>
    <s v="True"/>
    <s v="U0032575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9"/>
    <s v="BONIS SPA"/>
    <s v="STOCK SCAFFALE MP"/>
    <x v="10"/>
    <m/>
    <m/>
    <n v="3"/>
    <s v="01"/>
    <s v="409"/>
    <s v="006"/>
    <s v="00"/>
    <s v="S"/>
    <s v="P"/>
    <s v="01"/>
    <s v="04"/>
    <s v="False"/>
    <s v="True"/>
    <s v="U0032575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8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75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8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70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9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70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20"/>
    <s v="BONIS SPA"/>
    <s v="STOCK SCAFFALE MP"/>
    <x v="10"/>
    <m/>
    <m/>
    <n v="3"/>
    <s v="01"/>
    <s v="409"/>
    <s v="006"/>
    <s v="00"/>
    <s v="S"/>
    <s v="P"/>
    <s v="01"/>
    <s v="04"/>
    <s v="False"/>
    <s v="True"/>
    <s v="U0032570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9"/>
    <s v="BONIS SPA"/>
    <s v="STOCK SCAFFALE MP"/>
    <x v="10"/>
    <m/>
    <m/>
    <n v="3"/>
    <s v="01"/>
    <s v="409"/>
    <s v="006"/>
    <s v="00"/>
    <s v="S"/>
    <s v="P"/>
    <s v="01"/>
    <s v="04"/>
    <s v="False"/>
    <s v="True"/>
    <s v="U0032570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8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70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8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69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9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69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20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69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9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69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8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69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8"/>
    <s v="BONIS SPA"/>
    <s v="STOCK SCAFFALE MP"/>
    <x v="2"/>
    <m/>
    <m/>
    <n v="1"/>
    <s v="01"/>
    <s v="409"/>
    <s v="006"/>
    <s v="00"/>
    <s v="S"/>
    <s v="P"/>
    <s v="01"/>
    <s v="04"/>
    <s v="False"/>
    <s v="True"/>
    <s v="U0032564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8"/>
    <s v="BONIS SPA"/>
    <s v="STOCK SCAFFALE MP"/>
    <x v="2"/>
    <m/>
    <m/>
    <n v="1"/>
    <s v="01"/>
    <s v="409"/>
    <s v="006"/>
    <s v="00"/>
    <s v="S"/>
    <s v="P"/>
    <s v="01"/>
    <s v="04"/>
    <s v="False"/>
    <s v="True"/>
    <s v="U0032566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9"/>
    <s v="BONIS SPA"/>
    <s v="STOCK SCAFFALE MP"/>
    <x v="2"/>
    <m/>
    <m/>
    <n v="2"/>
    <s v="01"/>
    <s v="409"/>
    <s v="006"/>
    <s v="00"/>
    <s v="S"/>
    <s v="P"/>
    <s v="01"/>
    <s v="04"/>
    <s v="False"/>
    <s v="True"/>
    <s v="U0032566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9"/>
    <s v="BONIS SPA"/>
    <s v="STOCK SCAFFALE MP"/>
    <x v="2"/>
    <m/>
    <m/>
    <n v="1"/>
    <s v="01"/>
    <s v="409"/>
    <s v="006"/>
    <s v="00"/>
    <s v="S"/>
    <s v="P"/>
    <s v="01"/>
    <s v="04"/>
    <s v="False"/>
    <s v="True"/>
    <s v="U0032576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35"/>
    <m/>
    <x v="19"/>
    <s v="BONIS SPA"/>
    <s v="STOCK SCAFFALE MP"/>
    <x v="2"/>
    <m/>
    <m/>
    <n v="1"/>
    <s v="01"/>
    <s v="409"/>
    <s v="006"/>
    <s v="00"/>
    <s v="S"/>
    <s v="P"/>
    <s v="01"/>
    <s v="04"/>
    <s v="False"/>
    <s v="True"/>
    <s v="U0032577"/>
    <n v="1"/>
    <m/>
    <n v="0"/>
    <n v="0"/>
    <m/>
    <s v="SMU"/>
    <m/>
    <m/>
    <m/>
    <m/>
    <m/>
    <m/>
    <s v="106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6"/>
    <x v="0"/>
    <m/>
    <x v="18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7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19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7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20"/>
    <s v="BONIS SPA"/>
    <s v="STOCK SCAFFALE MP"/>
    <x v="10"/>
    <m/>
    <m/>
    <n v="3"/>
    <s v="01"/>
    <s v="409"/>
    <s v="006"/>
    <s v="00"/>
    <s v="S"/>
    <s v="P"/>
    <s v="01"/>
    <s v="04"/>
    <s v="False"/>
    <s v="True"/>
    <s v="U003257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9"/>
    <s v="BONIS SPA"/>
    <s v="STOCK SCAFFALE MP"/>
    <x v="10"/>
    <m/>
    <m/>
    <n v="3"/>
    <s v="01"/>
    <s v="409"/>
    <s v="006"/>
    <s v="00"/>
    <s v="S"/>
    <s v="P"/>
    <s v="01"/>
    <s v="04"/>
    <s v="False"/>
    <s v="True"/>
    <s v="U003257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8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7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19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61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20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61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9"/>
    <s v="BONIS SPA"/>
    <s v="STOCK SCAFFALE MP"/>
    <x v="10"/>
    <m/>
    <m/>
    <n v="2"/>
    <s v="01"/>
    <s v="409"/>
    <s v="006"/>
    <s v="00"/>
    <s v="S"/>
    <s v="P"/>
    <s v="01"/>
    <s v="04"/>
    <s v="False"/>
    <s v="True"/>
    <s v="U0032561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9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68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8"/>
    <s v="BONIS SPA"/>
    <s v="STOCK SCAFFALE MP"/>
    <x v="10"/>
    <m/>
    <m/>
    <n v="1"/>
    <s v="01"/>
    <s v="409"/>
    <s v="006"/>
    <s v="00"/>
    <s v="S"/>
    <s v="P"/>
    <s v="01"/>
    <s v="04"/>
    <s v="False"/>
    <s v="True"/>
    <s v="U0032567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18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61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9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61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9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78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20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61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20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70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8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61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18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6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19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6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20"/>
    <s v="BONIS SPA"/>
    <s v="STOCK SCAFFALE MP"/>
    <x v="4"/>
    <m/>
    <m/>
    <n v="4"/>
    <s v="01"/>
    <s v="409"/>
    <s v="006"/>
    <s v="00"/>
    <s v="S"/>
    <s v="P"/>
    <s v="01"/>
    <s v="04"/>
    <s v="False"/>
    <s v="True"/>
    <s v="U0032563"/>
    <n v="1"/>
    <m/>
    <n v="0"/>
    <n v="0"/>
    <m/>
    <s v="SMU"/>
    <m/>
    <m/>
    <m/>
    <m/>
    <m/>
    <m/>
    <s v="1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9"/>
    <s v="BONIS SPA"/>
    <s v="STOCK SCAFFALE MP"/>
    <x v="4"/>
    <m/>
    <m/>
    <n v="3"/>
    <s v="01"/>
    <s v="409"/>
    <s v="006"/>
    <s v="00"/>
    <s v="S"/>
    <s v="P"/>
    <s v="01"/>
    <s v="04"/>
    <s v="False"/>
    <s v="True"/>
    <s v="U003256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8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63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18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64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20"/>
    <s v="BONIS SPA"/>
    <s v="STOCK SCAFFALE MP"/>
    <x v="4"/>
    <m/>
    <m/>
    <n v="3"/>
    <s v="01"/>
    <s v="409"/>
    <s v="006"/>
    <s v="00"/>
    <s v="S"/>
    <s v="P"/>
    <s v="01"/>
    <s v="04"/>
    <s v="False"/>
    <s v="True"/>
    <s v="U0032564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9"/>
    <s v="BONIS SPA"/>
    <s v="STOCK SCAFFALE MP"/>
    <x v="4"/>
    <m/>
    <m/>
    <n v="3"/>
    <s v="01"/>
    <s v="409"/>
    <s v="006"/>
    <s v="00"/>
    <s v="S"/>
    <s v="P"/>
    <s v="01"/>
    <s v="04"/>
    <s v="False"/>
    <s v="True"/>
    <s v="U0032564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19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64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0"/>
    <m/>
    <x v="8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64"/>
    <n v="1"/>
    <m/>
    <n v="0"/>
    <n v="0"/>
    <m/>
    <s v="SMU"/>
    <m/>
    <m/>
    <m/>
    <m/>
    <m/>
    <m/>
    <s v="F11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6"/>
    <x v="80"/>
    <m/>
    <x v="18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66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19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66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20"/>
    <s v="BONIS SPA"/>
    <s v="STOCK SCAFFALE MP"/>
    <x v="4"/>
    <m/>
    <m/>
    <n v="3"/>
    <s v="01"/>
    <s v="409"/>
    <s v="006"/>
    <s v="00"/>
    <s v="S"/>
    <s v="P"/>
    <s v="01"/>
    <s v="04"/>
    <s v="False"/>
    <s v="True"/>
    <s v="U0032566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9"/>
    <s v="BONIS SPA"/>
    <s v="STOCK SCAFFALE MP"/>
    <x v="4"/>
    <m/>
    <m/>
    <n v="1"/>
    <s v="01"/>
    <s v="409"/>
    <s v="006"/>
    <s v="00"/>
    <s v="S"/>
    <s v="P"/>
    <s v="01"/>
    <s v="04"/>
    <s v="False"/>
    <s v="True"/>
    <s v="U0032566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8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66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18"/>
    <s v="BONIS SPA"/>
    <s v="STOCK SCAFFALE MP"/>
    <x v="2"/>
    <m/>
    <m/>
    <n v="1"/>
    <s v="01"/>
    <s v="409"/>
    <s v="006"/>
    <s v="00"/>
    <s v="S"/>
    <s v="P"/>
    <s v="01"/>
    <s v="04"/>
    <s v="False"/>
    <s v="True"/>
    <s v="U0032568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19"/>
    <s v="BONIS SPA"/>
    <s v="STOCK SCAFFALE MP"/>
    <x v="2"/>
    <m/>
    <m/>
    <n v="2"/>
    <s v="01"/>
    <s v="409"/>
    <s v="006"/>
    <s v="00"/>
    <s v="S"/>
    <s v="P"/>
    <s v="01"/>
    <s v="04"/>
    <s v="False"/>
    <s v="True"/>
    <s v="U0032568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20"/>
    <s v="BONIS SPA"/>
    <s v="STOCK SCAFFALE MP"/>
    <x v="2"/>
    <m/>
    <m/>
    <n v="3"/>
    <s v="01"/>
    <s v="409"/>
    <s v="006"/>
    <s v="00"/>
    <s v="S"/>
    <s v="P"/>
    <s v="01"/>
    <s v="04"/>
    <s v="False"/>
    <s v="True"/>
    <s v="U0032568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8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68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19"/>
    <s v="BONIS SPA"/>
    <s v="STOCK SCAFFALE MP"/>
    <x v="4"/>
    <m/>
    <m/>
    <n v="2"/>
    <s v="01"/>
    <s v="409"/>
    <s v="006"/>
    <s v="00"/>
    <s v="S"/>
    <s v="P"/>
    <s v="01"/>
    <s v="04"/>
    <s v="False"/>
    <s v="True"/>
    <s v="U0032568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18"/>
    <s v="BONIS SPA"/>
    <s v="STOCK SCAFFALE MP"/>
    <x v="2"/>
    <m/>
    <m/>
    <n v="1"/>
    <s v="01"/>
    <s v="409"/>
    <s v="006"/>
    <s v="00"/>
    <s v="S"/>
    <s v="P"/>
    <s v="01"/>
    <s v="04"/>
    <s v="False"/>
    <s v="True"/>
    <s v="U0032567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19"/>
    <s v="BONIS SPA"/>
    <s v="STOCK SCAFFALE MP"/>
    <x v="2"/>
    <m/>
    <m/>
    <n v="2"/>
    <s v="01"/>
    <s v="409"/>
    <s v="006"/>
    <s v="00"/>
    <s v="S"/>
    <s v="P"/>
    <s v="01"/>
    <s v="04"/>
    <s v="False"/>
    <s v="True"/>
    <s v="U0032567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20"/>
    <s v="BONIS SPA"/>
    <s v="STOCK SCAFFALE MP"/>
    <x v="2"/>
    <m/>
    <m/>
    <n v="3"/>
    <s v="01"/>
    <s v="409"/>
    <s v="006"/>
    <s v="00"/>
    <s v="S"/>
    <s v="P"/>
    <s v="01"/>
    <s v="04"/>
    <s v="False"/>
    <s v="True"/>
    <s v="U0032567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9"/>
    <s v="BONIS SPA"/>
    <s v="STOCK SCAFFALE MP"/>
    <x v="2"/>
    <m/>
    <m/>
    <n v="3"/>
    <s v="01"/>
    <s v="409"/>
    <s v="006"/>
    <s v="00"/>
    <s v="S"/>
    <s v="P"/>
    <s v="01"/>
    <s v="04"/>
    <s v="False"/>
    <s v="True"/>
    <s v="U0032567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6"/>
    <x v="80"/>
    <m/>
    <x v="8"/>
    <s v="BONIS SPA"/>
    <s v="STOCK SCAFFALE MP"/>
    <x v="2"/>
    <m/>
    <m/>
    <n v="2"/>
    <s v="01"/>
    <s v="409"/>
    <s v="006"/>
    <s v="00"/>
    <s v="S"/>
    <s v="P"/>
    <s v="01"/>
    <s v="04"/>
    <s v="False"/>
    <s v="True"/>
    <s v="U0032567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30"/>
    <x v="79"/>
    <m/>
    <x v="14"/>
    <s v="BONIS SPA"/>
    <s v="STOCK SCAFFALE MP"/>
    <x v="2"/>
    <m/>
    <m/>
    <n v="1"/>
    <s v="01"/>
    <s v="409"/>
    <s v="004"/>
    <s v="00"/>
    <s v="S"/>
    <s v="P"/>
    <s v="01"/>
    <s v="04"/>
    <s v="False"/>
    <s v="True"/>
    <s v="U003256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5"/>
    <s v="BONIS SPA"/>
    <s v="STOCK SCAFFALE MP"/>
    <x v="2"/>
    <m/>
    <m/>
    <n v="2"/>
    <s v="01"/>
    <s v="409"/>
    <s v="004"/>
    <s v="00"/>
    <s v="S"/>
    <s v="P"/>
    <s v="01"/>
    <s v="04"/>
    <s v="False"/>
    <s v="True"/>
    <s v="U003256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8"/>
    <s v="BONIS SPA"/>
    <s v="STOCK SCAFFALE MP"/>
    <x v="2"/>
    <m/>
    <m/>
    <n v="2"/>
    <s v="01"/>
    <s v="409"/>
    <s v="004"/>
    <s v="00"/>
    <s v="S"/>
    <s v="P"/>
    <s v="01"/>
    <s v="04"/>
    <s v="False"/>
    <s v="True"/>
    <s v="U003256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7"/>
    <s v="BONIS SPA"/>
    <s v="STOCK SCAFFALE MP"/>
    <x v="2"/>
    <m/>
    <m/>
    <n v="3"/>
    <s v="01"/>
    <s v="409"/>
    <s v="004"/>
    <s v="00"/>
    <s v="S"/>
    <s v="P"/>
    <s v="01"/>
    <s v="04"/>
    <s v="False"/>
    <s v="True"/>
    <s v="U003256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6"/>
    <s v="BONIS SPA"/>
    <s v="STOCK SCAFFALE MP"/>
    <x v="2"/>
    <m/>
    <m/>
    <n v="3"/>
    <s v="01"/>
    <s v="409"/>
    <s v="004"/>
    <s v="00"/>
    <s v="S"/>
    <s v="P"/>
    <s v="01"/>
    <s v="04"/>
    <s v="False"/>
    <s v="True"/>
    <s v="U003256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4"/>
    <s v="BONIS SPA"/>
    <s v="STOCK SCAFFALE MP"/>
    <x v="2"/>
    <m/>
    <m/>
    <n v="1"/>
    <s v="01"/>
    <s v="409"/>
    <s v="004"/>
    <s v="00"/>
    <s v="S"/>
    <s v="P"/>
    <s v="01"/>
    <s v="04"/>
    <s v="False"/>
    <s v="True"/>
    <s v="U0032562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5"/>
    <s v="BONIS SPA"/>
    <s v="STOCK SCAFFALE MP"/>
    <x v="2"/>
    <m/>
    <m/>
    <n v="2"/>
    <s v="01"/>
    <s v="409"/>
    <s v="004"/>
    <s v="00"/>
    <s v="S"/>
    <s v="P"/>
    <s v="01"/>
    <s v="04"/>
    <s v="False"/>
    <s v="True"/>
    <s v="U0032562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6"/>
    <s v="BONIS SPA"/>
    <s v="STOCK SCAFFALE MP"/>
    <x v="2"/>
    <m/>
    <m/>
    <n v="3"/>
    <s v="01"/>
    <s v="409"/>
    <s v="004"/>
    <s v="00"/>
    <s v="S"/>
    <s v="P"/>
    <s v="01"/>
    <s v="04"/>
    <s v="False"/>
    <s v="True"/>
    <s v="U0032562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7"/>
    <s v="BONIS SPA"/>
    <s v="STOCK SCAFFALE MP"/>
    <x v="2"/>
    <m/>
    <m/>
    <n v="3"/>
    <s v="01"/>
    <s v="409"/>
    <s v="004"/>
    <s v="00"/>
    <s v="S"/>
    <s v="P"/>
    <s v="01"/>
    <s v="04"/>
    <s v="False"/>
    <s v="True"/>
    <s v="U0032562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30"/>
    <x v="79"/>
    <m/>
    <x v="18"/>
    <s v="BONIS SPA"/>
    <s v="STOCK SCAFFALE MP"/>
    <x v="2"/>
    <m/>
    <m/>
    <n v="2"/>
    <s v="01"/>
    <s v="409"/>
    <s v="004"/>
    <s v="00"/>
    <s v="S"/>
    <s v="P"/>
    <s v="01"/>
    <s v="04"/>
    <s v="False"/>
    <s v="True"/>
    <s v="U0032562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1"/>
    <x v="40"/>
    <m/>
    <x v="14"/>
    <s v="BONIS SPA"/>
    <s v="STOCK SCAFFALE MP"/>
    <x v="4"/>
    <m/>
    <m/>
    <n v="1"/>
    <s v="01"/>
    <s v="409"/>
    <s v="001"/>
    <s v="00"/>
    <s v="S"/>
    <s v="P"/>
    <s v="01"/>
    <s v="04"/>
    <s v="False"/>
    <s v="True"/>
    <s v="U0032557"/>
    <n v="1"/>
    <m/>
    <n v="0"/>
    <n v="0"/>
    <m/>
    <s v="SMU"/>
    <m/>
    <m/>
    <m/>
    <m/>
    <m/>
    <m/>
    <s v="P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6"/>
    <s v="BONIS SPA"/>
    <s v="STOCK SCAFFALE MP"/>
    <x v="4"/>
    <m/>
    <m/>
    <n v="3"/>
    <s v="01"/>
    <s v="409"/>
    <s v="001"/>
    <s v="00"/>
    <s v="S"/>
    <s v="P"/>
    <s v="01"/>
    <s v="04"/>
    <s v="False"/>
    <s v="True"/>
    <s v="U0032557"/>
    <n v="1"/>
    <m/>
    <n v="0"/>
    <n v="0"/>
    <m/>
    <s v="SMU"/>
    <m/>
    <m/>
    <m/>
    <m/>
    <m/>
    <m/>
    <s v="P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7"/>
    <s v="BONIS SPA"/>
    <s v="STOCK SCAFFALE MP"/>
    <x v="4"/>
    <m/>
    <m/>
    <n v="3"/>
    <s v="01"/>
    <s v="409"/>
    <s v="001"/>
    <s v="00"/>
    <s v="S"/>
    <s v="P"/>
    <s v="01"/>
    <s v="04"/>
    <s v="False"/>
    <s v="True"/>
    <s v="U0032557"/>
    <n v="1"/>
    <m/>
    <n v="0"/>
    <n v="0"/>
    <m/>
    <s v="SMU"/>
    <m/>
    <m/>
    <m/>
    <m/>
    <m/>
    <m/>
    <s v="P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8"/>
    <s v="BONIS SPA"/>
    <s v="STOCK SCAFFALE MP"/>
    <x v="4"/>
    <m/>
    <m/>
    <n v="4"/>
    <s v="01"/>
    <s v="409"/>
    <s v="001"/>
    <s v="00"/>
    <s v="S"/>
    <s v="P"/>
    <s v="01"/>
    <s v="04"/>
    <s v="False"/>
    <s v="True"/>
    <s v="U0032557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9"/>
    <s v="BONIS SPA"/>
    <s v="STOCK SCAFFALE MP"/>
    <x v="4"/>
    <m/>
    <m/>
    <n v="1"/>
    <s v="01"/>
    <s v="409"/>
    <s v="001"/>
    <s v="00"/>
    <s v="S"/>
    <s v="P"/>
    <s v="01"/>
    <s v="04"/>
    <s v="False"/>
    <s v="True"/>
    <s v="U0032557"/>
    <n v="1"/>
    <m/>
    <n v="0"/>
    <n v="0"/>
    <m/>
    <s v="SMU"/>
    <m/>
    <m/>
    <m/>
    <m/>
    <m/>
    <m/>
    <s v="P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7"/>
    <s v="BONIS SPA"/>
    <s v="STOCK SCAFFALE MP"/>
    <x v="4"/>
    <m/>
    <m/>
    <n v="1"/>
    <s v="01"/>
    <s v="409"/>
    <s v="001"/>
    <s v="00"/>
    <s v="S"/>
    <s v="P"/>
    <s v="01"/>
    <s v="04"/>
    <s v="False"/>
    <s v="True"/>
    <s v="U0022756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7"/>
    <s v="BONIS SPA"/>
    <s v="STOCK SCAFFALE MP"/>
    <x v="4"/>
    <m/>
    <m/>
    <n v="2"/>
    <s v="01"/>
    <s v="409"/>
    <s v="001"/>
    <s v="00"/>
    <s v="S"/>
    <s v="P"/>
    <s v="01"/>
    <s v="04"/>
    <s v="False"/>
    <s v="True"/>
    <s v="U0032589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9"/>
    <s v="BONIS SPA"/>
    <s v="STOCK SCAFFALE MP"/>
    <x v="4"/>
    <m/>
    <m/>
    <n v="2"/>
    <s v="01"/>
    <s v="409"/>
    <s v="001"/>
    <s v="00"/>
    <s v="S"/>
    <s v="P"/>
    <s v="01"/>
    <s v="04"/>
    <s v="False"/>
    <s v="True"/>
    <s v="U0022756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4"/>
    <s v="BONIS SPA"/>
    <s v="STOCK SCAFFALE MP"/>
    <x v="4"/>
    <m/>
    <m/>
    <n v="1"/>
    <s v="01"/>
    <s v="409"/>
    <s v="001"/>
    <s v="00"/>
    <s v="S"/>
    <s v="P"/>
    <s v="01"/>
    <s v="04"/>
    <s v="False"/>
    <s v="True"/>
    <s v="U0032560"/>
    <n v="1"/>
    <m/>
    <n v="0"/>
    <n v="0"/>
    <m/>
    <s v="SMU"/>
    <m/>
    <m/>
    <m/>
    <m/>
    <m/>
    <m/>
    <s v="P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6"/>
    <s v="BONIS SPA"/>
    <s v="STOCK SCAFFALE MP"/>
    <x v="4"/>
    <m/>
    <m/>
    <n v="3"/>
    <s v="01"/>
    <s v="409"/>
    <s v="001"/>
    <s v="00"/>
    <s v="S"/>
    <s v="P"/>
    <s v="01"/>
    <s v="04"/>
    <s v="False"/>
    <s v="True"/>
    <s v="U0032560"/>
    <n v="1"/>
    <m/>
    <n v="0"/>
    <n v="0"/>
    <m/>
    <s v="SMU"/>
    <m/>
    <m/>
    <m/>
    <m/>
    <m/>
    <m/>
    <s v="P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7"/>
    <s v="BONIS SPA"/>
    <s v="STOCK SCAFFALE MP"/>
    <x v="4"/>
    <m/>
    <m/>
    <n v="3"/>
    <s v="01"/>
    <s v="409"/>
    <s v="001"/>
    <s v="00"/>
    <s v="S"/>
    <s v="P"/>
    <s v="01"/>
    <s v="04"/>
    <s v="False"/>
    <s v="True"/>
    <s v="U0032560"/>
    <n v="1"/>
    <m/>
    <n v="0"/>
    <n v="0"/>
    <m/>
    <s v="SMU"/>
    <m/>
    <m/>
    <m/>
    <m/>
    <m/>
    <m/>
    <s v="P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8"/>
    <s v="BONIS SPA"/>
    <s v="STOCK SCAFFALE MP"/>
    <x v="4"/>
    <m/>
    <m/>
    <n v="4"/>
    <s v="01"/>
    <s v="409"/>
    <s v="001"/>
    <s v="00"/>
    <s v="S"/>
    <s v="P"/>
    <s v="01"/>
    <s v="04"/>
    <s v="False"/>
    <s v="True"/>
    <s v="U0032560"/>
    <n v="1"/>
    <m/>
    <n v="0"/>
    <n v="0"/>
    <m/>
    <s v="SMU"/>
    <m/>
    <m/>
    <m/>
    <m/>
    <m/>
    <m/>
    <s v="106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1"/>
    <x v="40"/>
    <m/>
    <x v="19"/>
    <s v="BONIS SPA"/>
    <s v="STOCK SCAFFALE MP"/>
    <x v="4"/>
    <m/>
    <m/>
    <n v="1"/>
    <s v="01"/>
    <s v="409"/>
    <s v="001"/>
    <s v="00"/>
    <s v="S"/>
    <s v="P"/>
    <s v="01"/>
    <s v="04"/>
    <s v="False"/>
    <s v="True"/>
    <s v="U0032560"/>
    <n v="1"/>
    <m/>
    <n v="0"/>
    <n v="0"/>
    <m/>
    <s v="SMU"/>
    <m/>
    <m/>
    <m/>
    <m/>
    <m/>
    <m/>
    <s v="P11"/>
    <s v="WOMAN"/>
    <s v="PA"/>
    <m/>
    <m/>
    <m/>
    <m/>
    <s v="False"/>
    <m/>
    <s v="DYON"/>
    <m/>
    <m/>
    <m/>
    <m/>
    <m/>
    <m/>
    <s v="PF"/>
    <n v="0"/>
    <n v="0"/>
    <n v="0"/>
    <n v="0"/>
    <n v="0"/>
    <s v="ION GOMMA TWILL CANVAS"/>
    <s v="Bonis SpA"/>
    <m/>
    <m/>
    <m/>
    <m/>
    <m/>
    <m/>
    <m/>
    <m/>
    <m/>
    <m/>
    <m/>
    <m/>
  </r>
  <r>
    <m/>
    <n v="2527"/>
    <x v="81"/>
    <m/>
    <x v="15"/>
    <s v="BONIS SPA"/>
    <s v="STOCK SCAFFALE MP"/>
    <x v="10"/>
    <m/>
    <m/>
    <n v="4"/>
    <s v="01"/>
    <s v="409"/>
    <s v="003"/>
    <s v="00"/>
    <s v="S"/>
    <s v="P"/>
    <s v="01"/>
    <s v="04"/>
    <s v="False"/>
    <s v="True"/>
    <s v="U0032556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27"/>
    <x v="81"/>
    <m/>
    <x v="17"/>
    <s v="BONIS SPA"/>
    <s v="STOCK SCAFFALE MP"/>
    <x v="10"/>
    <m/>
    <m/>
    <n v="3"/>
    <s v="01"/>
    <s v="409"/>
    <s v="003"/>
    <s v="00"/>
    <s v="S"/>
    <s v="P"/>
    <s v="01"/>
    <s v="04"/>
    <s v="False"/>
    <s v="True"/>
    <s v="U0032556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27"/>
    <x v="81"/>
    <m/>
    <x v="17"/>
    <s v="BONIS SPA"/>
    <s v="STOCK SCAFFALE MP"/>
    <x v="10"/>
    <m/>
    <m/>
    <n v="2"/>
    <s v="01"/>
    <s v="409"/>
    <s v="003"/>
    <s v="00"/>
    <s v="S"/>
    <s v="P"/>
    <s v="01"/>
    <s v="04"/>
    <s v="False"/>
    <s v="True"/>
    <s v="U0032554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27"/>
    <x v="81"/>
    <m/>
    <x v="18"/>
    <s v="BONIS SPA"/>
    <s v="STOCK SCAFFALE MP"/>
    <x v="10"/>
    <m/>
    <m/>
    <n v="1"/>
    <s v="01"/>
    <s v="409"/>
    <s v="003"/>
    <s v="00"/>
    <s v="S"/>
    <s v="P"/>
    <s v="01"/>
    <s v="04"/>
    <s v="False"/>
    <s v="True"/>
    <s v="U0032553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27"/>
    <x v="81"/>
    <m/>
    <x v="18"/>
    <s v="BONIS SPA"/>
    <s v="STOCK SCAFFALE MP"/>
    <x v="10"/>
    <m/>
    <m/>
    <n v="3"/>
    <s v="01"/>
    <s v="409"/>
    <s v="003"/>
    <s v="00"/>
    <s v="S"/>
    <s v="P"/>
    <s v="01"/>
    <s v="04"/>
    <s v="False"/>
    <s v="True"/>
    <s v="U0032556"/>
    <n v="1"/>
    <m/>
    <n v="0"/>
    <n v="0"/>
    <m/>
    <s v="SMU"/>
    <m/>
    <m/>
    <m/>
    <m/>
    <m/>
    <m/>
    <s v="106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27"/>
    <x v="81"/>
    <m/>
    <x v="19"/>
    <s v="BONIS SPA"/>
    <s v="STOCK SCAFFALE MP"/>
    <x v="4"/>
    <m/>
    <m/>
    <n v="1"/>
    <s v="01"/>
    <s v="409"/>
    <s v="003"/>
    <s v="00"/>
    <s v="S"/>
    <s v="P"/>
    <s v="01"/>
    <s v="04"/>
    <s v="False"/>
    <s v="True"/>
    <s v="U0032556"/>
    <n v="1"/>
    <m/>
    <n v="0"/>
    <n v="0"/>
    <m/>
    <s v="SMU"/>
    <m/>
    <m/>
    <m/>
    <m/>
    <m/>
    <m/>
    <s v="P11"/>
    <s v="WOMAN"/>
    <s v="PA"/>
    <m/>
    <m/>
    <m/>
    <m/>
    <s v="False"/>
    <m/>
    <s v="RUMBA"/>
    <m/>
    <m/>
    <m/>
    <m/>
    <m/>
    <m/>
    <s v="PF"/>
    <n v="0"/>
    <n v="0"/>
    <n v="0"/>
    <n v="0"/>
    <n v="0"/>
    <s v="SUOLA RUMBA TWILL CANVAS"/>
    <s v="Bonis SpA"/>
    <m/>
    <m/>
    <m/>
    <m/>
    <m/>
    <m/>
    <m/>
    <m/>
    <m/>
    <m/>
    <m/>
    <m/>
  </r>
  <r>
    <m/>
    <n v="2527"/>
    <x v="39"/>
    <m/>
    <x v="14"/>
    <s v="BONIS SPA"/>
    <s v="STOCK SCAFFALE MP"/>
    <x v="8"/>
    <m/>
    <m/>
    <n v="1"/>
    <s v="01"/>
    <s v="409"/>
    <s v="003"/>
    <s v="00"/>
    <s v="S"/>
    <s v="P"/>
    <s v="01"/>
    <s v="04"/>
    <s v="False"/>
    <s v="True"/>
    <s v="U003255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5"/>
    <s v="BONIS SPA"/>
    <s v="STOCK SCAFFALE MP"/>
    <x v="8"/>
    <m/>
    <m/>
    <n v="2"/>
    <s v="01"/>
    <s v="409"/>
    <s v="003"/>
    <s v="00"/>
    <s v="S"/>
    <s v="P"/>
    <s v="01"/>
    <s v="04"/>
    <s v="False"/>
    <s v="True"/>
    <s v="U003255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6"/>
    <s v="BONIS SPA"/>
    <s v="STOCK SCAFFALE MP"/>
    <x v="8"/>
    <m/>
    <m/>
    <n v="2"/>
    <s v="01"/>
    <s v="409"/>
    <s v="003"/>
    <s v="00"/>
    <s v="S"/>
    <s v="P"/>
    <s v="01"/>
    <s v="04"/>
    <s v="False"/>
    <s v="True"/>
    <s v="U003255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7"/>
    <s v="BONIS SPA"/>
    <s v="STOCK SCAFFALE MP"/>
    <x v="8"/>
    <m/>
    <m/>
    <n v="3"/>
    <s v="01"/>
    <s v="409"/>
    <s v="003"/>
    <s v="00"/>
    <s v="S"/>
    <s v="P"/>
    <s v="01"/>
    <s v="04"/>
    <s v="False"/>
    <s v="True"/>
    <s v="U003255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8"/>
    <s v="BONIS SPA"/>
    <s v="STOCK SCAFFALE MP"/>
    <x v="8"/>
    <m/>
    <m/>
    <n v="2"/>
    <s v="01"/>
    <s v="409"/>
    <s v="003"/>
    <s v="00"/>
    <s v="S"/>
    <s v="P"/>
    <s v="01"/>
    <s v="04"/>
    <s v="False"/>
    <s v="True"/>
    <s v="U0032554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4"/>
    <s v="BONIS SPA"/>
    <s v="STOCK SCAFFALE MP"/>
    <x v="8"/>
    <m/>
    <m/>
    <n v="1"/>
    <s v="01"/>
    <s v="409"/>
    <s v="003"/>
    <s v="00"/>
    <s v="S"/>
    <s v="P"/>
    <s v="01"/>
    <s v="04"/>
    <s v="False"/>
    <s v="True"/>
    <s v="U0032553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5"/>
    <s v="BONIS SPA"/>
    <s v="STOCK SCAFFALE MP"/>
    <x v="8"/>
    <m/>
    <m/>
    <n v="2"/>
    <s v="01"/>
    <s v="409"/>
    <s v="003"/>
    <s v="00"/>
    <s v="S"/>
    <s v="P"/>
    <s v="01"/>
    <s v="04"/>
    <s v="False"/>
    <s v="True"/>
    <s v="U0032553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6"/>
    <s v="BONIS SPA"/>
    <s v="STOCK SCAFFALE MP"/>
    <x v="8"/>
    <m/>
    <m/>
    <n v="3"/>
    <s v="01"/>
    <s v="409"/>
    <s v="003"/>
    <s v="00"/>
    <s v="S"/>
    <s v="P"/>
    <s v="01"/>
    <s v="04"/>
    <s v="False"/>
    <s v="True"/>
    <s v="U0032553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7"/>
    <s v="BONIS SPA"/>
    <s v="STOCK SCAFFALE MP"/>
    <x v="8"/>
    <m/>
    <m/>
    <n v="3"/>
    <s v="01"/>
    <s v="409"/>
    <s v="003"/>
    <s v="00"/>
    <s v="S"/>
    <s v="P"/>
    <s v="01"/>
    <s v="04"/>
    <s v="False"/>
    <s v="True"/>
    <s v="U0032553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8"/>
    <s v="BONIS SPA"/>
    <s v="STOCK SCAFFALE MP"/>
    <x v="8"/>
    <m/>
    <m/>
    <n v="2"/>
    <s v="01"/>
    <s v="409"/>
    <s v="003"/>
    <s v="00"/>
    <s v="S"/>
    <s v="P"/>
    <s v="01"/>
    <s v="04"/>
    <s v="False"/>
    <s v="True"/>
    <s v="U0032553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4"/>
    <s v="BONIS SPA"/>
    <s v="STOCK SCAFFALE MP"/>
    <x v="8"/>
    <m/>
    <m/>
    <n v="1"/>
    <s v="01"/>
    <s v="409"/>
    <s v="003"/>
    <s v="00"/>
    <s v="S"/>
    <s v="P"/>
    <s v="01"/>
    <s v="04"/>
    <s v="False"/>
    <s v="True"/>
    <s v="U003255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5"/>
    <s v="BONIS SPA"/>
    <s v="STOCK SCAFFALE MP"/>
    <x v="8"/>
    <m/>
    <m/>
    <n v="2"/>
    <s v="01"/>
    <s v="409"/>
    <s v="003"/>
    <s v="00"/>
    <s v="S"/>
    <s v="P"/>
    <s v="01"/>
    <s v="04"/>
    <s v="False"/>
    <s v="True"/>
    <s v="U003255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6"/>
    <s v="BONIS SPA"/>
    <s v="STOCK SCAFFALE MP"/>
    <x v="8"/>
    <m/>
    <m/>
    <n v="3"/>
    <s v="01"/>
    <s v="409"/>
    <s v="003"/>
    <s v="00"/>
    <s v="S"/>
    <s v="P"/>
    <s v="01"/>
    <s v="04"/>
    <s v="False"/>
    <s v="True"/>
    <s v="U003255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7"/>
    <s v="BONIS SPA"/>
    <s v="STOCK SCAFFALE MP"/>
    <x v="8"/>
    <m/>
    <m/>
    <n v="3"/>
    <s v="01"/>
    <s v="409"/>
    <s v="003"/>
    <s v="00"/>
    <s v="S"/>
    <s v="P"/>
    <s v="01"/>
    <s v="04"/>
    <s v="False"/>
    <s v="True"/>
    <s v="U0032555"/>
    <n v="1"/>
    <m/>
    <n v="0"/>
    <n v="0"/>
    <m/>
    <s v="SMU"/>
    <m/>
    <m/>
    <m/>
    <m/>
    <m/>
    <m/>
    <s v="P11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8"/>
    <s v="BONIS SPA"/>
    <s v="STOCK SCAFFALE MP"/>
    <x v="8"/>
    <m/>
    <m/>
    <n v="1"/>
    <s v="01"/>
    <s v="409"/>
    <s v="003"/>
    <s v="00"/>
    <s v="S"/>
    <s v="P"/>
    <s v="01"/>
    <s v="04"/>
    <s v="False"/>
    <s v="True"/>
    <s v="U0032555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27"/>
    <x v="39"/>
    <m/>
    <x v="18"/>
    <s v="BONIS SPA"/>
    <s v="STOCK SCAFFALE MP"/>
    <x v="8"/>
    <m/>
    <m/>
    <n v="1"/>
    <s v="01"/>
    <s v="409"/>
    <s v="003"/>
    <s v="00"/>
    <s v="S"/>
    <s v="P"/>
    <s v="01"/>
    <s v="04"/>
    <s v="False"/>
    <s v="True"/>
    <s v="U0032556"/>
    <n v="1"/>
    <m/>
    <n v="0"/>
    <n v="0"/>
    <m/>
    <s v="SMU"/>
    <m/>
    <m/>
    <m/>
    <m/>
    <m/>
    <m/>
    <s v="106"/>
    <s v="WOMAN"/>
    <s v="PA"/>
    <m/>
    <m/>
    <m/>
    <m/>
    <s v="False"/>
    <m/>
    <s v="GALAD"/>
    <m/>
    <m/>
    <m/>
    <m/>
    <m/>
    <m/>
    <s v="PF"/>
    <n v="0"/>
    <n v="0"/>
    <n v="0"/>
    <n v="0"/>
    <n v="0"/>
    <s v="D GOMMA D.H.TWILL CANVAS+SINT."/>
    <s v="Bonis SpA"/>
    <m/>
    <m/>
    <m/>
    <m/>
    <m/>
    <m/>
    <m/>
    <m/>
    <m/>
    <m/>
    <m/>
    <m/>
  </r>
  <r>
    <m/>
    <n v="2557"/>
    <x v="80"/>
    <m/>
    <x v="18"/>
    <s v="BONIS SPA"/>
    <s v="STOCK SCAFFALE MP"/>
    <x v="4"/>
    <m/>
    <m/>
    <n v="1"/>
    <s v="01"/>
    <s v="409"/>
    <s v="013"/>
    <s v="00"/>
    <s v="S"/>
    <s v="P"/>
    <s v="01"/>
    <s v="04"/>
    <s v="False"/>
    <s v="True"/>
    <s v="U0032197"/>
    <n v="1"/>
    <m/>
    <n v="0"/>
    <n v="0"/>
    <m/>
    <s v="SMU"/>
    <m/>
    <m/>
    <m/>
    <m/>
    <m/>
    <m/>
    <s v="F11"/>
    <s v="MAN"/>
    <s v="PA"/>
    <m/>
    <m/>
    <m/>
    <m/>
    <s v="False"/>
    <m/>
    <s v="RUMBO"/>
    <m/>
    <m/>
    <m/>
    <m/>
    <m/>
    <m/>
    <s v="PF"/>
    <n v="0"/>
    <n v="0"/>
    <n v="0"/>
    <n v="0"/>
    <n v="0"/>
    <s v="MBO TWILL CANVAS"/>
    <s v="Bonis SpA"/>
    <m/>
    <m/>
    <m/>
    <m/>
    <m/>
    <m/>
    <m/>
    <m/>
    <m/>
    <m/>
    <m/>
    <m/>
  </r>
  <r>
    <m/>
    <n v="2557"/>
    <x v="35"/>
    <m/>
    <x v="20"/>
    <s v="BONIS SPA"/>
    <s v="STOCK SCAFFALE MP"/>
    <x v="4"/>
    <m/>
    <m/>
    <n v="3"/>
    <s v="01"/>
    <s v="409"/>
    <s v="013"/>
    <s v="00"/>
    <s v="S"/>
    <s v="P"/>
    <s v="01"/>
    <s v="04"/>
    <s v="False"/>
    <s v="True"/>
    <s v="U003219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57"/>
    <x v="35"/>
    <m/>
    <x v="20"/>
    <s v="BONIS SPA"/>
    <s v="STOCK SCAFFALE MP"/>
    <x v="10"/>
    <m/>
    <m/>
    <n v="2"/>
    <s v="01"/>
    <s v="409"/>
    <s v="013"/>
    <s v="00"/>
    <s v="S"/>
    <s v="P"/>
    <s v="01"/>
    <s v="04"/>
    <s v="False"/>
    <s v="True"/>
    <s v="U0032197"/>
    <n v="1"/>
    <m/>
    <n v="0"/>
    <n v="0"/>
    <m/>
    <s v="SMU"/>
    <m/>
    <m/>
    <m/>
    <m/>
    <m/>
    <m/>
    <s v="F11"/>
    <s v="MAN"/>
    <s v="PA"/>
    <m/>
    <m/>
    <m/>
    <m/>
    <s v="False"/>
    <m/>
    <s v="GALAN"/>
    <m/>
    <m/>
    <m/>
    <m/>
    <m/>
    <m/>
    <s v="PF"/>
    <n v="0"/>
    <n v="0"/>
    <n v="0"/>
    <n v="0"/>
    <n v="0"/>
    <s v="LAN+TWILL CANVAS + SIN.LEATHER"/>
    <s v="Bonis SpA"/>
    <m/>
    <m/>
    <m/>
    <m/>
    <m/>
    <m/>
    <m/>
    <m/>
    <m/>
    <m/>
    <m/>
    <m/>
  </r>
  <r>
    <m/>
    <n v="2539"/>
    <x v="0"/>
    <m/>
    <x v="20"/>
    <s v="BONIS SPA"/>
    <s v="STOCK SCAFFALE MP"/>
    <x v="6"/>
    <m/>
    <m/>
    <n v="4"/>
    <s v="01"/>
    <s v="409"/>
    <s v="007"/>
    <s v="00"/>
    <s v="S"/>
    <s v="P"/>
    <s v="01"/>
    <s v="04"/>
    <s v="False"/>
    <s v="True"/>
    <s v="U0027728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20"/>
    <s v="BONIS SPA"/>
    <s v="STOCK SCAFFALE MP"/>
    <x v="0"/>
    <m/>
    <m/>
    <n v="4"/>
    <s v="01"/>
    <s v="409"/>
    <s v="007"/>
    <s v="00"/>
    <s v="S"/>
    <s v="P"/>
    <s v="01"/>
    <s v="04"/>
    <s v="False"/>
    <s v="True"/>
    <s v="U0027728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9"/>
    <s v="BONIS SPA"/>
    <s v="STOCK SCAFFALE MP"/>
    <x v="0"/>
    <m/>
    <m/>
    <n v="2"/>
    <s v="01"/>
    <s v="409"/>
    <s v="007"/>
    <s v="00"/>
    <s v="S"/>
    <s v="P"/>
    <s v="01"/>
    <s v="04"/>
    <s v="False"/>
    <s v="True"/>
    <s v="U0027728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  <r>
    <m/>
    <n v="2539"/>
    <x v="0"/>
    <m/>
    <x v="18"/>
    <s v="BONIS SPA"/>
    <s v="STOCK SCAFFALE MP"/>
    <x v="0"/>
    <m/>
    <m/>
    <n v="1"/>
    <s v="01"/>
    <s v="409"/>
    <s v="007"/>
    <s v="00"/>
    <s v="S"/>
    <s v="P"/>
    <s v="01"/>
    <s v="04"/>
    <s v="False"/>
    <s v="True"/>
    <s v="U0027728"/>
    <n v="1"/>
    <m/>
    <n v="0"/>
    <n v="0"/>
    <m/>
    <s v="SMU"/>
    <m/>
    <m/>
    <m/>
    <m/>
    <m/>
    <m/>
    <s v="F06"/>
    <s v="MAN"/>
    <s v="PA"/>
    <m/>
    <m/>
    <m/>
    <m/>
    <s v="False"/>
    <m/>
    <s v="SOLAN"/>
    <m/>
    <m/>
    <m/>
    <m/>
    <m/>
    <m/>
    <s v="PF"/>
    <n v="0"/>
    <n v="0"/>
    <n v="0"/>
    <n v="0"/>
    <n v="0"/>
    <s v="S.CADET GOMMA  TWILL CANVAS"/>
    <s v="Bonis SpA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compact="0" compactData="0" gridDropZones="1" multipleFieldFilters="0">
  <location ref="B6:E761" firstHeaderRow="2" firstDataRow="2" firstDataCol="3"/>
  <pivotFields count="70">
    <pivotField compact="0" outline="0" showAll="0"/>
    <pivotField compact="0" outline="0" showAll="0"/>
    <pivotField axis="axisRow" compact="0" outline="0" showAll="0">
      <items count="84">
        <item x="16"/>
        <item x="43"/>
        <item x="42"/>
        <item x="28"/>
        <item x="53"/>
        <item x="74"/>
        <item x="58"/>
        <item x="40"/>
        <item x="38"/>
        <item x="65"/>
        <item x="63"/>
        <item x="51"/>
        <item x="64"/>
        <item x="17"/>
        <item x="34"/>
        <item x="23"/>
        <item x="52"/>
        <item x="22"/>
        <item x="9"/>
        <item x="30"/>
        <item x="32"/>
        <item x="18"/>
        <item x="19"/>
        <item x="20"/>
        <item x="60"/>
        <item x="59"/>
        <item x="44"/>
        <item x="45"/>
        <item x="46"/>
        <item x="5"/>
        <item x="54"/>
        <item x="26"/>
        <item x="27"/>
        <item x="79"/>
        <item x="39"/>
        <item x="41"/>
        <item x="47"/>
        <item x="3"/>
        <item x="11"/>
        <item x="4"/>
        <item x="2"/>
        <item x="35"/>
        <item x="36"/>
        <item x="67"/>
        <item x="66"/>
        <item x="68"/>
        <item x="69"/>
        <item x="70"/>
        <item x="76"/>
        <item x="8"/>
        <item x="73"/>
        <item x="12"/>
        <item x="82"/>
        <item x="62"/>
        <item x="7"/>
        <item x="25"/>
        <item x="77"/>
        <item x="13"/>
        <item x="14"/>
        <item x="78"/>
        <item x="75"/>
        <item x="24"/>
        <item x="1"/>
        <item x="72"/>
        <item x="71"/>
        <item x="81"/>
        <item x="80"/>
        <item x="37"/>
        <item x="0"/>
        <item x="10"/>
        <item x="33"/>
        <item x="50"/>
        <item x="15"/>
        <item x="29"/>
        <item x="31"/>
        <item x="55"/>
        <item x="56"/>
        <item x="57"/>
        <item x="6"/>
        <item x="61"/>
        <item x="48"/>
        <item x="21"/>
        <item x="49"/>
        <item t="default"/>
      </items>
    </pivotField>
    <pivotField compact="0" outline="0" showAll="0"/>
    <pivotField axis="axisRow" compact="0" outline="0" showAll="0">
      <items count="28">
        <item x="10"/>
        <item x="11"/>
        <item x="12"/>
        <item x="24"/>
        <item x="23"/>
        <item x="25"/>
        <item x="13"/>
        <item x="22"/>
        <item x="14"/>
        <item x="15"/>
        <item x="16"/>
        <item x="17"/>
        <item x="18"/>
        <item x="19"/>
        <item x="20"/>
        <item x="9"/>
        <item x="8"/>
        <item x="21"/>
        <item x="26"/>
        <item x="4"/>
        <item x="0"/>
        <item x="1"/>
        <item x="7"/>
        <item x="6"/>
        <item x="3"/>
        <item x="2"/>
        <item x="5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2">
        <item x="1"/>
        <item x="0"/>
        <item x="2"/>
        <item x="7"/>
        <item x="21"/>
        <item x="27"/>
        <item x="15"/>
        <item x="17"/>
        <item x="10"/>
        <item x="26"/>
        <item x="13"/>
        <item x="25"/>
        <item x="24"/>
        <item x="6"/>
        <item x="14"/>
        <item x="9"/>
        <item x="11"/>
        <item x="23"/>
        <item x="3"/>
        <item x="29"/>
        <item x="30"/>
        <item x="16"/>
        <item x="8"/>
        <item x="28"/>
        <item x="20"/>
        <item x="12"/>
        <item x="19"/>
        <item x="4"/>
        <item x="5"/>
        <item x="18"/>
        <item x="22"/>
        <item x="31"/>
      </items>
    </pivotField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2"/>
    <field x="7"/>
    <field x="4"/>
  </rowFields>
  <rowItems count="754">
    <i>
      <x/>
      <x v="22"/>
      <x v="25"/>
    </i>
    <i t="default">
      <x/>
    </i>
    <i>
      <x v="1"/>
      <x v="30"/>
      <x v="20"/>
    </i>
    <i t="default">
      <x v="1"/>
    </i>
    <i>
      <x v="2"/>
      <x v="30"/>
      <x v="8"/>
    </i>
    <i r="2">
      <x v="9"/>
    </i>
    <i r="2">
      <x v="10"/>
    </i>
    <i r="2">
      <x v="21"/>
    </i>
    <i t="default">
      <x v="2"/>
    </i>
    <i>
      <x v="3"/>
      <x v="2"/>
      <x v="9"/>
    </i>
    <i r="2">
      <x v="10"/>
    </i>
    <i r="2">
      <x v="11"/>
    </i>
    <i r="2">
      <x v="12"/>
    </i>
    <i r="2">
      <x v="13"/>
    </i>
    <i r="2">
      <x v="21"/>
    </i>
    <i r="1">
      <x v="8"/>
      <x v="9"/>
    </i>
    <i r="2">
      <x v="10"/>
    </i>
    <i r="2">
      <x v="11"/>
    </i>
    <i r="2">
      <x v="12"/>
    </i>
    <i r="2">
      <x v="13"/>
    </i>
    <i r="2">
      <x v="21"/>
    </i>
    <i r="1">
      <x v="13"/>
      <x v="9"/>
    </i>
    <i r="2">
      <x v="10"/>
    </i>
    <i r="2">
      <x v="11"/>
    </i>
    <i r="2">
      <x v="12"/>
    </i>
    <i r="2">
      <x v="13"/>
    </i>
    <i r="2">
      <x v="21"/>
    </i>
    <i r="1">
      <x v="27"/>
      <x v="9"/>
    </i>
    <i r="2">
      <x v="10"/>
    </i>
    <i r="2">
      <x v="11"/>
    </i>
    <i r="2">
      <x v="12"/>
    </i>
    <i r="2">
      <x v="13"/>
    </i>
    <i r="2">
      <x v="21"/>
    </i>
    <i t="default">
      <x v="3"/>
    </i>
    <i>
      <x v="4"/>
      <x v="8"/>
      <x v="21"/>
    </i>
    <i r="1">
      <x v="27"/>
      <x v="11"/>
    </i>
    <i t="default">
      <x v="4"/>
    </i>
    <i>
      <x v="5"/>
      <x v="27"/>
      <x v="12"/>
    </i>
    <i t="default">
      <x v="5"/>
    </i>
    <i>
      <x v="6"/>
      <x v="8"/>
      <x v="21"/>
    </i>
    <i t="default">
      <x v="6"/>
    </i>
    <i>
      <x v="7"/>
      <x/>
      <x v="8"/>
    </i>
    <i r="2">
      <x v="9"/>
    </i>
    <i r="2">
      <x v="10"/>
    </i>
    <i r="2">
      <x v="11"/>
    </i>
    <i r="2">
      <x v="12"/>
    </i>
    <i r="2">
      <x v="13"/>
    </i>
    <i r="1">
      <x v="2"/>
      <x v="8"/>
    </i>
    <i r="2">
      <x v="9"/>
    </i>
    <i r="2">
      <x v="10"/>
    </i>
    <i r="2">
      <x v="11"/>
    </i>
    <i r="2">
      <x v="12"/>
    </i>
    <i r="2">
      <x v="13"/>
    </i>
    <i r="1">
      <x v="8"/>
      <x v="8"/>
    </i>
    <i r="2">
      <x v="9"/>
    </i>
    <i r="2">
      <x v="10"/>
    </i>
    <i r="2">
      <x v="11"/>
    </i>
    <i r="2">
      <x v="12"/>
    </i>
    <i r="1">
      <x v="10"/>
      <x v="8"/>
    </i>
    <i r="2">
      <x v="9"/>
    </i>
    <i r="2">
      <x v="10"/>
    </i>
    <i r="2">
      <x v="11"/>
    </i>
    <i r="2">
      <x v="12"/>
    </i>
    <i r="2">
      <x v="13"/>
    </i>
    <i r="1">
      <x v="27"/>
      <x v="8"/>
    </i>
    <i r="2">
      <x v="10"/>
    </i>
    <i r="2">
      <x v="11"/>
    </i>
    <i r="2">
      <x v="12"/>
    </i>
    <i r="2">
      <x v="13"/>
    </i>
    <i t="default">
      <x v="7"/>
    </i>
    <i>
      <x v="8"/>
      <x/>
      <x v="8"/>
    </i>
    <i r="2">
      <x v="9"/>
    </i>
    <i r="2">
      <x v="10"/>
    </i>
    <i r="2">
      <x v="11"/>
    </i>
    <i r="2">
      <x v="12"/>
    </i>
    <i r="2">
      <x v="13"/>
    </i>
    <i r="1">
      <x v="2"/>
      <x v="8"/>
    </i>
    <i r="2">
      <x v="9"/>
    </i>
    <i r="2">
      <x v="10"/>
    </i>
    <i r="2">
      <x v="11"/>
    </i>
    <i r="2">
      <x v="12"/>
    </i>
    <i r="2">
      <x v="13"/>
    </i>
    <i r="1">
      <x v="8"/>
      <x v="8"/>
    </i>
    <i r="2">
      <x v="9"/>
    </i>
    <i r="2">
      <x v="10"/>
    </i>
    <i r="2">
      <x v="11"/>
    </i>
    <i r="2">
      <x v="12"/>
    </i>
    <i r="2">
      <x v="13"/>
    </i>
    <i r="1">
      <x v="10"/>
      <x v="8"/>
    </i>
    <i r="2">
      <x v="9"/>
    </i>
    <i r="2">
      <x v="10"/>
    </i>
    <i r="2">
      <x v="11"/>
    </i>
    <i r="2">
      <x v="12"/>
    </i>
    <i r="1">
      <x v="27"/>
      <x v="8"/>
    </i>
    <i r="2">
      <x v="9"/>
    </i>
    <i r="2">
      <x v="10"/>
    </i>
    <i r="2">
      <x v="11"/>
    </i>
    <i r="2">
      <x v="12"/>
    </i>
    <i t="default">
      <x v="8"/>
    </i>
    <i>
      <x v="9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1">
      <x v="2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t="default">
      <x v="9"/>
    </i>
    <i>
      <x v="10"/>
      <x v="8"/>
      <x v="1"/>
    </i>
    <i r="2">
      <x v="2"/>
    </i>
    <i r="2">
      <x v="3"/>
    </i>
    <i r="1">
      <x v="27"/>
      <x v="6"/>
    </i>
    <i t="default">
      <x v="10"/>
    </i>
    <i>
      <x v="11"/>
      <x v="8"/>
      <x v="24"/>
    </i>
    <i t="default">
      <x v="11"/>
    </i>
    <i>
      <x v="12"/>
      <x v="7"/>
      <x v="15"/>
    </i>
    <i t="default">
      <x v="12"/>
    </i>
    <i>
      <x v="13"/>
      <x v="27"/>
      <x v="19"/>
    </i>
    <i r="2">
      <x v="20"/>
    </i>
    <i t="default">
      <x v="13"/>
    </i>
    <i>
      <x v="14"/>
      <x v="24"/>
      <x v="8"/>
    </i>
    <i r="2">
      <x v="9"/>
    </i>
    <i r="1">
      <x v="27"/>
      <x v="21"/>
    </i>
    <i t="default">
      <x v="14"/>
    </i>
    <i>
      <x v="15"/>
      <x v="16"/>
      <x v="12"/>
    </i>
    <i r="2">
      <x v="13"/>
    </i>
    <i r="2">
      <x v="21"/>
    </i>
    <i t="default">
      <x v="15"/>
    </i>
    <i>
      <x v="16"/>
      <x v="11"/>
      <x v="11"/>
    </i>
    <i r="2">
      <x v="23"/>
    </i>
    <i r="1">
      <x v="17"/>
      <x v="9"/>
    </i>
    <i r="2">
      <x v="12"/>
    </i>
    <i r="1">
      <x v="24"/>
      <x v="11"/>
    </i>
    <i t="default">
      <x v="16"/>
    </i>
    <i>
      <x v="17"/>
      <x v="27"/>
      <x v="19"/>
    </i>
    <i t="default">
      <x v="17"/>
    </i>
    <i>
      <x v="18"/>
      <x v="3"/>
      <x v="19"/>
    </i>
    <i t="default">
      <x v="18"/>
    </i>
    <i>
      <x v="19"/>
      <x v="29"/>
      <x v="21"/>
    </i>
    <i t="default">
      <x v="19"/>
    </i>
    <i>
      <x v="20"/>
      <x v="29"/>
      <x v="21"/>
    </i>
    <i r="2">
      <x v="22"/>
    </i>
    <i t="default">
      <x v="20"/>
    </i>
    <i>
      <x v="21"/>
      <x v="16"/>
      <x v="23"/>
    </i>
    <i r="1">
      <x v="19"/>
      <x v="8"/>
    </i>
    <i r="2">
      <x v="9"/>
    </i>
    <i r="2">
      <x v="10"/>
    </i>
    <i r="2">
      <x v="11"/>
    </i>
    <i t="default">
      <x v="21"/>
    </i>
    <i>
      <x v="22"/>
      <x v="2"/>
      <x v="11"/>
    </i>
    <i r="2">
      <x v="23"/>
    </i>
    <i r="2">
      <x v="25"/>
    </i>
    <i r="1">
      <x v="11"/>
      <x v="23"/>
    </i>
    <i t="default">
      <x v="22"/>
    </i>
    <i>
      <x v="23"/>
      <x v="8"/>
      <x v="21"/>
    </i>
    <i r="1">
      <x v="22"/>
      <x v="21"/>
    </i>
    <i t="default">
      <x v="23"/>
    </i>
    <i>
      <x v="24"/>
      <x v="27"/>
      <x v="12"/>
    </i>
    <i r="2">
      <x v="13"/>
    </i>
    <i r="2">
      <x v="14"/>
    </i>
    <i r="2">
      <x v="15"/>
    </i>
    <i r="2">
      <x v="16"/>
    </i>
    <i r="2">
      <x v="17"/>
    </i>
    <i t="default">
      <x v="24"/>
    </i>
    <i>
      <x v="25"/>
      <x v="8"/>
      <x v="13"/>
    </i>
    <i r="2">
      <x v="14"/>
    </i>
    <i r="2">
      <x v="15"/>
    </i>
    <i r="2">
      <x v="16"/>
    </i>
    <i r="2">
      <x v="17"/>
    </i>
    <i t="default">
      <x v="25"/>
    </i>
    <i>
      <x v="26"/>
      <x v="1"/>
      <x v="25"/>
    </i>
    <i t="default">
      <x v="26"/>
    </i>
    <i>
      <x v="27"/>
      <x v="1"/>
      <x v="7"/>
    </i>
    <i r="2">
      <x v="8"/>
    </i>
    <i r="2">
      <x v="9"/>
    </i>
    <i r="2">
      <x v="10"/>
    </i>
    <i r="1">
      <x v="16"/>
      <x v="25"/>
    </i>
    <i t="default">
      <x v="27"/>
    </i>
    <i>
      <x v="28"/>
      <x v="1"/>
      <x v="7"/>
    </i>
    <i r="2">
      <x v="8"/>
    </i>
    <i r="2">
      <x v="9"/>
    </i>
    <i r="2">
      <x v="10"/>
    </i>
    <i r="2">
      <x v="11"/>
    </i>
    <i r="2">
      <x v="12"/>
    </i>
    <i r="1">
      <x v="16"/>
      <x v="23"/>
    </i>
    <i t="default">
      <x v="28"/>
    </i>
    <i>
      <x v="29"/>
      <x v="27"/>
      <x v="25"/>
    </i>
    <i t="default">
      <x v="29"/>
    </i>
    <i>
      <x v="30"/>
      <x v="3"/>
      <x v="21"/>
    </i>
    <i r="1">
      <x v="10"/>
      <x v="21"/>
    </i>
    <i t="default">
      <x v="30"/>
    </i>
    <i>
      <x v="31"/>
      <x/>
      <x v="21"/>
    </i>
    <i r="1">
      <x v="14"/>
      <x v="21"/>
    </i>
    <i t="default">
      <x v="31"/>
    </i>
    <i>
      <x v="32"/>
      <x v="6"/>
      <x v="21"/>
    </i>
    <i r="1">
      <x v="21"/>
      <x v="21"/>
    </i>
    <i t="default">
      <x v="32"/>
    </i>
    <i>
      <x v="33"/>
      <x v="2"/>
      <x v="8"/>
    </i>
    <i r="2">
      <x v="9"/>
    </i>
    <i r="2">
      <x v="10"/>
    </i>
    <i r="2">
      <x v="11"/>
    </i>
    <i r="2">
      <x v="12"/>
    </i>
    <i r="1">
      <x v="4"/>
      <x v="8"/>
    </i>
    <i r="2">
      <x v="9"/>
    </i>
    <i r="2">
      <x v="10"/>
    </i>
    <i r="2">
      <x v="11"/>
    </i>
    <i r="2">
      <x v="12"/>
    </i>
    <i r="2">
      <x v="13"/>
    </i>
    <i r="1">
      <x v="8"/>
      <x v="8"/>
    </i>
    <i r="2">
      <x v="9"/>
    </i>
    <i r="2">
      <x v="10"/>
    </i>
    <i r="2">
      <x v="11"/>
    </i>
    <i r="2">
      <x v="12"/>
    </i>
    <i r="1">
      <x v="22"/>
      <x v="8"/>
    </i>
    <i r="2">
      <x v="9"/>
    </i>
    <i r="2">
      <x v="10"/>
    </i>
    <i r="2">
      <x v="11"/>
    </i>
    <i r="2">
      <x v="12"/>
    </i>
    <i r="2">
      <x v="13"/>
    </i>
    <i r="1">
      <x v="27"/>
      <x v="8"/>
    </i>
    <i r="2">
      <x v="9"/>
    </i>
    <i r="2">
      <x v="10"/>
    </i>
    <i r="2">
      <x v="11"/>
    </i>
    <i r="2">
      <x v="12"/>
    </i>
    <i r="2">
      <x v="13"/>
    </i>
    <i t="default">
      <x v="33"/>
    </i>
    <i>
      <x v="34"/>
      <x v="2"/>
      <x v="8"/>
    </i>
    <i r="2">
      <x v="9"/>
    </i>
    <i r="2">
      <x v="10"/>
    </i>
    <i r="2">
      <x v="11"/>
    </i>
    <i r="2">
      <x v="12"/>
    </i>
    <i r="2">
      <x v="13"/>
    </i>
    <i r="1">
      <x v="4"/>
      <x v="8"/>
    </i>
    <i r="2">
      <x v="9"/>
    </i>
    <i r="2">
      <x v="10"/>
    </i>
    <i r="2">
      <x v="11"/>
    </i>
    <i r="2">
      <x v="12"/>
    </i>
    <i r="2">
      <x v="13"/>
    </i>
    <i r="1">
      <x v="8"/>
      <x v="8"/>
    </i>
    <i r="2">
      <x v="9"/>
    </i>
    <i r="2">
      <x v="10"/>
    </i>
    <i r="2">
      <x v="11"/>
    </i>
    <i r="2">
      <x v="12"/>
    </i>
    <i r="2">
      <x v="13"/>
    </i>
    <i r="1">
      <x v="22"/>
      <x v="8"/>
    </i>
    <i r="2">
      <x v="9"/>
    </i>
    <i r="2">
      <x v="10"/>
    </i>
    <i r="2">
      <x v="11"/>
    </i>
    <i r="2">
      <x v="12"/>
    </i>
    <i r="1">
      <x v="27"/>
      <x v="8"/>
    </i>
    <i r="2">
      <x v="10"/>
    </i>
    <i r="2">
      <x v="11"/>
    </i>
    <i r="2">
      <x v="12"/>
    </i>
    <i r="2">
      <x v="13"/>
    </i>
    <i t="default">
      <x v="34"/>
    </i>
    <i>
      <x v="35"/>
      <x v="27"/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t="default">
      <x v="35"/>
    </i>
    <i>
      <x v="36"/>
      <x v="15"/>
      <x v="20"/>
    </i>
    <i r="2">
      <x v="26"/>
    </i>
    <i t="default">
      <x v="36"/>
    </i>
    <i>
      <x v="37"/>
      <x v="2"/>
      <x v="20"/>
    </i>
    <i t="default">
      <x v="37"/>
    </i>
    <i>
      <x v="38"/>
      <x v="3"/>
      <x v="20"/>
    </i>
    <i r="1">
      <x v="12"/>
      <x v="15"/>
    </i>
    <i r="2">
      <x v="16"/>
    </i>
    <i r="2">
      <x v="20"/>
    </i>
    <i r="1">
      <x v="22"/>
      <x v="20"/>
    </i>
    <i t="default">
      <x v="38"/>
    </i>
    <i>
      <x v="39"/>
      <x v="8"/>
      <x v="20"/>
    </i>
    <i r="1">
      <x v="15"/>
      <x v="19"/>
    </i>
    <i r="1">
      <x v="27"/>
      <x v="15"/>
    </i>
    <i r="2">
      <x v="16"/>
    </i>
    <i r="2">
      <x v="20"/>
    </i>
    <i t="default">
      <x v="39"/>
    </i>
    <i>
      <x v="40"/>
      <x v="2"/>
      <x v="20"/>
    </i>
    <i r="1">
      <x v="18"/>
      <x v="20"/>
    </i>
    <i t="default">
      <x v="40"/>
    </i>
    <i>
      <x v="41"/>
      <x v="1"/>
      <x v="12"/>
    </i>
    <i r="2">
      <x v="13"/>
    </i>
    <i r="2">
      <x v="14"/>
    </i>
    <i r="2">
      <x v="15"/>
    </i>
    <i r="2">
      <x v="16"/>
    </i>
    <i r="2">
      <x v="17"/>
    </i>
    <i r="1">
      <x v="2"/>
      <x v="12"/>
    </i>
    <i r="2">
      <x v="13"/>
    </i>
    <i r="2">
      <x v="14"/>
    </i>
    <i r="2">
      <x v="15"/>
    </i>
    <i r="2">
      <x v="16"/>
    </i>
    <i r="1">
      <x v="8"/>
      <x v="12"/>
    </i>
    <i r="2">
      <x v="13"/>
    </i>
    <i r="2">
      <x v="14"/>
    </i>
    <i r="2">
      <x v="15"/>
    </i>
    <i r="2">
      <x v="16"/>
    </i>
    <i r="1">
      <x v="22"/>
      <x v="12"/>
    </i>
    <i r="2">
      <x v="13"/>
    </i>
    <i r="2">
      <x v="14"/>
    </i>
    <i r="2">
      <x v="15"/>
    </i>
    <i r="2">
      <x v="16"/>
    </i>
    <i r="1">
      <x v="27"/>
      <x v="12"/>
    </i>
    <i r="2">
      <x v="13"/>
    </i>
    <i r="2">
      <x v="14"/>
    </i>
    <i r="2">
      <x v="15"/>
    </i>
    <i r="2">
      <x v="16"/>
    </i>
    <i t="default">
      <x v="41"/>
    </i>
    <i>
      <x v="42"/>
      <x v="1"/>
      <x v="12"/>
    </i>
    <i r="2">
      <x v="13"/>
    </i>
    <i r="2">
      <x v="14"/>
    </i>
    <i r="2">
      <x v="15"/>
    </i>
    <i r="2">
      <x v="16"/>
    </i>
    <i r="1">
      <x v="2"/>
      <x v="12"/>
    </i>
    <i r="2">
      <x v="13"/>
    </i>
    <i r="2">
      <x v="14"/>
    </i>
    <i r="2">
      <x v="15"/>
    </i>
    <i r="2">
      <x v="16"/>
    </i>
    <i r="2">
      <x v="17"/>
    </i>
    <i r="1">
      <x v="8"/>
      <x v="12"/>
    </i>
    <i r="2">
      <x v="13"/>
    </i>
    <i r="2">
      <x v="14"/>
    </i>
    <i r="2">
      <x v="15"/>
    </i>
    <i r="2">
      <x v="16"/>
    </i>
    <i r="2">
      <x v="17"/>
    </i>
    <i r="1">
      <x v="13"/>
      <x v="12"/>
    </i>
    <i r="2">
      <x v="13"/>
    </i>
    <i r="2">
      <x v="14"/>
    </i>
    <i r="2">
      <x v="15"/>
    </i>
    <i r="2">
      <x v="17"/>
    </i>
    <i r="1">
      <x v="27"/>
      <x v="12"/>
    </i>
    <i r="2">
      <x v="13"/>
    </i>
    <i r="2">
      <x v="15"/>
    </i>
    <i r="2">
      <x v="16"/>
    </i>
    <i r="2">
      <x v="17"/>
    </i>
    <i t="default">
      <x v="42"/>
    </i>
    <i>
      <x v="43"/>
      <x v="2"/>
      <x v="14"/>
    </i>
    <i r="1">
      <x v="8"/>
      <x v="13"/>
    </i>
    <i r="2">
      <x v="16"/>
    </i>
    <i r="1">
      <x v="13"/>
      <x v="12"/>
    </i>
    <i r="2">
      <x v="13"/>
    </i>
    <i r="2">
      <x v="14"/>
    </i>
    <i r="2">
      <x v="15"/>
    </i>
    <i r="2">
      <x v="16"/>
    </i>
    <i r="1">
      <x v="22"/>
      <x v="12"/>
    </i>
    <i r="2">
      <x v="13"/>
    </i>
    <i r="2">
      <x v="14"/>
    </i>
    <i r="2">
      <x v="15"/>
    </i>
    <i r="2">
      <x v="16"/>
    </i>
    <i t="default">
      <x v="43"/>
    </i>
    <i>
      <x v="44"/>
      <x v="8"/>
      <x v="12"/>
    </i>
    <i r="2">
      <x v="13"/>
    </i>
    <i r="2">
      <x v="14"/>
    </i>
    <i r="2">
      <x v="15"/>
    </i>
    <i r="2">
      <x v="16"/>
    </i>
    <i t="default">
      <x v="44"/>
    </i>
    <i>
      <x v="45"/>
      <x v="22"/>
      <x v="12"/>
    </i>
    <i r="2">
      <x v="13"/>
    </i>
    <i r="2">
      <x v="14"/>
    </i>
    <i r="2">
      <x v="15"/>
    </i>
    <i r="2">
      <x v="16"/>
    </i>
    <i t="default">
      <x v="45"/>
    </i>
    <i>
      <x v="46"/>
      <x v="2"/>
      <x v="11"/>
    </i>
    <i r="1">
      <x v="20"/>
      <x v="8"/>
    </i>
    <i r="2">
      <x v="9"/>
    </i>
    <i r="2">
      <x v="10"/>
    </i>
    <i r="2">
      <x v="11"/>
    </i>
    <i r="2">
      <x v="12"/>
    </i>
    <i r="2">
      <x v="13"/>
    </i>
    <i r="1">
      <x v="22"/>
      <x v="8"/>
    </i>
    <i r="2">
      <x v="9"/>
    </i>
    <i r="2">
      <x v="10"/>
    </i>
    <i r="2">
      <x v="11"/>
    </i>
    <i r="2">
      <x v="12"/>
    </i>
    <i t="default">
      <x v="46"/>
    </i>
    <i>
      <x v="47"/>
      <x v="8"/>
      <x v="8"/>
    </i>
    <i r="2">
      <x v="9"/>
    </i>
    <i t="default">
      <x v="47"/>
    </i>
    <i>
      <x v="48"/>
      <x v="2"/>
      <x v="12"/>
    </i>
    <i r="2">
      <x v="13"/>
    </i>
    <i t="default">
      <x v="48"/>
    </i>
    <i>
      <x v="49"/>
      <x v="13"/>
      <x v="20"/>
    </i>
    <i t="default">
      <x v="49"/>
    </i>
    <i>
      <x v="50"/>
      <x v="2"/>
      <x v="12"/>
    </i>
    <i r="2">
      <x v="13"/>
    </i>
    <i r="2">
      <x v="14"/>
    </i>
    <i r="2">
      <x v="15"/>
    </i>
    <i r="2">
      <x v="16"/>
    </i>
    <i r="1">
      <x v="8"/>
      <x v="12"/>
    </i>
    <i r="2">
      <x v="13"/>
    </i>
    <i r="2">
      <x v="14"/>
    </i>
    <i r="2">
      <x v="15"/>
    </i>
    <i r="2">
      <x v="16"/>
    </i>
    <i r="1">
      <x v="27"/>
      <x v="12"/>
    </i>
    <i r="2">
      <x v="13"/>
    </i>
    <i r="2">
      <x v="14"/>
    </i>
    <i r="2">
      <x v="16"/>
    </i>
    <i t="default">
      <x v="50"/>
    </i>
    <i>
      <x v="51"/>
      <x v="2"/>
      <x v="20"/>
    </i>
    <i r="1">
      <x v="8"/>
      <x v="20"/>
    </i>
    <i r="1">
      <x v="13"/>
      <x v="20"/>
    </i>
    <i r="2">
      <x v="26"/>
    </i>
    <i r="1">
      <x v="27"/>
      <x v="20"/>
    </i>
    <i t="default">
      <x v="51"/>
    </i>
    <i>
      <x v="52"/>
      <x v="2"/>
      <x v="12"/>
    </i>
    <i r="2">
      <x v="13"/>
    </i>
    <i r="2">
      <x v="14"/>
    </i>
    <i r="2">
      <x v="15"/>
    </i>
    <i r="2">
      <x v="16"/>
    </i>
    <i r="1">
      <x v="8"/>
      <x v="13"/>
    </i>
    <i r="2">
      <x v="14"/>
    </i>
    <i r="2">
      <x v="15"/>
    </i>
    <i r="2">
      <x v="16"/>
    </i>
    <i r="1">
      <x v="13"/>
      <x v="12"/>
    </i>
    <i r="2">
      <x v="13"/>
    </i>
    <i r="2">
      <x v="14"/>
    </i>
    <i r="2">
      <x v="15"/>
    </i>
    <i r="2">
      <x v="16"/>
    </i>
    <i r="1">
      <x v="27"/>
      <x v="12"/>
    </i>
    <i r="2">
      <x v="13"/>
    </i>
    <i r="2">
      <x v="14"/>
    </i>
    <i r="2">
      <x v="15"/>
    </i>
    <i r="2">
      <x v="16"/>
    </i>
    <i r="2">
      <x v="17"/>
    </i>
    <i t="default">
      <x v="52"/>
    </i>
    <i>
      <x v="53"/>
      <x v="2"/>
      <x v="12"/>
    </i>
    <i r="2">
      <x v="13"/>
    </i>
    <i r="2">
      <x v="14"/>
    </i>
    <i r="2">
      <x v="16"/>
    </i>
    <i r="2">
      <x v="17"/>
    </i>
    <i t="default">
      <x v="53"/>
    </i>
    <i>
      <x v="54"/>
      <x v="28"/>
      <x v="24"/>
    </i>
    <i t="default">
      <x v="54"/>
    </i>
    <i>
      <x v="55"/>
      <x v="27"/>
      <x v="20"/>
    </i>
    <i t="default">
      <x v="55"/>
    </i>
    <i>
      <x v="56"/>
      <x v="2"/>
      <x v="15"/>
    </i>
    <i t="default">
      <x v="56"/>
    </i>
    <i>
      <x v="57"/>
      <x v="1"/>
      <x v="26"/>
    </i>
    <i t="default">
      <x v="57"/>
    </i>
    <i>
      <x v="58"/>
      <x/>
      <x v="20"/>
    </i>
    <i r="1">
      <x v="2"/>
      <x v="12"/>
    </i>
    <i r="2">
      <x v="14"/>
    </i>
    <i r="2">
      <x v="15"/>
    </i>
    <i r="2">
      <x v="17"/>
    </i>
    <i r="2">
      <x v="20"/>
    </i>
    <i r="1">
      <x v="8"/>
      <x v="20"/>
    </i>
    <i t="default">
      <x v="58"/>
    </i>
    <i>
      <x v="59"/>
      <x/>
      <x v="13"/>
    </i>
    <i r="1">
      <x v="8"/>
      <x v="12"/>
    </i>
    <i r="2">
      <x v="13"/>
    </i>
    <i r="2">
      <x v="14"/>
    </i>
    <i t="default">
      <x v="59"/>
    </i>
    <i>
      <x v="60"/>
      <x/>
      <x v="13"/>
    </i>
    <i r="2">
      <x v="14"/>
    </i>
    <i r="2">
      <x v="15"/>
    </i>
    <i r="1">
      <x v="8"/>
      <x v="13"/>
    </i>
    <i r="2">
      <x v="14"/>
    </i>
    <i t="default">
      <x v="60"/>
    </i>
    <i>
      <x v="61"/>
      <x v="10"/>
      <x v="8"/>
    </i>
    <i r="2">
      <x v="9"/>
    </i>
    <i r="2">
      <x v="10"/>
    </i>
    <i r="2">
      <x v="11"/>
    </i>
    <i r="2">
      <x v="12"/>
    </i>
    <i r="2">
      <x v="23"/>
    </i>
    <i r="1">
      <x v="16"/>
      <x v="11"/>
    </i>
    <i t="default">
      <x v="61"/>
    </i>
    <i>
      <x v="62"/>
      <x/>
      <x v="8"/>
    </i>
    <i r="2">
      <x v="9"/>
    </i>
    <i r="2">
      <x v="10"/>
    </i>
    <i r="2">
      <x v="11"/>
    </i>
    <i r="2">
      <x v="12"/>
    </i>
    <i r="2">
      <x v="13"/>
    </i>
    <i r="2">
      <x v="21"/>
    </i>
    <i r="1">
      <x v="10"/>
      <x v="8"/>
    </i>
    <i r="2">
      <x v="9"/>
    </i>
    <i r="2">
      <x v="10"/>
    </i>
    <i r="2">
      <x v="11"/>
    </i>
    <i r="2">
      <x v="12"/>
    </i>
    <i r="2">
      <x v="13"/>
    </i>
    <i t="default">
      <x v="62"/>
    </i>
    <i>
      <x v="63"/>
      <x v="16"/>
      <x v="9"/>
    </i>
    <i r="2">
      <x v="10"/>
    </i>
    <i r="2">
      <x v="11"/>
    </i>
    <i r="1">
      <x v="22"/>
      <x v="8"/>
    </i>
    <i r="2">
      <x v="9"/>
    </i>
    <i r="2">
      <x v="10"/>
    </i>
    <i r="2">
      <x v="11"/>
    </i>
    <i r="2">
      <x v="12"/>
    </i>
    <i r="1">
      <x v="27"/>
      <x v="10"/>
    </i>
    <i t="default">
      <x v="63"/>
    </i>
    <i>
      <x v="64"/>
      <x v="10"/>
      <x v="9"/>
    </i>
    <i r="2">
      <x v="10"/>
    </i>
    <i r="2">
      <x v="11"/>
    </i>
    <i r="2">
      <x v="12"/>
    </i>
    <i r="1">
      <x v="27"/>
      <x v="10"/>
    </i>
    <i t="default">
      <x v="64"/>
    </i>
    <i>
      <x v="65"/>
      <x v="2"/>
      <x v="8"/>
    </i>
    <i r="2">
      <x v="9"/>
    </i>
    <i r="2">
      <x v="11"/>
    </i>
    <i r="2">
      <x v="12"/>
    </i>
    <i r="2">
      <x v="13"/>
    </i>
    <i r="1">
      <x v="4"/>
      <x v="8"/>
    </i>
    <i r="2">
      <x v="9"/>
    </i>
    <i r="2">
      <x v="10"/>
    </i>
    <i r="2">
      <x v="11"/>
    </i>
    <i r="2">
      <x v="12"/>
    </i>
    <i r="1">
      <x v="8"/>
      <x v="9"/>
    </i>
    <i r="2">
      <x v="11"/>
    </i>
    <i r="2">
      <x v="12"/>
    </i>
    <i r="2">
      <x v="13"/>
    </i>
    <i r="1">
      <x v="22"/>
      <x v="10"/>
    </i>
    <i r="2">
      <x v="11"/>
    </i>
    <i r="2">
      <x v="12"/>
    </i>
    <i r="2">
      <x v="13"/>
    </i>
    <i r="1">
      <x v="27"/>
      <x v="8"/>
    </i>
    <i r="2">
      <x v="10"/>
    </i>
    <i r="2">
      <x v="12"/>
    </i>
    <i r="2">
      <x v="13"/>
    </i>
    <i t="default">
      <x v="65"/>
    </i>
    <i>
      <x v="66"/>
      <x v="2"/>
      <x v="12"/>
    </i>
    <i r="2">
      <x v="13"/>
    </i>
    <i r="2">
      <x v="14"/>
    </i>
    <i r="2">
      <x v="15"/>
    </i>
    <i r="2">
      <x v="16"/>
    </i>
    <i r="1">
      <x v="8"/>
      <x v="12"/>
    </i>
    <i r="1">
      <x v="13"/>
      <x v="13"/>
    </i>
    <i r="1">
      <x v="22"/>
      <x v="12"/>
    </i>
    <i r="2">
      <x v="13"/>
    </i>
    <i r="2">
      <x v="14"/>
    </i>
    <i r="2">
      <x v="15"/>
    </i>
    <i r="2">
      <x v="16"/>
    </i>
    <i r="2">
      <x v="17"/>
    </i>
    <i r="1">
      <x v="27"/>
      <x v="12"/>
    </i>
    <i r="2">
      <x v="13"/>
    </i>
    <i r="2">
      <x v="14"/>
    </i>
    <i r="2">
      <x v="15"/>
    </i>
    <i r="2">
      <x v="16"/>
    </i>
    <i r="2">
      <x v="17"/>
    </i>
    <i t="default">
      <x v="66"/>
    </i>
    <i>
      <x v="67"/>
      <x v="2"/>
      <x v="8"/>
    </i>
    <i r="2">
      <x v="9"/>
    </i>
    <i r="2">
      <x v="10"/>
    </i>
    <i r="2">
      <x v="11"/>
    </i>
    <i r="2">
      <x v="12"/>
    </i>
    <i r="1">
      <x v="4"/>
      <x v="9"/>
    </i>
    <i r="2">
      <x v="10"/>
    </i>
    <i r="2">
      <x v="11"/>
    </i>
    <i r="2">
      <x v="12"/>
    </i>
    <i r="2">
      <x v="13"/>
    </i>
    <i r="1">
      <x v="8"/>
      <x v="8"/>
    </i>
    <i r="2">
      <x v="9"/>
    </i>
    <i r="2">
      <x v="10"/>
    </i>
    <i r="2">
      <x v="11"/>
    </i>
    <i r="2">
      <x v="12"/>
    </i>
    <i r="2">
      <x v="13"/>
    </i>
    <i r="1">
      <x v="22"/>
      <x v="8"/>
    </i>
    <i r="2">
      <x v="9"/>
    </i>
    <i r="2">
      <x v="10"/>
    </i>
    <i r="2">
      <x v="11"/>
    </i>
    <i r="2">
      <x v="12"/>
    </i>
    <i r="2">
      <x v="13"/>
    </i>
    <i r="1">
      <x v="27"/>
      <x v="11"/>
    </i>
    <i r="2">
      <x v="12"/>
    </i>
    <i r="2">
      <x v="13"/>
    </i>
    <i t="default">
      <x v="67"/>
    </i>
    <i>
      <x v="68"/>
      <x v="1"/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1">
      <x v="2"/>
      <x v="12"/>
    </i>
    <i r="2">
      <x v="13"/>
    </i>
    <i r="2">
      <x v="14"/>
    </i>
    <i r="2">
      <x v="15"/>
    </i>
    <i r="2">
      <x v="16"/>
    </i>
    <i r="2">
      <x v="17"/>
    </i>
    <i r="1">
      <x v="8"/>
      <x v="12"/>
    </i>
    <i r="2">
      <x v="13"/>
    </i>
    <i r="2">
      <x v="14"/>
    </i>
    <i r="2">
      <x v="15"/>
    </i>
    <i r="2">
      <x v="16"/>
    </i>
    <i r="1">
      <x v="13"/>
      <x v="12"/>
    </i>
    <i r="2">
      <x v="13"/>
    </i>
    <i r="2">
      <x v="14"/>
    </i>
    <i r="2">
      <x v="15"/>
    </i>
    <i r="2">
      <x v="16"/>
    </i>
    <i r="1">
      <x v="27"/>
      <x v="12"/>
    </i>
    <i r="2">
      <x v="13"/>
    </i>
    <i r="2">
      <x v="14"/>
    </i>
    <i r="2">
      <x v="15"/>
    </i>
    <i r="2">
      <x v="16"/>
    </i>
    <i t="default">
      <x v="68"/>
    </i>
    <i>
      <x v="69"/>
      <x v="17"/>
      <x v="19"/>
    </i>
    <i r="1">
      <x v="22"/>
      <x v="15"/>
    </i>
    <i r="2">
      <x v="16"/>
    </i>
    <i r="2">
      <x v="19"/>
    </i>
    <i r="1">
      <x v="27"/>
      <x v="20"/>
    </i>
    <i t="default">
      <x v="69"/>
    </i>
    <i>
      <x v="70"/>
      <x v="16"/>
      <x/>
    </i>
    <i r="2">
      <x v="1"/>
    </i>
    <i r="2">
      <x v="2"/>
    </i>
    <i r="2">
      <x v="6"/>
    </i>
    <i r="2">
      <x v="8"/>
    </i>
    <i r="2">
      <x v="9"/>
    </i>
    <i r="2">
      <x v="10"/>
    </i>
    <i r="2">
      <x v="11"/>
    </i>
    <i t="default">
      <x v="70"/>
    </i>
    <i>
      <x v="71"/>
      <x v="16"/>
      <x v="24"/>
    </i>
    <i t="default">
      <x v="71"/>
    </i>
    <i>
      <x v="72"/>
      <x v="2"/>
      <x v="8"/>
    </i>
    <i r="2">
      <x v="9"/>
    </i>
    <i r="2">
      <x v="11"/>
    </i>
    <i r="2">
      <x v="12"/>
    </i>
    <i r="2">
      <x v="13"/>
    </i>
    <i r="2">
      <x v="25"/>
    </i>
    <i r="1">
      <x v="8"/>
      <x v="8"/>
    </i>
    <i r="2">
      <x v="9"/>
    </i>
    <i r="2">
      <x v="10"/>
    </i>
    <i r="2">
      <x v="11"/>
    </i>
    <i r="1">
      <x v="27"/>
      <x v="21"/>
    </i>
    <i t="default">
      <x v="72"/>
    </i>
    <i>
      <x v="73"/>
      <x v="7"/>
      <x v="20"/>
    </i>
    <i t="default">
      <x v="73"/>
    </i>
    <i>
      <x v="74"/>
      <x v="3"/>
      <x v="19"/>
    </i>
    <i r="2">
      <x v="20"/>
    </i>
    <i r="1">
      <x v="26"/>
      <x v="19"/>
    </i>
    <i r="2">
      <x v="20"/>
    </i>
    <i t="default">
      <x v="74"/>
    </i>
    <i>
      <x v="75"/>
      <x v="9"/>
      <x v="21"/>
    </i>
    <i t="default">
      <x v="75"/>
    </i>
    <i>
      <x v="76"/>
      <x v="5"/>
      <x v="21"/>
    </i>
    <i t="default">
      <x v="76"/>
    </i>
    <i>
      <x v="77"/>
      <x v="8"/>
      <x v="23"/>
    </i>
    <i r="1">
      <x v="26"/>
      <x v="23"/>
    </i>
    <i t="default">
      <x v="77"/>
    </i>
    <i>
      <x v="78"/>
      <x v="2"/>
      <x v="23"/>
    </i>
    <i r="1">
      <x v="27"/>
      <x v="8"/>
    </i>
    <i r="2">
      <x v="9"/>
    </i>
    <i r="2">
      <x v="10"/>
    </i>
    <i r="2">
      <x v="11"/>
    </i>
    <i r="2">
      <x v="12"/>
    </i>
    <i r="2">
      <x v="21"/>
    </i>
    <i t="default">
      <x v="78"/>
    </i>
    <i>
      <x v="79"/>
      <x v="8"/>
      <x/>
    </i>
    <i r="2">
      <x v="4"/>
    </i>
    <i r="2">
      <x v="7"/>
    </i>
    <i r="2">
      <x v="11"/>
    </i>
    <i r="1">
      <x v="22"/>
      <x v="1"/>
    </i>
    <i r="2">
      <x v="2"/>
    </i>
    <i r="2">
      <x v="3"/>
    </i>
    <i r="2">
      <x v="4"/>
    </i>
    <i r="2">
      <x v="5"/>
    </i>
    <i r="2">
      <x v="8"/>
    </i>
    <i r="1">
      <x v="25"/>
      <x v="1"/>
    </i>
    <i r="2">
      <x v="2"/>
    </i>
    <i r="2">
      <x v="3"/>
    </i>
    <i r="2">
      <x v="4"/>
    </i>
    <i r="2">
      <x v="10"/>
    </i>
    <i t="default">
      <x v="79"/>
    </i>
    <i>
      <x v="80"/>
      <x v="8"/>
      <x v="19"/>
    </i>
    <i r="2">
      <x v="20"/>
    </i>
    <i r="1">
      <x v="23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80"/>
    </i>
    <i>
      <x v="81"/>
      <x v="8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1">
      <x v="17"/>
      <x v="8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1">
      <x v="22"/>
      <x v="8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1">
      <x v="25"/>
      <x v="10"/>
    </i>
    <i r="2">
      <x v="11"/>
    </i>
    <i r="2">
      <x v="12"/>
    </i>
    <i r="2">
      <x v="14"/>
    </i>
    <i r="2">
      <x v="15"/>
    </i>
    <i r="2">
      <x v="20"/>
    </i>
    <i r="1">
      <x v="27"/>
      <x v="8"/>
    </i>
    <i r="2">
      <x v="9"/>
    </i>
    <i r="2">
      <x v="10"/>
    </i>
    <i r="1">
      <x v="31"/>
      <x v="9"/>
    </i>
    <i r="2">
      <x v="10"/>
    </i>
    <i r="2">
      <x v="12"/>
    </i>
    <i r="2">
      <x v="13"/>
    </i>
    <i r="2">
      <x v="15"/>
    </i>
    <i r="2">
      <x v="16"/>
    </i>
    <i t="default">
      <x v="81"/>
    </i>
    <i>
      <x v="82"/>
      <x v="2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82"/>
    </i>
    <i t="grand">
      <x/>
    </i>
  </rowItems>
  <colItems count="1">
    <i/>
  </colItems>
  <dataFields count="1">
    <dataField name="Somma di paia" fld="10" baseField="0" baseItem="0"/>
  </dataFields>
  <formats count="282">
    <format dxfId="281">
      <pivotArea outline="0" collapsedLevelsAreSubtotals="1" fieldPosition="0">
        <references count="1">
          <reference field="2" count="0" selected="0" defaultSubtotal="1"/>
        </references>
      </pivotArea>
    </format>
    <format dxfId="280">
      <pivotArea dataOnly="0" labelOnly="1" outline="0" fieldPosition="0">
        <references count="1">
          <reference field="2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279">
      <pivotArea dataOnly="0" labelOnly="1" outline="0" fieldPosition="0">
        <references count="1">
          <reference field="2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278">
      <pivotArea dataOnly="0" labelOnly="1" outline="0" fieldPosition="0">
        <references count="1">
          <reference field="2" count="25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7">
      <pivotArea dataOnly="0" labelOnly="1" outline="0" fieldPosition="0">
        <references count="1">
          <reference field="2" count="25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6">
      <pivotArea dataOnly="0" labelOnly="1" outline="0" fieldPosition="0">
        <references count="1">
          <reference field="2" count="2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75">
      <pivotArea dataOnly="0" labelOnly="1" outline="0" fieldPosition="0">
        <references count="1">
          <reference field="2" count="25" defaultSubtotal="1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74">
      <pivotArea dataOnly="0" labelOnly="1" outline="0" fieldPosition="0">
        <references count="1">
          <reference field="2" count="8"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3">
      <pivotArea dataOnly="0" labelOnly="1" outline="0" fieldPosition="0">
        <references count="1">
          <reference field="2" count="8" defaultSubtotal="1"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2">
      <pivotArea dataOnly="0" labelOnly="1" outline="0" fieldPosition="0">
        <references count="2">
          <reference field="2" count="1" selected="0">
            <x v="0"/>
          </reference>
          <reference field="7" count="1">
            <x v="22"/>
          </reference>
        </references>
      </pivotArea>
    </format>
    <format dxfId="271">
      <pivotArea dataOnly="0" labelOnly="1" outline="0" fieldPosition="0">
        <references count="2">
          <reference field="2" count="1" selected="0">
            <x v="1"/>
          </reference>
          <reference field="7" count="1">
            <x v="30"/>
          </reference>
        </references>
      </pivotArea>
    </format>
    <format dxfId="270">
      <pivotArea dataOnly="0" labelOnly="1" outline="0" fieldPosition="0">
        <references count="2">
          <reference field="2" count="1" selected="0">
            <x v="2"/>
          </reference>
          <reference field="7" count="1">
            <x v="30"/>
          </reference>
        </references>
      </pivotArea>
    </format>
    <format dxfId="269">
      <pivotArea dataOnly="0" labelOnly="1" outline="0" fieldPosition="0">
        <references count="2">
          <reference field="2" count="1" selected="0">
            <x v="3"/>
          </reference>
          <reference field="7" count="4">
            <x v="2"/>
            <x v="8"/>
            <x v="13"/>
            <x v="27"/>
          </reference>
        </references>
      </pivotArea>
    </format>
    <format dxfId="268">
      <pivotArea dataOnly="0" labelOnly="1" outline="0" fieldPosition="0">
        <references count="2">
          <reference field="2" count="1" selected="0">
            <x v="4"/>
          </reference>
          <reference field="7" count="2">
            <x v="8"/>
            <x v="27"/>
          </reference>
        </references>
      </pivotArea>
    </format>
    <format dxfId="267">
      <pivotArea dataOnly="0" labelOnly="1" outline="0" fieldPosition="0">
        <references count="2">
          <reference field="2" count="1" selected="0">
            <x v="5"/>
          </reference>
          <reference field="7" count="1">
            <x v="27"/>
          </reference>
        </references>
      </pivotArea>
    </format>
    <format dxfId="266">
      <pivotArea dataOnly="0" labelOnly="1" outline="0" fieldPosition="0">
        <references count="2">
          <reference field="2" count="1" selected="0">
            <x v="6"/>
          </reference>
          <reference field="7" count="1">
            <x v="8"/>
          </reference>
        </references>
      </pivotArea>
    </format>
    <format dxfId="265">
      <pivotArea dataOnly="0" labelOnly="1" outline="0" fieldPosition="0">
        <references count="2">
          <reference field="2" count="1" selected="0">
            <x v="7"/>
          </reference>
          <reference field="7" count="5">
            <x v="0"/>
            <x v="2"/>
            <x v="8"/>
            <x v="10"/>
            <x v="27"/>
          </reference>
        </references>
      </pivotArea>
    </format>
    <format dxfId="264">
      <pivotArea dataOnly="0" labelOnly="1" outline="0" fieldPosition="0">
        <references count="2">
          <reference field="2" count="1" selected="0">
            <x v="8"/>
          </reference>
          <reference field="7" count="5">
            <x v="0"/>
            <x v="2"/>
            <x v="8"/>
            <x v="10"/>
            <x v="27"/>
          </reference>
        </references>
      </pivotArea>
    </format>
    <format dxfId="263">
      <pivotArea dataOnly="0" labelOnly="1" outline="0" fieldPosition="0">
        <references count="2">
          <reference field="2" count="1" selected="0">
            <x v="9"/>
          </reference>
          <reference field="7" count="3">
            <x v="2"/>
            <x v="24"/>
            <x v="25"/>
          </reference>
        </references>
      </pivotArea>
    </format>
    <format dxfId="262">
      <pivotArea dataOnly="0" labelOnly="1" outline="0" fieldPosition="0">
        <references count="2">
          <reference field="2" count="1" selected="0">
            <x v="10"/>
          </reference>
          <reference field="7" count="2">
            <x v="8"/>
            <x v="27"/>
          </reference>
        </references>
      </pivotArea>
    </format>
    <format dxfId="261">
      <pivotArea dataOnly="0" labelOnly="1" outline="0" fieldPosition="0">
        <references count="2">
          <reference field="2" count="1" selected="0">
            <x v="11"/>
          </reference>
          <reference field="7" count="1">
            <x v="8"/>
          </reference>
        </references>
      </pivotArea>
    </format>
    <format dxfId="260">
      <pivotArea dataOnly="0" labelOnly="1" outline="0" fieldPosition="0">
        <references count="2">
          <reference field="2" count="1" selected="0">
            <x v="12"/>
          </reference>
          <reference field="7" count="1">
            <x v="7"/>
          </reference>
        </references>
      </pivotArea>
    </format>
    <format dxfId="259">
      <pivotArea dataOnly="0" labelOnly="1" outline="0" fieldPosition="0">
        <references count="2">
          <reference field="2" count="1" selected="0">
            <x v="13"/>
          </reference>
          <reference field="7" count="1">
            <x v="27"/>
          </reference>
        </references>
      </pivotArea>
    </format>
    <format dxfId="258">
      <pivotArea dataOnly="0" labelOnly="1" outline="0" fieldPosition="0">
        <references count="2">
          <reference field="2" count="1" selected="0">
            <x v="14"/>
          </reference>
          <reference field="7" count="2">
            <x v="24"/>
            <x v="27"/>
          </reference>
        </references>
      </pivotArea>
    </format>
    <format dxfId="257">
      <pivotArea dataOnly="0" labelOnly="1" outline="0" fieldPosition="0">
        <references count="2">
          <reference field="2" count="1" selected="0">
            <x v="15"/>
          </reference>
          <reference field="7" count="1">
            <x v="16"/>
          </reference>
        </references>
      </pivotArea>
    </format>
    <format dxfId="256">
      <pivotArea dataOnly="0" labelOnly="1" outline="0" fieldPosition="0">
        <references count="2">
          <reference field="2" count="1" selected="0">
            <x v="16"/>
          </reference>
          <reference field="7" count="3">
            <x v="11"/>
            <x v="17"/>
            <x v="24"/>
          </reference>
        </references>
      </pivotArea>
    </format>
    <format dxfId="255">
      <pivotArea dataOnly="0" labelOnly="1" outline="0" fieldPosition="0">
        <references count="2">
          <reference field="2" count="1" selected="0">
            <x v="17"/>
          </reference>
          <reference field="7" count="1">
            <x v="27"/>
          </reference>
        </references>
      </pivotArea>
    </format>
    <format dxfId="254">
      <pivotArea dataOnly="0" labelOnly="1" outline="0" fieldPosition="0">
        <references count="2">
          <reference field="2" count="1" selected="0">
            <x v="18"/>
          </reference>
          <reference field="7" count="1">
            <x v="3"/>
          </reference>
        </references>
      </pivotArea>
    </format>
    <format dxfId="253">
      <pivotArea dataOnly="0" labelOnly="1" outline="0" fieldPosition="0">
        <references count="2">
          <reference field="2" count="1" selected="0">
            <x v="19"/>
          </reference>
          <reference field="7" count="1">
            <x v="29"/>
          </reference>
        </references>
      </pivotArea>
    </format>
    <format dxfId="252">
      <pivotArea dataOnly="0" labelOnly="1" outline="0" fieldPosition="0">
        <references count="2">
          <reference field="2" count="1" selected="0">
            <x v="20"/>
          </reference>
          <reference field="7" count="1">
            <x v="29"/>
          </reference>
        </references>
      </pivotArea>
    </format>
    <format dxfId="251">
      <pivotArea dataOnly="0" labelOnly="1" outline="0" fieldPosition="0">
        <references count="2">
          <reference field="2" count="1" selected="0">
            <x v="21"/>
          </reference>
          <reference field="7" count="2">
            <x v="16"/>
            <x v="19"/>
          </reference>
        </references>
      </pivotArea>
    </format>
    <format dxfId="250">
      <pivotArea dataOnly="0" labelOnly="1" outline="0" fieldPosition="0">
        <references count="2">
          <reference field="2" count="1" selected="0">
            <x v="22"/>
          </reference>
          <reference field="7" count="2">
            <x v="2"/>
            <x v="11"/>
          </reference>
        </references>
      </pivotArea>
    </format>
    <format dxfId="249">
      <pivotArea dataOnly="0" labelOnly="1" outline="0" fieldPosition="0">
        <references count="2">
          <reference field="2" count="1" selected="0">
            <x v="23"/>
          </reference>
          <reference field="7" count="2">
            <x v="8"/>
            <x v="22"/>
          </reference>
        </references>
      </pivotArea>
    </format>
    <format dxfId="248">
      <pivotArea dataOnly="0" labelOnly="1" outline="0" fieldPosition="0">
        <references count="2">
          <reference field="2" count="1" selected="0">
            <x v="24"/>
          </reference>
          <reference field="7" count="1">
            <x v="27"/>
          </reference>
        </references>
      </pivotArea>
    </format>
    <format dxfId="247">
      <pivotArea dataOnly="0" labelOnly="1" outline="0" fieldPosition="0">
        <references count="2">
          <reference field="2" count="1" selected="0">
            <x v="25"/>
          </reference>
          <reference field="7" count="1">
            <x v="8"/>
          </reference>
        </references>
      </pivotArea>
    </format>
    <format dxfId="246">
      <pivotArea dataOnly="0" labelOnly="1" outline="0" fieldPosition="0">
        <references count="2">
          <reference field="2" count="1" selected="0">
            <x v="26"/>
          </reference>
          <reference field="7" count="1">
            <x v="1"/>
          </reference>
        </references>
      </pivotArea>
    </format>
    <format dxfId="245">
      <pivotArea dataOnly="0" labelOnly="1" outline="0" fieldPosition="0">
        <references count="2">
          <reference field="2" count="1" selected="0">
            <x v="27"/>
          </reference>
          <reference field="7" count="2">
            <x v="1"/>
            <x v="16"/>
          </reference>
        </references>
      </pivotArea>
    </format>
    <format dxfId="244">
      <pivotArea dataOnly="0" labelOnly="1" outline="0" fieldPosition="0">
        <references count="2">
          <reference field="2" count="1" selected="0">
            <x v="28"/>
          </reference>
          <reference field="7" count="2">
            <x v="1"/>
            <x v="16"/>
          </reference>
        </references>
      </pivotArea>
    </format>
    <format dxfId="243">
      <pivotArea dataOnly="0" labelOnly="1" outline="0" fieldPosition="0">
        <references count="2">
          <reference field="2" count="1" selected="0">
            <x v="29"/>
          </reference>
          <reference field="7" count="1">
            <x v="27"/>
          </reference>
        </references>
      </pivotArea>
    </format>
    <format dxfId="242">
      <pivotArea dataOnly="0" labelOnly="1" outline="0" fieldPosition="0">
        <references count="2">
          <reference field="2" count="1" selected="0">
            <x v="30"/>
          </reference>
          <reference field="7" count="2">
            <x v="3"/>
            <x v="10"/>
          </reference>
        </references>
      </pivotArea>
    </format>
    <format dxfId="241">
      <pivotArea dataOnly="0" labelOnly="1" outline="0" fieldPosition="0">
        <references count="2">
          <reference field="2" count="1" selected="0">
            <x v="31"/>
          </reference>
          <reference field="7" count="2">
            <x v="0"/>
            <x v="14"/>
          </reference>
        </references>
      </pivotArea>
    </format>
    <format dxfId="240">
      <pivotArea dataOnly="0" labelOnly="1" outline="0" fieldPosition="0">
        <references count="2">
          <reference field="2" count="1" selected="0">
            <x v="32"/>
          </reference>
          <reference field="7" count="2">
            <x v="6"/>
            <x v="21"/>
          </reference>
        </references>
      </pivotArea>
    </format>
    <format dxfId="239">
      <pivotArea dataOnly="0" labelOnly="1" outline="0" fieldPosition="0">
        <references count="2">
          <reference field="2" count="1" selected="0">
            <x v="33"/>
          </reference>
          <reference field="7" count="5">
            <x v="2"/>
            <x v="4"/>
            <x v="8"/>
            <x v="22"/>
            <x v="27"/>
          </reference>
        </references>
      </pivotArea>
    </format>
    <format dxfId="238">
      <pivotArea dataOnly="0" labelOnly="1" outline="0" fieldPosition="0">
        <references count="2">
          <reference field="2" count="1" selected="0">
            <x v="34"/>
          </reference>
          <reference field="7" count="5">
            <x v="2"/>
            <x v="4"/>
            <x v="8"/>
            <x v="22"/>
            <x v="27"/>
          </reference>
        </references>
      </pivotArea>
    </format>
    <format dxfId="237">
      <pivotArea dataOnly="0" labelOnly="1" outline="0" fieldPosition="0">
        <references count="2">
          <reference field="2" count="1" selected="0">
            <x v="35"/>
          </reference>
          <reference field="7" count="1">
            <x v="27"/>
          </reference>
        </references>
      </pivotArea>
    </format>
    <format dxfId="236">
      <pivotArea dataOnly="0" labelOnly="1" outline="0" fieldPosition="0">
        <references count="2">
          <reference field="2" count="1" selected="0">
            <x v="36"/>
          </reference>
          <reference field="7" count="1">
            <x v="15"/>
          </reference>
        </references>
      </pivotArea>
    </format>
    <format dxfId="235">
      <pivotArea dataOnly="0" labelOnly="1" outline="0" fieldPosition="0">
        <references count="2">
          <reference field="2" count="1" selected="0">
            <x v="37"/>
          </reference>
          <reference field="7" count="1">
            <x v="2"/>
          </reference>
        </references>
      </pivotArea>
    </format>
    <format dxfId="234">
      <pivotArea dataOnly="0" labelOnly="1" outline="0" fieldPosition="0">
        <references count="2">
          <reference field="2" count="1" selected="0">
            <x v="38"/>
          </reference>
          <reference field="7" count="3">
            <x v="3"/>
            <x v="12"/>
            <x v="22"/>
          </reference>
        </references>
      </pivotArea>
    </format>
    <format dxfId="233">
      <pivotArea dataOnly="0" labelOnly="1" outline="0" fieldPosition="0">
        <references count="2">
          <reference field="2" count="1" selected="0">
            <x v="39"/>
          </reference>
          <reference field="7" count="3">
            <x v="8"/>
            <x v="15"/>
            <x v="27"/>
          </reference>
        </references>
      </pivotArea>
    </format>
    <format dxfId="232">
      <pivotArea dataOnly="0" labelOnly="1" outline="0" fieldPosition="0">
        <references count="2">
          <reference field="2" count="1" selected="0">
            <x v="40"/>
          </reference>
          <reference field="7" count="2">
            <x v="2"/>
            <x v="18"/>
          </reference>
        </references>
      </pivotArea>
    </format>
    <format dxfId="231">
      <pivotArea dataOnly="0" labelOnly="1" outline="0" fieldPosition="0">
        <references count="2">
          <reference field="2" count="1" selected="0">
            <x v="41"/>
          </reference>
          <reference field="7" count="5">
            <x v="1"/>
            <x v="2"/>
            <x v="8"/>
            <x v="22"/>
            <x v="27"/>
          </reference>
        </references>
      </pivotArea>
    </format>
    <format dxfId="230">
      <pivotArea dataOnly="0" labelOnly="1" outline="0" fieldPosition="0">
        <references count="2">
          <reference field="2" count="1" selected="0">
            <x v="42"/>
          </reference>
          <reference field="7" count="5">
            <x v="1"/>
            <x v="2"/>
            <x v="8"/>
            <x v="13"/>
            <x v="27"/>
          </reference>
        </references>
      </pivotArea>
    </format>
    <format dxfId="229">
      <pivotArea dataOnly="0" labelOnly="1" outline="0" fieldPosition="0">
        <references count="2">
          <reference field="2" count="1" selected="0">
            <x v="43"/>
          </reference>
          <reference field="7" count="4">
            <x v="2"/>
            <x v="8"/>
            <x v="13"/>
            <x v="22"/>
          </reference>
        </references>
      </pivotArea>
    </format>
    <format dxfId="228">
      <pivotArea dataOnly="0" labelOnly="1" outline="0" fieldPosition="0">
        <references count="2">
          <reference field="2" count="1" selected="0">
            <x v="44"/>
          </reference>
          <reference field="7" count="1">
            <x v="8"/>
          </reference>
        </references>
      </pivotArea>
    </format>
    <format dxfId="227">
      <pivotArea dataOnly="0" labelOnly="1" outline="0" fieldPosition="0">
        <references count="2">
          <reference field="2" count="1" selected="0">
            <x v="45"/>
          </reference>
          <reference field="7" count="1">
            <x v="22"/>
          </reference>
        </references>
      </pivotArea>
    </format>
    <format dxfId="226">
      <pivotArea dataOnly="0" labelOnly="1" outline="0" fieldPosition="0">
        <references count="2">
          <reference field="2" count="1" selected="0">
            <x v="46"/>
          </reference>
          <reference field="7" count="3">
            <x v="2"/>
            <x v="20"/>
            <x v="22"/>
          </reference>
        </references>
      </pivotArea>
    </format>
    <format dxfId="225">
      <pivotArea dataOnly="0" labelOnly="1" outline="0" fieldPosition="0">
        <references count="2">
          <reference field="2" count="1" selected="0">
            <x v="47"/>
          </reference>
          <reference field="7" count="1">
            <x v="8"/>
          </reference>
        </references>
      </pivotArea>
    </format>
    <format dxfId="224">
      <pivotArea dataOnly="0" labelOnly="1" outline="0" fieldPosition="0">
        <references count="2">
          <reference field="2" count="1" selected="0">
            <x v="48"/>
          </reference>
          <reference field="7" count="1">
            <x v="2"/>
          </reference>
        </references>
      </pivotArea>
    </format>
    <format dxfId="223">
      <pivotArea dataOnly="0" labelOnly="1" outline="0" fieldPosition="0">
        <references count="2">
          <reference field="2" count="1" selected="0">
            <x v="49"/>
          </reference>
          <reference field="7" count="1">
            <x v="13"/>
          </reference>
        </references>
      </pivotArea>
    </format>
    <format dxfId="222">
      <pivotArea dataOnly="0" labelOnly="1" outline="0" fieldPosition="0">
        <references count="2">
          <reference field="2" count="1" selected="0">
            <x v="50"/>
          </reference>
          <reference field="7" count="3">
            <x v="2"/>
            <x v="8"/>
            <x v="27"/>
          </reference>
        </references>
      </pivotArea>
    </format>
    <format dxfId="221">
      <pivotArea dataOnly="0" labelOnly="1" outline="0" fieldPosition="0">
        <references count="2">
          <reference field="2" count="1" selected="0">
            <x v="51"/>
          </reference>
          <reference field="7" count="4">
            <x v="2"/>
            <x v="8"/>
            <x v="13"/>
            <x v="27"/>
          </reference>
        </references>
      </pivotArea>
    </format>
    <format dxfId="220">
      <pivotArea dataOnly="0" labelOnly="1" outline="0" fieldPosition="0">
        <references count="2">
          <reference field="2" count="1" selected="0">
            <x v="52"/>
          </reference>
          <reference field="7" count="4">
            <x v="2"/>
            <x v="8"/>
            <x v="13"/>
            <x v="27"/>
          </reference>
        </references>
      </pivotArea>
    </format>
    <format dxfId="219">
      <pivotArea dataOnly="0" labelOnly="1" outline="0" fieldPosition="0">
        <references count="2">
          <reference field="2" count="1" selected="0">
            <x v="53"/>
          </reference>
          <reference field="7" count="1">
            <x v="2"/>
          </reference>
        </references>
      </pivotArea>
    </format>
    <format dxfId="218">
      <pivotArea dataOnly="0" labelOnly="1" outline="0" fieldPosition="0">
        <references count="2">
          <reference field="2" count="1" selected="0">
            <x v="54"/>
          </reference>
          <reference field="7" count="1">
            <x v="28"/>
          </reference>
        </references>
      </pivotArea>
    </format>
    <format dxfId="217">
      <pivotArea dataOnly="0" labelOnly="1" outline="0" fieldPosition="0">
        <references count="2">
          <reference field="2" count="1" selected="0">
            <x v="55"/>
          </reference>
          <reference field="7" count="1">
            <x v="27"/>
          </reference>
        </references>
      </pivotArea>
    </format>
    <format dxfId="216">
      <pivotArea dataOnly="0" labelOnly="1" outline="0" fieldPosition="0">
        <references count="2">
          <reference field="2" count="1" selected="0">
            <x v="56"/>
          </reference>
          <reference field="7" count="1">
            <x v="2"/>
          </reference>
        </references>
      </pivotArea>
    </format>
    <format dxfId="215">
      <pivotArea dataOnly="0" labelOnly="1" outline="0" fieldPosition="0">
        <references count="2">
          <reference field="2" count="1" selected="0">
            <x v="57"/>
          </reference>
          <reference field="7" count="1">
            <x v="1"/>
          </reference>
        </references>
      </pivotArea>
    </format>
    <format dxfId="214">
      <pivotArea dataOnly="0" labelOnly="1" outline="0" fieldPosition="0">
        <references count="2">
          <reference field="2" count="1" selected="0">
            <x v="58"/>
          </reference>
          <reference field="7" count="3">
            <x v="0"/>
            <x v="2"/>
            <x v="8"/>
          </reference>
        </references>
      </pivotArea>
    </format>
    <format dxfId="213">
      <pivotArea dataOnly="0" labelOnly="1" outline="0" fieldPosition="0">
        <references count="2">
          <reference field="2" count="1" selected="0">
            <x v="59"/>
          </reference>
          <reference field="7" count="2">
            <x v="0"/>
            <x v="8"/>
          </reference>
        </references>
      </pivotArea>
    </format>
    <format dxfId="212">
      <pivotArea dataOnly="0" labelOnly="1" outline="0" fieldPosition="0">
        <references count="2">
          <reference field="2" count="1" selected="0">
            <x v="60"/>
          </reference>
          <reference field="7" count="2">
            <x v="0"/>
            <x v="8"/>
          </reference>
        </references>
      </pivotArea>
    </format>
    <format dxfId="211">
      <pivotArea dataOnly="0" labelOnly="1" outline="0" fieldPosition="0">
        <references count="2">
          <reference field="2" count="1" selected="0">
            <x v="61"/>
          </reference>
          <reference field="7" count="2">
            <x v="10"/>
            <x v="16"/>
          </reference>
        </references>
      </pivotArea>
    </format>
    <format dxfId="210">
      <pivotArea dataOnly="0" labelOnly="1" outline="0" fieldPosition="0">
        <references count="2">
          <reference field="2" count="1" selected="0">
            <x v="62"/>
          </reference>
          <reference field="7" count="2">
            <x v="0"/>
            <x v="10"/>
          </reference>
        </references>
      </pivotArea>
    </format>
    <format dxfId="209">
      <pivotArea dataOnly="0" labelOnly="1" outline="0" fieldPosition="0">
        <references count="2">
          <reference field="2" count="1" selected="0">
            <x v="63"/>
          </reference>
          <reference field="7" count="3">
            <x v="16"/>
            <x v="22"/>
            <x v="27"/>
          </reference>
        </references>
      </pivotArea>
    </format>
    <format dxfId="208">
      <pivotArea dataOnly="0" labelOnly="1" outline="0" fieldPosition="0">
        <references count="2">
          <reference field="2" count="1" selected="0">
            <x v="64"/>
          </reference>
          <reference field="7" count="2">
            <x v="10"/>
            <x v="27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65"/>
          </reference>
          <reference field="7" count="5">
            <x v="2"/>
            <x v="4"/>
            <x v="8"/>
            <x v="22"/>
            <x v="27"/>
          </reference>
        </references>
      </pivotArea>
    </format>
    <format dxfId="206">
      <pivotArea dataOnly="0" labelOnly="1" outline="0" fieldPosition="0">
        <references count="2">
          <reference field="2" count="1" selected="0">
            <x v="66"/>
          </reference>
          <reference field="7" count="5">
            <x v="2"/>
            <x v="8"/>
            <x v="13"/>
            <x v="22"/>
            <x v="27"/>
          </reference>
        </references>
      </pivotArea>
    </format>
    <format dxfId="205">
      <pivotArea dataOnly="0" labelOnly="1" outline="0" fieldPosition="0">
        <references count="2">
          <reference field="2" count="1" selected="0">
            <x v="67"/>
          </reference>
          <reference field="7" count="5">
            <x v="2"/>
            <x v="4"/>
            <x v="8"/>
            <x v="22"/>
            <x v="27"/>
          </reference>
        </references>
      </pivotArea>
    </format>
    <format dxfId="204">
      <pivotArea dataOnly="0" labelOnly="1" outline="0" fieldPosition="0">
        <references count="2">
          <reference field="2" count="1" selected="0">
            <x v="68"/>
          </reference>
          <reference field="7" count="5">
            <x v="1"/>
            <x v="2"/>
            <x v="8"/>
            <x v="13"/>
            <x v="27"/>
          </reference>
        </references>
      </pivotArea>
    </format>
    <format dxfId="203">
      <pivotArea dataOnly="0" labelOnly="1" outline="0" fieldPosition="0">
        <references count="2">
          <reference field="2" count="1" selected="0">
            <x v="69"/>
          </reference>
          <reference field="7" count="3">
            <x v="17"/>
            <x v="22"/>
            <x v="27"/>
          </reference>
        </references>
      </pivotArea>
    </format>
    <format dxfId="202">
      <pivotArea dataOnly="0" labelOnly="1" outline="0" fieldPosition="0">
        <references count="2">
          <reference field="2" count="1" selected="0">
            <x v="70"/>
          </reference>
          <reference field="7" count="1">
            <x v="16"/>
          </reference>
        </references>
      </pivotArea>
    </format>
    <format dxfId="201">
      <pivotArea dataOnly="0" labelOnly="1" outline="0" fieldPosition="0">
        <references count="2">
          <reference field="2" count="1" selected="0">
            <x v="71"/>
          </reference>
          <reference field="7" count="1">
            <x v="16"/>
          </reference>
        </references>
      </pivotArea>
    </format>
    <format dxfId="200">
      <pivotArea dataOnly="0" labelOnly="1" outline="0" fieldPosition="0">
        <references count="2">
          <reference field="2" count="1" selected="0">
            <x v="72"/>
          </reference>
          <reference field="7" count="3">
            <x v="2"/>
            <x v="8"/>
            <x v="27"/>
          </reference>
        </references>
      </pivotArea>
    </format>
    <format dxfId="199">
      <pivotArea dataOnly="0" labelOnly="1" outline="0" fieldPosition="0">
        <references count="2">
          <reference field="2" count="1" selected="0">
            <x v="73"/>
          </reference>
          <reference field="7" count="1">
            <x v="7"/>
          </reference>
        </references>
      </pivotArea>
    </format>
    <format dxfId="198">
      <pivotArea dataOnly="0" labelOnly="1" outline="0" fieldPosition="0">
        <references count="2">
          <reference field="2" count="1" selected="0">
            <x v="74"/>
          </reference>
          <reference field="7" count="2">
            <x v="3"/>
            <x v="26"/>
          </reference>
        </references>
      </pivotArea>
    </format>
    <format dxfId="197">
      <pivotArea dataOnly="0" labelOnly="1" outline="0" fieldPosition="0">
        <references count="2">
          <reference field="2" count="1" selected="0">
            <x v="75"/>
          </reference>
          <reference field="7" count="1">
            <x v="9"/>
          </reference>
        </references>
      </pivotArea>
    </format>
    <format dxfId="196">
      <pivotArea dataOnly="0" labelOnly="1" outline="0" fieldPosition="0">
        <references count="2">
          <reference field="2" count="1" selected="0">
            <x v="76"/>
          </reference>
          <reference field="7" count="1">
            <x v="5"/>
          </reference>
        </references>
      </pivotArea>
    </format>
    <format dxfId="195">
      <pivotArea dataOnly="0" labelOnly="1" outline="0" fieldPosition="0">
        <references count="2">
          <reference field="2" count="1" selected="0">
            <x v="77"/>
          </reference>
          <reference field="7" count="2">
            <x v="8"/>
            <x v="26"/>
          </reference>
        </references>
      </pivotArea>
    </format>
    <format dxfId="194">
      <pivotArea dataOnly="0" labelOnly="1" outline="0" fieldPosition="0">
        <references count="2">
          <reference field="2" count="1" selected="0">
            <x v="78"/>
          </reference>
          <reference field="7" count="2">
            <x v="2"/>
            <x v="27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79"/>
          </reference>
          <reference field="7" count="3">
            <x v="8"/>
            <x v="22"/>
            <x v="25"/>
          </reference>
        </references>
      </pivotArea>
    </format>
    <format dxfId="192">
      <pivotArea dataOnly="0" labelOnly="1" outline="0" fieldPosition="0">
        <references count="2">
          <reference field="2" count="1" selected="0">
            <x v="80"/>
          </reference>
          <reference field="7" count="2">
            <x v="8"/>
            <x v="23"/>
          </reference>
        </references>
      </pivotArea>
    </format>
    <format dxfId="191">
      <pivotArea dataOnly="0" labelOnly="1" outline="0" fieldPosition="0">
        <references count="2">
          <reference field="2" count="1" selected="0">
            <x v="81"/>
          </reference>
          <reference field="7" count="6">
            <x v="8"/>
            <x v="17"/>
            <x v="22"/>
            <x v="25"/>
            <x v="27"/>
            <x v="31"/>
          </reference>
        </references>
      </pivotArea>
    </format>
    <format dxfId="190">
      <pivotArea dataOnly="0" labelOnly="1" outline="0" fieldPosition="0">
        <references count="2">
          <reference field="2" count="1" selected="0">
            <x v="82"/>
          </reference>
          <reference field="7" count="1">
            <x v="27"/>
          </reference>
        </references>
      </pivotArea>
    </format>
    <format dxfId="189">
      <pivotArea dataOnly="0" labelOnly="1" outline="0" fieldPosition="0">
        <references count="3">
          <reference field="2" count="1" selected="0">
            <x v="0"/>
          </reference>
          <reference field="4" count="1">
            <x v="25"/>
          </reference>
          <reference field="7" count="1" selected="0">
            <x v="22"/>
          </reference>
        </references>
      </pivotArea>
    </format>
    <format dxfId="188">
      <pivotArea dataOnly="0" labelOnly="1" outline="0" fieldPosition="0">
        <references count="3">
          <reference field="2" count="1" selected="0">
            <x v="1"/>
          </reference>
          <reference field="4" count="1">
            <x v="20"/>
          </reference>
          <reference field="7" count="1" selected="0">
            <x v="30"/>
          </reference>
        </references>
      </pivotArea>
    </format>
    <format dxfId="187">
      <pivotArea dataOnly="0" labelOnly="1" outline="0" fieldPosition="0">
        <references count="3">
          <reference field="2" count="1" selected="0">
            <x v="2"/>
          </reference>
          <reference field="4" count="4">
            <x v="8"/>
            <x v="9"/>
            <x v="10"/>
            <x v="21"/>
          </reference>
          <reference field="7" count="1" selected="0">
            <x v="30"/>
          </reference>
        </references>
      </pivotArea>
    </format>
    <format dxfId="186">
      <pivotArea dataOnly="0" labelOnly="1" outline="0" fieldPosition="0">
        <references count="3">
          <reference field="2" count="1" selected="0">
            <x v="3"/>
          </reference>
          <reference field="4" count="6">
            <x v="9"/>
            <x v="10"/>
            <x v="11"/>
            <x v="12"/>
            <x v="13"/>
            <x v="21"/>
          </reference>
          <reference field="7" count="1" selected="0">
            <x v="2"/>
          </reference>
        </references>
      </pivotArea>
    </format>
    <format dxfId="185">
      <pivotArea dataOnly="0" labelOnly="1" outline="0" fieldPosition="0">
        <references count="3">
          <reference field="2" count="1" selected="0">
            <x v="3"/>
          </reference>
          <reference field="4" count="6">
            <x v="9"/>
            <x v="10"/>
            <x v="11"/>
            <x v="12"/>
            <x v="13"/>
            <x v="21"/>
          </reference>
          <reference field="7" count="1" selected="0">
            <x v="8"/>
          </reference>
        </references>
      </pivotArea>
    </format>
    <format dxfId="184">
      <pivotArea dataOnly="0" labelOnly="1" outline="0" fieldPosition="0">
        <references count="3">
          <reference field="2" count="1" selected="0">
            <x v="3"/>
          </reference>
          <reference field="4" count="6">
            <x v="9"/>
            <x v="10"/>
            <x v="11"/>
            <x v="12"/>
            <x v="13"/>
            <x v="21"/>
          </reference>
          <reference field="7" count="1" selected="0">
            <x v="13"/>
          </reference>
        </references>
      </pivotArea>
    </format>
    <format dxfId="183">
      <pivotArea dataOnly="0" labelOnly="1" outline="0" fieldPosition="0">
        <references count="3">
          <reference field="2" count="1" selected="0">
            <x v="3"/>
          </reference>
          <reference field="4" count="6">
            <x v="9"/>
            <x v="10"/>
            <x v="11"/>
            <x v="12"/>
            <x v="13"/>
            <x v="21"/>
          </reference>
          <reference field="7" count="1" selected="0">
            <x v="27"/>
          </reference>
        </references>
      </pivotArea>
    </format>
    <format dxfId="182">
      <pivotArea dataOnly="0" labelOnly="1" outline="0" fieldPosition="0">
        <references count="3">
          <reference field="2" count="1" selected="0">
            <x v="4"/>
          </reference>
          <reference field="4" count="1">
            <x v="21"/>
          </reference>
          <reference field="7" count="1" selected="0">
            <x v="8"/>
          </reference>
        </references>
      </pivotArea>
    </format>
    <format dxfId="181">
      <pivotArea dataOnly="0" labelOnly="1" outline="0" fieldPosition="0">
        <references count="3">
          <reference field="2" count="1" selected="0">
            <x v="4"/>
          </reference>
          <reference field="4" count="1">
            <x v="11"/>
          </reference>
          <reference field="7" count="1" selected="0">
            <x v="27"/>
          </reference>
        </references>
      </pivotArea>
    </format>
    <format dxfId="180">
      <pivotArea dataOnly="0" labelOnly="1" outline="0" fieldPosition="0">
        <references count="3">
          <reference field="2" count="1" selected="0">
            <x v="5"/>
          </reference>
          <reference field="4" count="1">
            <x v="12"/>
          </reference>
          <reference field="7" count="1" selected="0">
            <x v="27"/>
          </reference>
        </references>
      </pivotArea>
    </format>
    <format dxfId="179">
      <pivotArea dataOnly="0" labelOnly="1" outline="0" fieldPosition="0">
        <references count="3">
          <reference field="2" count="1" selected="0">
            <x v="6"/>
          </reference>
          <reference field="4" count="1">
            <x v="21"/>
          </reference>
          <reference field="7" count="1" selected="0">
            <x v="8"/>
          </reference>
        </references>
      </pivotArea>
    </format>
    <format dxfId="178">
      <pivotArea dataOnly="0" labelOnly="1" outline="0" fieldPosition="0">
        <references count="3">
          <reference field="2" count="1" selected="0">
            <x v="7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0"/>
          </reference>
        </references>
      </pivotArea>
    </format>
    <format dxfId="177">
      <pivotArea dataOnly="0" labelOnly="1" outline="0" fieldPosition="0">
        <references count="3">
          <reference field="2" count="1" selected="0">
            <x v="7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2"/>
          </reference>
        </references>
      </pivotArea>
    </format>
    <format dxfId="176">
      <pivotArea dataOnly="0" labelOnly="1" outline="0" fieldPosition="0">
        <references count="3">
          <reference field="2" count="1" selected="0">
            <x v="7"/>
          </reference>
          <reference field="4" count="5">
            <x v="8"/>
            <x v="9"/>
            <x v="10"/>
            <x v="11"/>
            <x v="12"/>
          </reference>
          <reference field="7" count="1" selected="0">
            <x v="8"/>
          </reference>
        </references>
      </pivotArea>
    </format>
    <format dxfId="175">
      <pivotArea dataOnly="0" labelOnly="1" outline="0" fieldPosition="0">
        <references count="3">
          <reference field="2" count="1" selected="0">
            <x v="7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10"/>
          </reference>
        </references>
      </pivotArea>
    </format>
    <format dxfId="174">
      <pivotArea dataOnly="0" labelOnly="1" outline="0" fieldPosition="0">
        <references count="3">
          <reference field="2" count="1" selected="0">
            <x v="7"/>
          </reference>
          <reference field="4" count="5">
            <x v="8"/>
            <x v="10"/>
            <x v="11"/>
            <x v="12"/>
            <x v="13"/>
          </reference>
          <reference field="7" count="1" selected="0">
            <x v="27"/>
          </reference>
        </references>
      </pivotArea>
    </format>
    <format dxfId="173">
      <pivotArea dataOnly="0" labelOnly="1" outline="0" fieldPosition="0">
        <references count="3">
          <reference field="2" count="1" selected="0">
            <x v="8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0"/>
          </reference>
        </references>
      </pivotArea>
    </format>
    <format dxfId="172">
      <pivotArea dataOnly="0" labelOnly="1" outline="0" fieldPosition="0">
        <references count="3">
          <reference field="2" count="1" selected="0">
            <x v="8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2"/>
          </reference>
        </references>
      </pivotArea>
    </format>
    <format dxfId="171">
      <pivotArea dataOnly="0" labelOnly="1" outline="0" fieldPosition="0">
        <references count="3">
          <reference field="2" count="1" selected="0">
            <x v="8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8"/>
          </reference>
        </references>
      </pivotArea>
    </format>
    <format dxfId="170">
      <pivotArea dataOnly="0" labelOnly="1" outline="0" fieldPosition="0">
        <references count="3">
          <reference field="2" count="1" selected="0">
            <x v="8"/>
          </reference>
          <reference field="4" count="5">
            <x v="8"/>
            <x v="9"/>
            <x v="10"/>
            <x v="11"/>
            <x v="12"/>
          </reference>
          <reference field="7" count="1" selected="0">
            <x v="10"/>
          </reference>
        </references>
      </pivotArea>
    </format>
    <format dxfId="169">
      <pivotArea dataOnly="0" labelOnly="1" outline="0" fieldPosition="0">
        <references count="3">
          <reference field="2" count="1" selected="0">
            <x v="8"/>
          </reference>
          <reference field="4" count="5">
            <x v="8"/>
            <x v="9"/>
            <x v="10"/>
            <x v="11"/>
            <x v="12"/>
          </reference>
          <reference field="7" count="1" selected="0">
            <x v="27"/>
          </reference>
        </references>
      </pivotArea>
    </format>
    <format dxfId="168">
      <pivotArea dataOnly="0" labelOnly="1" outline="0" fieldPosition="0">
        <references count="3">
          <reference field="2" count="1" selected="0">
            <x v="9"/>
          </reference>
          <reference field="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7" count="1" selected="0">
            <x v="2"/>
          </reference>
        </references>
      </pivotArea>
    </format>
    <format dxfId="167">
      <pivotArea dataOnly="0" labelOnly="1" outline="0" fieldPosition="0">
        <references count="3">
          <reference field="2" count="1" selected="0">
            <x v="9"/>
          </reference>
          <reference field="4" count="11">
            <x v="0"/>
            <x v="1"/>
            <x v="2"/>
            <x v="3"/>
            <x v="4"/>
            <x v="5"/>
            <x v="6"/>
            <x v="7"/>
            <x v="8"/>
            <x v="9"/>
            <x v="11"/>
          </reference>
          <reference field="7" count="1" selected="0">
            <x v="24"/>
          </reference>
        </references>
      </pivotArea>
    </format>
    <format dxfId="166">
      <pivotArea dataOnly="0" labelOnly="1" outline="0" fieldPosition="0">
        <references count="3">
          <reference field="2" count="1" selected="0">
            <x v="9"/>
          </reference>
          <reference field="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7" count="1" selected="0">
            <x v="25"/>
          </reference>
        </references>
      </pivotArea>
    </format>
    <format dxfId="165">
      <pivotArea dataOnly="0" labelOnly="1" outline="0" fieldPosition="0">
        <references count="3">
          <reference field="2" count="1" selected="0">
            <x v="10"/>
          </reference>
          <reference field="4" count="3">
            <x v="1"/>
            <x v="2"/>
            <x v="3"/>
          </reference>
          <reference field="7" count="1" selected="0">
            <x v="8"/>
          </reference>
        </references>
      </pivotArea>
    </format>
    <format dxfId="164">
      <pivotArea dataOnly="0" labelOnly="1" outline="0" fieldPosition="0">
        <references count="3">
          <reference field="2" count="1" selected="0">
            <x v="10"/>
          </reference>
          <reference field="4" count="1">
            <x v="6"/>
          </reference>
          <reference field="7" count="1" selected="0">
            <x v="27"/>
          </reference>
        </references>
      </pivotArea>
    </format>
    <format dxfId="163">
      <pivotArea dataOnly="0" labelOnly="1" outline="0" fieldPosition="0">
        <references count="3">
          <reference field="2" count="1" selected="0">
            <x v="11"/>
          </reference>
          <reference field="4" count="1">
            <x v="24"/>
          </reference>
          <reference field="7" count="1" selected="0">
            <x v="8"/>
          </reference>
        </references>
      </pivotArea>
    </format>
    <format dxfId="162">
      <pivotArea dataOnly="0" labelOnly="1" outline="0" fieldPosition="0">
        <references count="3">
          <reference field="2" count="1" selected="0">
            <x v="12"/>
          </reference>
          <reference field="4" count="1">
            <x v="15"/>
          </reference>
          <reference field="7" count="1" selected="0">
            <x v="7"/>
          </reference>
        </references>
      </pivotArea>
    </format>
    <format dxfId="161">
      <pivotArea dataOnly="0" labelOnly="1" outline="0" fieldPosition="0">
        <references count="3">
          <reference field="2" count="1" selected="0">
            <x v="13"/>
          </reference>
          <reference field="4" count="2">
            <x v="19"/>
            <x v="20"/>
          </reference>
          <reference field="7" count="1" selected="0">
            <x v="27"/>
          </reference>
        </references>
      </pivotArea>
    </format>
    <format dxfId="160">
      <pivotArea dataOnly="0" labelOnly="1" outline="0" fieldPosition="0">
        <references count="3">
          <reference field="2" count="1" selected="0">
            <x v="14"/>
          </reference>
          <reference field="4" count="2">
            <x v="8"/>
            <x v="9"/>
          </reference>
          <reference field="7" count="1" selected="0">
            <x v="24"/>
          </reference>
        </references>
      </pivotArea>
    </format>
    <format dxfId="159">
      <pivotArea dataOnly="0" labelOnly="1" outline="0" fieldPosition="0">
        <references count="3">
          <reference field="2" count="1" selected="0">
            <x v="14"/>
          </reference>
          <reference field="4" count="1">
            <x v="21"/>
          </reference>
          <reference field="7" count="1" selected="0">
            <x v="27"/>
          </reference>
        </references>
      </pivotArea>
    </format>
    <format dxfId="158">
      <pivotArea dataOnly="0" labelOnly="1" outline="0" fieldPosition="0">
        <references count="3">
          <reference field="2" count="1" selected="0">
            <x v="15"/>
          </reference>
          <reference field="4" count="3">
            <x v="12"/>
            <x v="13"/>
            <x v="21"/>
          </reference>
          <reference field="7" count="1" selected="0">
            <x v="16"/>
          </reference>
        </references>
      </pivotArea>
    </format>
    <format dxfId="157">
      <pivotArea dataOnly="0" labelOnly="1" outline="0" fieldPosition="0">
        <references count="3">
          <reference field="2" count="1" selected="0">
            <x v="16"/>
          </reference>
          <reference field="4" count="2">
            <x v="11"/>
            <x v="23"/>
          </reference>
          <reference field="7" count="1" selected="0">
            <x v="11"/>
          </reference>
        </references>
      </pivotArea>
    </format>
    <format dxfId="156">
      <pivotArea dataOnly="0" labelOnly="1" outline="0" fieldPosition="0">
        <references count="3">
          <reference field="2" count="1" selected="0">
            <x v="16"/>
          </reference>
          <reference field="4" count="2">
            <x v="9"/>
            <x v="12"/>
          </reference>
          <reference field="7" count="1" selected="0">
            <x v="17"/>
          </reference>
        </references>
      </pivotArea>
    </format>
    <format dxfId="155">
      <pivotArea dataOnly="0" labelOnly="1" outline="0" fieldPosition="0">
        <references count="3">
          <reference field="2" count="1" selected="0">
            <x v="16"/>
          </reference>
          <reference field="4" count="1">
            <x v="11"/>
          </reference>
          <reference field="7" count="1" selected="0">
            <x v="24"/>
          </reference>
        </references>
      </pivotArea>
    </format>
    <format dxfId="154">
      <pivotArea dataOnly="0" labelOnly="1" outline="0" fieldPosition="0">
        <references count="3">
          <reference field="2" count="1" selected="0">
            <x v="17"/>
          </reference>
          <reference field="4" count="1">
            <x v="19"/>
          </reference>
          <reference field="7" count="1" selected="0">
            <x v="27"/>
          </reference>
        </references>
      </pivotArea>
    </format>
    <format dxfId="153">
      <pivotArea dataOnly="0" labelOnly="1" outline="0" fieldPosition="0">
        <references count="3">
          <reference field="2" count="1" selected="0">
            <x v="18"/>
          </reference>
          <reference field="4" count="1">
            <x v="19"/>
          </reference>
          <reference field="7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" count="1" selected="0">
            <x v="19"/>
          </reference>
          <reference field="4" count="1">
            <x v="21"/>
          </reference>
          <reference field="7" count="1" selected="0">
            <x v="29"/>
          </reference>
        </references>
      </pivotArea>
    </format>
    <format dxfId="151">
      <pivotArea dataOnly="0" labelOnly="1" outline="0" fieldPosition="0">
        <references count="3">
          <reference field="2" count="1" selected="0">
            <x v="20"/>
          </reference>
          <reference field="4" count="2">
            <x v="21"/>
            <x v="22"/>
          </reference>
          <reference field="7" count="1" selected="0">
            <x v="29"/>
          </reference>
        </references>
      </pivotArea>
    </format>
    <format dxfId="150">
      <pivotArea dataOnly="0" labelOnly="1" outline="0" fieldPosition="0">
        <references count="3">
          <reference field="2" count="1" selected="0">
            <x v="21"/>
          </reference>
          <reference field="4" count="1">
            <x v="23"/>
          </reference>
          <reference field="7" count="1" selected="0">
            <x v="16"/>
          </reference>
        </references>
      </pivotArea>
    </format>
    <format dxfId="149">
      <pivotArea dataOnly="0" labelOnly="1" outline="0" fieldPosition="0">
        <references count="3">
          <reference field="2" count="1" selected="0">
            <x v="21"/>
          </reference>
          <reference field="4" count="4">
            <x v="8"/>
            <x v="9"/>
            <x v="10"/>
            <x v="11"/>
          </reference>
          <reference field="7" count="1" selected="0">
            <x v="19"/>
          </reference>
        </references>
      </pivotArea>
    </format>
    <format dxfId="148">
      <pivotArea dataOnly="0" labelOnly="1" outline="0" fieldPosition="0">
        <references count="3">
          <reference field="2" count="1" selected="0">
            <x v="22"/>
          </reference>
          <reference field="4" count="3">
            <x v="11"/>
            <x v="23"/>
            <x v="25"/>
          </reference>
          <reference field="7" count="1" selected="0">
            <x v="2"/>
          </reference>
        </references>
      </pivotArea>
    </format>
    <format dxfId="147">
      <pivotArea dataOnly="0" labelOnly="1" outline="0" fieldPosition="0">
        <references count="3">
          <reference field="2" count="1" selected="0">
            <x v="22"/>
          </reference>
          <reference field="4" count="1">
            <x v="23"/>
          </reference>
          <reference field="7" count="1" selected="0">
            <x v="11"/>
          </reference>
        </references>
      </pivotArea>
    </format>
    <format dxfId="146">
      <pivotArea dataOnly="0" labelOnly="1" outline="0" fieldPosition="0">
        <references count="3">
          <reference field="2" count="1" selected="0">
            <x v="23"/>
          </reference>
          <reference field="4" count="1">
            <x v="21"/>
          </reference>
          <reference field="7" count="1" selected="0">
            <x v="8"/>
          </reference>
        </references>
      </pivotArea>
    </format>
    <format dxfId="145">
      <pivotArea dataOnly="0" labelOnly="1" outline="0" fieldPosition="0">
        <references count="3">
          <reference field="2" count="1" selected="0">
            <x v="23"/>
          </reference>
          <reference field="4" count="1">
            <x v="21"/>
          </reference>
          <reference field="7" count="1" selected="0">
            <x v="22"/>
          </reference>
        </references>
      </pivotArea>
    </format>
    <format dxfId="144">
      <pivotArea dataOnly="0" labelOnly="1" outline="0" fieldPosition="0">
        <references count="3">
          <reference field="2" count="1" selected="0">
            <x v="24"/>
          </reference>
          <reference field="4" count="6">
            <x v="12"/>
            <x v="13"/>
            <x v="14"/>
            <x v="15"/>
            <x v="16"/>
            <x v="17"/>
          </reference>
          <reference field="7" count="1" selected="0">
            <x v="27"/>
          </reference>
        </references>
      </pivotArea>
    </format>
    <format dxfId="143">
      <pivotArea dataOnly="0" labelOnly="1" outline="0" fieldPosition="0">
        <references count="3">
          <reference field="2" count="1" selected="0">
            <x v="25"/>
          </reference>
          <reference field="4" count="5">
            <x v="13"/>
            <x v="14"/>
            <x v="15"/>
            <x v="16"/>
            <x v="17"/>
          </reference>
          <reference field="7" count="1" selected="0">
            <x v="8"/>
          </reference>
        </references>
      </pivotArea>
    </format>
    <format dxfId="142">
      <pivotArea dataOnly="0" labelOnly="1" outline="0" fieldPosition="0">
        <references count="3">
          <reference field="2" count="1" selected="0">
            <x v="26"/>
          </reference>
          <reference field="4" count="1">
            <x v="25"/>
          </reference>
          <reference field="7" count="1" selected="0">
            <x v="1"/>
          </reference>
        </references>
      </pivotArea>
    </format>
    <format dxfId="141">
      <pivotArea dataOnly="0" labelOnly="1" outline="0" fieldPosition="0">
        <references count="3">
          <reference field="2" count="1" selected="0">
            <x v="27"/>
          </reference>
          <reference field="4" count="4">
            <x v="7"/>
            <x v="8"/>
            <x v="9"/>
            <x v="10"/>
          </reference>
          <reference field="7" count="1" selected="0">
            <x v="1"/>
          </reference>
        </references>
      </pivotArea>
    </format>
    <format dxfId="140">
      <pivotArea dataOnly="0" labelOnly="1" outline="0" fieldPosition="0">
        <references count="3">
          <reference field="2" count="1" selected="0">
            <x v="27"/>
          </reference>
          <reference field="4" count="1">
            <x v="25"/>
          </reference>
          <reference field="7" count="1" selected="0">
            <x v="16"/>
          </reference>
        </references>
      </pivotArea>
    </format>
    <format dxfId="139">
      <pivotArea dataOnly="0" labelOnly="1" outline="0" fieldPosition="0">
        <references count="3">
          <reference field="2" count="1" selected="0">
            <x v="28"/>
          </reference>
          <reference field="4" count="6">
            <x v="7"/>
            <x v="8"/>
            <x v="9"/>
            <x v="10"/>
            <x v="11"/>
            <x v="12"/>
          </reference>
          <reference field="7" count="1" selected="0">
            <x v="1"/>
          </reference>
        </references>
      </pivotArea>
    </format>
    <format dxfId="138">
      <pivotArea dataOnly="0" labelOnly="1" outline="0" fieldPosition="0">
        <references count="3">
          <reference field="2" count="1" selected="0">
            <x v="28"/>
          </reference>
          <reference field="4" count="1">
            <x v="23"/>
          </reference>
          <reference field="7" count="1" selected="0">
            <x v="16"/>
          </reference>
        </references>
      </pivotArea>
    </format>
    <format dxfId="137">
      <pivotArea dataOnly="0" labelOnly="1" outline="0" fieldPosition="0">
        <references count="3">
          <reference field="2" count="1" selected="0">
            <x v="29"/>
          </reference>
          <reference field="4" count="1">
            <x v="25"/>
          </reference>
          <reference field="7" count="1" selected="0">
            <x v="27"/>
          </reference>
        </references>
      </pivotArea>
    </format>
    <format dxfId="136">
      <pivotArea dataOnly="0" labelOnly="1" outline="0" fieldPosition="0">
        <references count="3">
          <reference field="2" count="1" selected="0">
            <x v="30"/>
          </reference>
          <reference field="4" count="1">
            <x v="21"/>
          </reference>
          <reference field="7" count="1" selected="0">
            <x v="3"/>
          </reference>
        </references>
      </pivotArea>
    </format>
    <format dxfId="135">
      <pivotArea dataOnly="0" labelOnly="1" outline="0" fieldPosition="0">
        <references count="3">
          <reference field="2" count="1" selected="0">
            <x v="30"/>
          </reference>
          <reference field="4" count="1">
            <x v="21"/>
          </reference>
          <reference field="7" count="1" selected="0">
            <x v="10"/>
          </reference>
        </references>
      </pivotArea>
    </format>
    <format dxfId="134">
      <pivotArea dataOnly="0" labelOnly="1" outline="0" fieldPosition="0">
        <references count="3">
          <reference field="2" count="1" selected="0">
            <x v="31"/>
          </reference>
          <reference field="4" count="1">
            <x v="21"/>
          </reference>
          <reference field="7" count="1" selected="0">
            <x v="0"/>
          </reference>
        </references>
      </pivotArea>
    </format>
    <format dxfId="133">
      <pivotArea dataOnly="0" labelOnly="1" outline="0" fieldPosition="0">
        <references count="3">
          <reference field="2" count="1" selected="0">
            <x v="31"/>
          </reference>
          <reference field="4" count="1">
            <x v="21"/>
          </reference>
          <reference field="7" count="1" selected="0">
            <x v="14"/>
          </reference>
        </references>
      </pivotArea>
    </format>
    <format dxfId="132">
      <pivotArea dataOnly="0" labelOnly="1" outline="0" fieldPosition="0">
        <references count="3">
          <reference field="2" count="1" selected="0">
            <x v="32"/>
          </reference>
          <reference field="4" count="1">
            <x v="21"/>
          </reference>
          <reference field="7" count="1" selected="0">
            <x v="6"/>
          </reference>
        </references>
      </pivotArea>
    </format>
    <format dxfId="131">
      <pivotArea dataOnly="0" labelOnly="1" outline="0" fieldPosition="0">
        <references count="3">
          <reference field="2" count="1" selected="0">
            <x v="32"/>
          </reference>
          <reference field="4" count="1">
            <x v="21"/>
          </reference>
          <reference field="7" count="1" selected="0">
            <x v="21"/>
          </reference>
        </references>
      </pivotArea>
    </format>
    <format dxfId="130">
      <pivotArea dataOnly="0" labelOnly="1" outline="0" fieldPosition="0">
        <references count="3">
          <reference field="2" count="1" selected="0">
            <x v="33"/>
          </reference>
          <reference field="4" count="5">
            <x v="8"/>
            <x v="9"/>
            <x v="10"/>
            <x v="11"/>
            <x v="12"/>
          </reference>
          <reference field="7" count="1" selected="0">
            <x v="2"/>
          </reference>
        </references>
      </pivotArea>
    </format>
    <format dxfId="129">
      <pivotArea dataOnly="0" labelOnly="1" outline="0" fieldPosition="0">
        <references count="3">
          <reference field="2" count="1" selected="0">
            <x v="33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4"/>
          </reference>
        </references>
      </pivotArea>
    </format>
    <format dxfId="128">
      <pivotArea dataOnly="0" labelOnly="1" outline="0" fieldPosition="0">
        <references count="3">
          <reference field="2" count="1" selected="0">
            <x v="33"/>
          </reference>
          <reference field="4" count="5">
            <x v="8"/>
            <x v="9"/>
            <x v="10"/>
            <x v="11"/>
            <x v="12"/>
          </reference>
          <reference field="7" count="1" selected="0">
            <x v="8"/>
          </reference>
        </references>
      </pivotArea>
    </format>
    <format dxfId="127">
      <pivotArea dataOnly="0" labelOnly="1" outline="0" fieldPosition="0">
        <references count="3">
          <reference field="2" count="1" selected="0">
            <x v="33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22"/>
          </reference>
        </references>
      </pivotArea>
    </format>
    <format dxfId="126">
      <pivotArea dataOnly="0" labelOnly="1" outline="0" fieldPosition="0">
        <references count="3">
          <reference field="2" count="1" selected="0">
            <x v="33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27"/>
          </reference>
        </references>
      </pivotArea>
    </format>
    <format dxfId="125">
      <pivotArea dataOnly="0" labelOnly="1" outline="0" fieldPosition="0">
        <references count="3">
          <reference field="2" count="1" selected="0">
            <x v="34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2"/>
          </reference>
        </references>
      </pivotArea>
    </format>
    <format dxfId="124">
      <pivotArea dataOnly="0" labelOnly="1" outline="0" fieldPosition="0">
        <references count="3">
          <reference field="2" count="1" selected="0">
            <x v="34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" count="1" selected="0">
            <x v="34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8"/>
          </reference>
        </references>
      </pivotArea>
    </format>
    <format dxfId="122">
      <pivotArea dataOnly="0" labelOnly="1" outline="0" fieldPosition="0">
        <references count="3">
          <reference field="2" count="1" selected="0">
            <x v="34"/>
          </reference>
          <reference field="4" count="5">
            <x v="8"/>
            <x v="9"/>
            <x v="10"/>
            <x v="11"/>
            <x v="12"/>
          </reference>
          <reference field="7" count="1" selected="0">
            <x v="22"/>
          </reference>
        </references>
      </pivotArea>
    </format>
    <format dxfId="121">
      <pivotArea dataOnly="0" labelOnly="1" outline="0" fieldPosition="0">
        <references count="3">
          <reference field="2" count="1" selected="0">
            <x v="34"/>
          </reference>
          <reference field="4" count="5">
            <x v="8"/>
            <x v="10"/>
            <x v="11"/>
            <x v="12"/>
            <x v="13"/>
          </reference>
          <reference field="7" count="1" selected="0">
            <x v="27"/>
          </reference>
        </references>
      </pivotArea>
    </format>
    <format dxfId="120">
      <pivotArea dataOnly="0" labelOnly="1" outline="0" fieldPosition="0">
        <references count="3">
          <reference field="2" count="1" selected="0">
            <x v="35"/>
          </reference>
          <reference field="4" count="7">
            <x v="12"/>
            <x v="13"/>
            <x v="14"/>
            <x v="15"/>
            <x v="16"/>
            <x v="17"/>
            <x v="19"/>
          </reference>
          <reference field="7" count="1" selected="0">
            <x v="27"/>
          </reference>
        </references>
      </pivotArea>
    </format>
    <format dxfId="119">
      <pivotArea dataOnly="0" labelOnly="1" outline="0" fieldPosition="0">
        <references count="3">
          <reference field="2" count="1" selected="0">
            <x v="36"/>
          </reference>
          <reference field="4" count="2">
            <x v="20"/>
            <x v="26"/>
          </reference>
          <reference field="7" count="1" selected="0">
            <x v="15"/>
          </reference>
        </references>
      </pivotArea>
    </format>
    <format dxfId="118">
      <pivotArea dataOnly="0" labelOnly="1" outline="0" fieldPosition="0">
        <references count="3">
          <reference field="2" count="1" selected="0">
            <x v="37"/>
          </reference>
          <reference field="4" count="1">
            <x v="20"/>
          </reference>
          <reference field="7" count="1" selected="0">
            <x v="2"/>
          </reference>
        </references>
      </pivotArea>
    </format>
    <format dxfId="117">
      <pivotArea dataOnly="0" labelOnly="1" outline="0" fieldPosition="0">
        <references count="3">
          <reference field="2" count="1" selected="0">
            <x v="38"/>
          </reference>
          <reference field="4" count="1">
            <x v="20"/>
          </reference>
          <reference field="7" count="1" selected="0">
            <x v="3"/>
          </reference>
        </references>
      </pivotArea>
    </format>
    <format dxfId="116">
      <pivotArea dataOnly="0" labelOnly="1" outline="0" fieldPosition="0">
        <references count="3">
          <reference field="2" count="1" selected="0">
            <x v="38"/>
          </reference>
          <reference field="4" count="3">
            <x v="15"/>
            <x v="16"/>
            <x v="20"/>
          </reference>
          <reference field="7" count="1" selected="0">
            <x v="12"/>
          </reference>
        </references>
      </pivotArea>
    </format>
    <format dxfId="115">
      <pivotArea dataOnly="0" labelOnly="1" outline="0" fieldPosition="0">
        <references count="3">
          <reference field="2" count="1" selected="0">
            <x v="38"/>
          </reference>
          <reference field="4" count="1">
            <x v="20"/>
          </reference>
          <reference field="7" count="1" selected="0">
            <x v="22"/>
          </reference>
        </references>
      </pivotArea>
    </format>
    <format dxfId="114">
      <pivotArea dataOnly="0" labelOnly="1" outline="0" fieldPosition="0">
        <references count="3">
          <reference field="2" count="1" selected="0">
            <x v="39"/>
          </reference>
          <reference field="4" count="1">
            <x v="20"/>
          </reference>
          <reference field="7" count="1" selected="0">
            <x v="8"/>
          </reference>
        </references>
      </pivotArea>
    </format>
    <format dxfId="113">
      <pivotArea dataOnly="0" labelOnly="1" outline="0" fieldPosition="0">
        <references count="3">
          <reference field="2" count="1" selected="0">
            <x v="39"/>
          </reference>
          <reference field="4" count="1">
            <x v="19"/>
          </reference>
          <reference field="7" count="1" selected="0">
            <x v="15"/>
          </reference>
        </references>
      </pivotArea>
    </format>
    <format dxfId="112">
      <pivotArea dataOnly="0" labelOnly="1" outline="0" fieldPosition="0">
        <references count="3">
          <reference field="2" count="1" selected="0">
            <x v="39"/>
          </reference>
          <reference field="4" count="3">
            <x v="15"/>
            <x v="16"/>
            <x v="20"/>
          </reference>
          <reference field="7" count="1" selected="0">
            <x v="27"/>
          </reference>
        </references>
      </pivotArea>
    </format>
    <format dxfId="111">
      <pivotArea dataOnly="0" labelOnly="1" outline="0" fieldPosition="0">
        <references count="3">
          <reference field="2" count="1" selected="0">
            <x v="40"/>
          </reference>
          <reference field="4" count="1">
            <x v="20"/>
          </reference>
          <reference field="7" count="1" selected="0">
            <x v="2"/>
          </reference>
        </references>
      </pivotArea>
    </format>
    <format dxfId="110">
      <pivotArea dataOnly="0" labelOnly="1" outline="0" fieldPosition="0">
        <references count="3">
          <reference field="2" count="1" selected="0">
            <x v="40"/>
          </reference>
          <reference field="4" count="1">
            <x v="20"/>
          </reference>
          <reference field="7" count="1" selected="0">
            <x v="18"/>
          </reference>
        </references>
      </pivotArea>
    </format>
    <format dxfId="109">
      <pivotArea dataOnly="0" labelOnly="1" outline="0" fieldPosition="0">
        <references count="3">
          <reference field="2" count="1" selected="0">
            <x v="41"/>
          </reference>
          <reference field="4" count="6">
            <x v="12"/>
            <x v="13"/>
            <x v="14"/>
            <x v="15"/>
            <x v="16"/>
            <x v="17"/>
          </reference>
          <reference field="7" count="1" selected="0">
            <x v="1"/>
          </reference>
        </references>
      </pivotArea>
    </format>
    <format dxfId="108">
      <pivotArea dataOnly="0" labelOnly="1" outline="0" fieldPosition="0">
        <references count="3">
          <reference field="2" count="1" selected="0">
            <x v="41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2"/>
          </reference>
        </references>
      </pivotArea>
    </format>
    <format dxfId="107">
      <pivotArea dataOnly="0" labelOnly="1" outline="0" fieldPosition="0">
        <references count="3">
          <reference field="2" count="1" selected="0">
            <x v="41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8"/>
          </reference>
        </references>
      </pivotArea>
    </format>
    <format dxfId="106">
      <pivotArea dataOnly="0" labelOnly="1" outline="0" fieldPosition="0">
        <references count="3">
          <reference field="2" count="1" selected="0">
            <x v="41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22"/>
          </reference>
        </references>
      </pivotArea>
    </format>
    <format dxfId="105">
      <pivotArea dataOnly="0" labelOnly="1" outline="0" fieldPosition="0">
        <references count="3">
          <reference field="2" count="1" selected="0">
            <x v="41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27"/>
          </reference>
        </references>
      </pivotArea>
    </format>
    <format dxfId="104">
      <pivotArea dataOnly="0" labelOnly="1" outline="0" fieldPosition="0">
        <references count="3">
          <reference field="2" count="1" selected="0">
            <x v="42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" count="1" selected="0">
            <x v="42"/>
          </reference>
          <reference field="4" count="6">
            <x v="12"/>
            <x v="13"/>
            <x v="14"/>
            <x v="15"/>
            <x v="16"/>
            <x v="17"/>
          </reference>
          <reference field="7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" count="1" selected="0">
            <x v="42"/>
          </reference>
          <reference field="4" count="6">
            <x v="12"/>
            <x v="13"/>
            <x v="14"/>
            <x v="15"/>
            <x v="16"/>
            <x v="17"/>
          </reference>
          <reference field="7" count="1" selected="0">
            <x v="8"/>
          </reference>
        </references>
      </pivotArea>
    </format>
    <format dxfId="101">
      <pivotArea dataOnly="0" labelOnly="1" outline="0" fieldPosition="0">
        <references count="3">
          <reference field="2" count="1" selected="0">
            <x v="42"/>
          </reference>
          <reference field="4" count="5">
            <x v="12"/>
            <x v="13"/>
            <x v="14"/>
            <x v="15"/>
            <x v="17"/>
          </reference>
          <reference field="7" count="1" selected="0">
            <x v="13"/>
          </reference>
        </references>
      </pivotArea>
    </format>
    <format dxfId="100">
      <pivotArea dataOnly="0" labelOnly="1" outline="0" fieldPosition="0">
        <references count="3">
          <reference field="2" count="1" selected="0">
            <x v="42"/>
          </reference>
          <reference field="4" count="5">
            <x v="12"/>
            <x v="13"/>
            <x v="15"/>
            <x v="16"/>
            <x v="17"/>
          </reference>
          <reference field="7" count="1" selected="0">
            <x v="27"/>
          </reference>
        </references>
      </pivotArea>
    </format>
    <format dxfId="99">
      <pivotArea dataOnly="0" labelOnly="1" outline="0" fieldPosition="0">
        <references count="3">
          <reference field="2" count="1" selected="0">
            <x v="43"/>
          </reference>
          <reference field="4" count="1">
            <x v="14"/>
          </reference>
          <reference field="7" count="1" selected="0">
            <x v="2"/>
          </reference>
        </references>
      </pivotArea>
    </format>
    <format dxfId="98">
      <pivotArea dataOnly="0" labelOnly="1" outline="0" fieldPosition="0">
        <references count="3">
          <reference field="2" count="1" selected="0">
            <x v="43"/>
          </reference>
          <reference field="4" count="2">
            <x v="13"/>
            <x v="16"/>
          </reference>
          <reference field="7" count="1" selected="0">
            <x v="8"/>
          </reference>
        </references>
      </pivotArea>
    </format>
    <format dxfId="97">
      <pivotArea dataOnly="0" labelOnly="1" outline="0" fieldPosition="0">
        <references count="3">
          <reference field="2" count="1" selected="0">
            <x v="43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13"/>
          </reference>
        </references>
      </pivotArea>
    </format>
    <format dxfId="96">
      <pivotArea dataOnly="0" labelOnly="1" outline="0" fieldPosition="0">
        <references count="3">
          <reference field="2" count="1" selected="0">
            <x v="43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22"/>
          </reference>
        </references>
      </pivotArea>
    </format>
    <format dxfId="95">
      <pivotArea dataOnly="0" labelOnly="1" outline="0" fieldPosition="0">
        <references count="3">
          <reference field="2" count="1" selected="0">
            <x v="44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8"/>
          </reference>
        </references>
      </pivotArea>
    </format>
    <format dxfId="94">
      <pivotArea dataOnly="0" labelOnly="1" outline="0" fieldPosition="0">
        <references count="3">
          <reference field="2" count="1" selected="0">
            <x v="45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22"/>
          </reference>
        </references>
      </pivotArea>
    </format>
    <format dxfId="93">
      <pivotArea dataOnly="0" labelOnly="1" outline="0" fieldPosition="0">
        <references count="3">
          <reference field="2" count="1" selected="0">
            <x v="46"/>
          </reference>
          <reference field="4" count="1">
            <x v="11"/>
          </reference>
          <reference field="7" count="1" selected="0">
            <x v="2"/>
          </reference>
        </references>
      </pivotArea>
    </format>
    <format dxfId="92">
      <pivotArea dataOnly="0" labelOnly="1" outline="0" fieldPosition="0">
        <references count="3">
          <reference field="2" count="1" selected="0">
            <x v="46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20"/>
          </reference>
        </references>
      </pivotArea>
    </format>
    <format dxfId="91">
      <pivotArea dataOnly="0" labelOnly="1" outline="0" fieldPosition="0">
        <references count="3">
          <reference field="2" count="1" selected="0">
            <x v="46"/>
          </reference>
          <reference field="4" count="5">
            <x v="8"/>
            <x v="9"/>
            <x v="10"/>
            <x v="11"/>
            <x v="12"/>
          </reference>
          <reference field="7" count="1" selected="0">
            <x v="22"/>
          </reference>
        </references>
      </pivotArea>
    </format>
    <format dxfId="90">
      <pivotArea dataOnly="0" labelOnly="1" outline="0" fieldPosition="0">
        <references count="3">
          <reference field="2" count="1" selected="0">
            <x v="47"/>
          </reference>
          <reference field="4" count="2">
            <x v="8"/>
            <x v="9"/>
          </reference>
          <reference field="7" count="1" selected="0">
            <x v="8"/>
          </reference>
        </references>
      </pivotArea>
    </format>
    <format dxfId="89">
      <pivotArea dataOnly="0" labelOnly="1" outline="0" fieldPosition="0">
        <references count="3">
          <reference field="2" count="1" selected="0">
            <x v="48"/>
          </reference>
          <reference field="4" count="2">
            <x v="12"/>
            <x v="13"/>
          </reference>
          <reference field="7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" count="1" selected="0">
            <x v="49"/>
          </reference>
          <reference field="4" count="1">
            <x v="20"/>
          </reference>
          <reference field="7" count="1" selected="0">
            <x v="13"/>
          </reference>
        </references>
      </pivotArea>
    </format>
    <format dxfId="87">
      <pivotArea dataOnly="0" labelOnly="1" outline="0" fieldPosition="0">
        <references count="3">
          <reference field="2" count="1" selected="0">
            <x v="50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2"/>
          </reference>
        </references>
      </pivotArea>
    </format>
    <format dxfId="86">
      <pivotArea dataOnly="0" labelOnly="1" outline="0" fieldPosition="0">
        <references count="3">
          <reference field="2" count="1" selected="0">
            <x v="50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8"/>
          </reference>
        </references>
      </pivotArea>
    </format>
    <format dxfId="85">
      <pivotArea dataOnly="0" labelOnly="1" outline="0" fieldPosition="0">
        <references count="3">
          <reference field="2" count="1" selected="0">
            <x v="50"/>
          </reference>
          <reference field="4" count="4">
            <x v="12"/>
            <x v="13"/>
            <x v="14"/>
            <x v="16"/>
          </reference>
          <reference field="7" count="1" selected="0">
            <x v="27"/>
          </reference>
        </references>
      </pivotArea>
    </format>
    <format dxfId="84">
      <pivotArea dataOnly="0" labelOnly="1" outline="0" fieldPosition="0">
        <references count="3">
          <reference field="2" count="1" selected="0">
            <x v="51"/>
          </reference>
          <reference field="4" count="1">
            <x v="20"/>
          </reference>
          <reference field="7" count="1" selected="0">
            <x v="2"/>
          </reference>
        </references>
      </pivotArea>
    </format>
    <format dxfId="83">
      <pivotArea dataOnly="0" labelOnly="1" outline="0" fieldPosition="0">
        <references count="3">
          <reference field="2" count="1" selected="0">
            <x v="51"/>
          </reference>
          <reference field="4" count="1">
            <x v="20"/>
          </reference>
          <reference field="7" count="1" selected="0">
            <x v="8"/>
          </reference>
        </references>
      </pivotArea>
    </format>
    <format dxfId="82">
      <pivotArea dataOnly="0" labelOnly="1" outline="0" fieldPosition="0">
        <references count="3">
          <reference field="2" count="1" selected="0">
            <x v="51"/>
          </reference>
          <reference field="4" count="2">
            <x v="20"/>
            <x v="26"/>
          </reference>
          <reference field="7" count="1" selected="0">
            <x v="13"/>
          </reference>
        </references>
      </pivotArea>
    </format>
    <format dxfId="81">
      <pivotArea dataOnly="0" labelOnly="1" outline="0" fieldPosition="0">
        <references count="3">
          <reference field="2" count="1" selected="0">
            <x v="51"/>
          </reference>
          <reference field="4" count="1">
            <x v="20"/>
          </reference>
          <reference field="7" count="1" selected="0">
            <x v="27"/>
          </reference>
        </references>
      </pivotArea>
    </format>
    <format dxfId="80">
      <pivotArea dataOnly="0" labelOnly="1" outline="0" fieldPosition="0">
        <references count="3">
          <reference field="2" count="1" selected="0">
            <x v="52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2"/>
          </reference>
        </references>
      </pivotArea>
    </format>
    <format dxfId="79">
      <pivotArea dataOnly="0" labelOnly="1" outline="0" fieldPosition="0">
        <references count="3">
          <reference field="2" count="1" selected="0">
            <x v="52"/>
          </reference>
          <reference field="4" count="4">
            <x v="13"/>
            <x v="14"/>
            <x v="15"/>
            <x v="16"/>
          </reference>
          <reference field="7" count="1" selected="0">
            <x v="8"/>
          </reference>
        </references>
      </pivotArea>
    </format>
    <format dxfId="78">
      <pivotArea dataOnly="0" labelOnly="1" outline="0" fieldPosition="0">
        <references count="3">
          <reference field="2" count="1" selected="0">
            <x v="52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13"/>
          </reference>
        </references>
      </pivotArea>
    </format>
    <format dxfId="77">
      <pivotArea dataOnly="0" labelOnly="1" outline="0" fieldPosition="0">
        <references count="3">
          <reference field="2" count="1" selected="0">
            <x v="52"/>
          </reference>
          <reference field="4" count="6">
            <x v="12"/>
            <x v="13"/>
            <x v="14"/>
            <x v="15"/>
            <x v="16"/>
            <x v="17"/>
          </reference>
          <reference field="7" count="1" selected="0">
            <x v="27"/>
          </reference>
        </references>
      </pivotArea>
    </format>
    <format dxfId="76">
      <pivotArea dataOnly="0" labelOnly="1" outline="0" fieldPosition="0">
        <references count="3">
          <reference field="2" count="1" selected="0">
            <x v="53"/>
          </reference>
          <reference field="4" count="5">
            <x v="12"/>
            <x v="13"/>
            <x v="14"/>
            <x v="16"/>
            <x v="17"/>
          </reference>
          <reference field="7" count="1" selected="0">
            <x v="2"/>
          </reference>
        </references>
      </pivotArea>
    </format>
    <format dxfId="75">
      <pivotArea dataOnly="0" labelOnly="1" outline="0" fieldPosition="0">
        <references count="3">
          <reference field="2" count="1" selected="0">
            <x v="54"/>
          </reference>
          <reference field="4" count="1">
            <x v="24"/>
          </reference>
          <reference field="7" count="1" selected="0">
            <x v="28"/>
          </reference>
        </references>
      </pivotArea>
    </format>
    <format dxfId="74">
      <pivotArea dataOnly="0" labelOnly="1" outline="0" fieldPosition="0">
        <references count="3">
          <reference field="2" count="1" selected="0">
            <x v="55"/>
          </reference>
          <reference field="4" count="1">
            <x v="20"/>
          </reference>
          <reference field="7" count="1" selected="0">
            <x v="27"/>
          </reference>
        </references>
      </pivotArea>
    </format>
    <format dxfId="73">
      <pivotArea dataOnly="0" labelOnly="1" outline="0" fieldPosition="0">
        <references count="3">
          <reference field="2" count="1" selected="0">
            <x v="56"/>
          </reference>
          <reference field="4" count="1">
            <x v="15"/>
          </reference>
          <reference field="7" count="1" selected="0">
            <x v="2"/>
          </reference>
        </references>
      </pivotArea>
    </format>
    <format dxfId="72">
      <pivotArea dataOnly="0" labelOnly="1" outline="0" fieldPosition="0">
        <references count="3">
          <reference field="2" count="1" selected="0">
            <x v="57"/>
          </reference>
          <reference field="4" count="1">
            <x v="26"/>
          </reference>
          <reference field="7" count="1" selected="0">
            <x v="1"/>
          </reference>
        </references>
      </pivotArea>
    </format>
    <format dxfId="71">
      <pivotArea dataOnly="0" labelOnly="1" outline="0" fieldPosition="0">
        <references count="3">
          <reference field="2" count="1" selected="0">
            <x v="58"/>
          </reference>
          <reference field="4" count="1">
            <x v="20"/>
          </reference>
          <reference field="7" count="1" selected="0">
            <x v="0"/>
          </reference>
        </references>
      </pivotArea>
    </format>
    <format dxfId="70">
      <pivotArea dataOnly="0" labelOnly="1" outline="0" fieldPosition="0">
        <references count="3">
          <reference field="2" count="1" selected="0">
            <x v="58"/>
          </reference>
          <reference field="4" count="5">
            <x v="12"/>
            <x v="14"/>
            <x v="15"/>
            <x v="17"/>
            <x v="20"/>
          </reference>
          <reference field="7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" count="1" selected="0">
            <x v="58"/>
          </reference>
          <reference field="4" count="1">
            <x v="20"/>
          </reference>
          <reference field="7" count="1" selected="0">
            <x v="8"/>
          </reference>
        </references>
      </pivotArea>
    </format>
    <format dxfId="68">
      <pivotArea dataOnly="0" labelOnly="1" outline="0" fieldPosition="0">
        <references count="3">
          <reference field="2" count="1" selected="0">
            <x v="59"/>
          </reference>
          <reference field="4" count="1">
            <x v="13"/>
          </reference>
          <reference field="7" count="1" selected="0">
            <x v="0"/>
          </reference>
        </references>
      </pivotArea>
    </format>
    <format dxfId="67">
      <pivotArea dataOnly="0" labelOnly="1" outline="0" fieldPosition="0">
        <references count="3">
          <reference field="2" count="1" selected="0">
            <x v="59"/>
          </reference>
          <reference field="4" count="3">
            <x v="12"/>
            <x v="13"/>
            <x v="14"/>
          </reference>
          <reference field="7" count="1" selected="0">
            <x v="8"/>
          </reference>
        </references>
      </pivotArea>
    </format>
    <format dxfId="66">
      <pivotArea dataOnly="0" labelOnly="1" outline="0" fieldPosition="0">
        <references count="3">
          <reference field="2" count="1" selected="0">
            <x v="60"/>
          </reference>
          <reference field="4" count="3">
            <x v="13"/>
            <x v="14"/>
            <x v="15"/>
          </reference>
          <reference field="7" count="1" selected="0">
            <x v="0"/>
          </reference>
        </references>
      </pivotArea>
    </format>
    <format dxfId="65">
      <pivotArea dataOnly="0" labelOnly="1" outline="0" fieldPosition="0">
        <references count="3">
          <reference field="2" count="1" selected="0">
            <x v="60"/>
          </reference>
          <reference field="4" count="2">
            <x v="13"/>
            <x v="14"/>
          </reference>
          <reference field="7" count="1" selected="0">
            <x v="8"/>
          </reference>
        </references>
      </pivotArea>
    </format>
    <format dxfId="64">
      <pivotArea dataOnly="0" labelOnly="1" outline="0" fieldPosition="0">
        <references count="3">
          <reference field="2" count="1" selected="0">
            <x v="61"/>
          </reference>
          <reference field="4" count="6">
            <x v="8"/>
            <x v="9"/>
            <x v="10"/>
            <x v="11"/>
            <x v="12"/>
            <x v="23"/>
          </reference>
          <reference field="7" count="1" selected="0">
            <x v="10"/>
          </reference>
        </references>
      </pivotArea>
    </format>
    <format dxfId="63">
      <pivotArea dataOnly="0" labelOnly="1" outline="0" fieldPosition="0">
        <references count="3">
          <reference field="2" count="1" selected="0">
            <x v="61"/>
          </reference>
          <reference field="4" count="1">
            <x v="11"/>
          </reference>
          <reference field="7" count="1" selected="0">
            <x v="16"/>
          </reference>
        </references>
      </pivotArea>
    </format>
    <format dxfId="62">
      <pivotArea dataOnly="0" labelOnly="1" outline="0" fieldPosition="0">
        <references count="3">
          <reference field="2" count="1" selected="0">
            <x v="62"/>
          </reference>
          <reference field="4" count="7">
            <x v="8"/>
            <x v="9"/>
            <x v="10"/>
            <x v="11"/>
            <x v="12"/>
            <x v="13"/>
            <x v="21"/>
          </reference>
          <reference field="7" count="1" selected="0">
            <x v="0"/>
          </reference>
        </references>
      </pivotArea>
    </format>
    <format dxfId="61">
      <pivotArea dataOnly="0" labelOnly="1" outline="0" fieldPosition="0">
        <references count="3">
          <reference field="2" count="1" selected="0">
            <x v="62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10"/>
          </reference>
        </references>
      </pivotArea>
    </format>
    <format dxfId="60">
      <pivotArea dataOnly="0" labelOnly="1" outline="0" fieldPosition="0">
        <references count="3">
          <reference field="2" count="1" selected="0">
            <x v="63"/>
          </reference>
          <reference field="4" count="3">
            <x v="9"/>
            <x v="10"/>
            <x v="11"/>
          </reference>
          <reference field="7" count="1" selected="0">
            <x v="16"/>
          </reference>
        </references>
      </pivotArea>
    </format>
    <format dxfId="59">
      <pivotArea dataOnly="0" labelOnly="1" outline="0" fieldPosition="0">
        <references count="3">
          <reference field="2" count="1" selected="0">
            <x v="63"/>
          </reference>
          <reference field="4" count="5">
            <x v="8"/>
            <x v="9"/>
            <x v="10"/>
            <x v="11"/>
            <x v="12"/>
          </reference>
          <reference field="7" count="1" selected="0">
            <x v="22"/>
          </reference>
        </references>
      </pivotArea>
    </format>
    <format dxfId="58">
      <pivotArea dataOnly="0" labelOnly="1" outline="0" fieldPosition="0">
        <references count="3">
          <reference field="2" count="1" selected="0">
            <x v="63"/>
          </reference>
          <reference field="4" count="1">
            <x v="10"/>
          </reference>
          <reference field="7" count="1" selected="0">
            <x v="27"/>
          </reference>
        </references>
      </pivotArea>
    </format>
    <format dxfId="57">
      <pivotArea dataOnly="0" labelOnly="1" outline="0" fieldPosition="0">
        <references count="3">
          <reference field="2" count="1" selected="0">
            <x v="64"/>
          </reference>
          <reference field="4" count="4">
            <x v="9"/>
            <x v="10"/>
            <x v="11"/>
            <x v="12"/>
          </reference>
          <reference field="7" count="1" selected="0">
            <x v="10"/>
          </reference>
        </references>
      </pivotArea>
    </format>
    <format dxfId="56">
      <pivotArea dataOnly="0" labelOnly="1" outline="0" fieldPosition="0">
        <references count="3">
          <reference field="2" count="1" selected="0">
            <x v="64"/>
          </reference>
          <reference field="4" count="1">
            <x v="10"/>
          </reference>
          <reference field="7" count="1" selected="0">
            <x v="27"/>
          </reference>
        </references>
      </pivotArea>
    </format>
    <format dxfId="55">
      <pivotArea dataOnly="0" labelOnly="1" outline="0" fieldPosition="0">
        <references count="3">
          <reference field="2" count="1" selected="0">
            <x v="65"/>
          </reference>
          <reference field="4" count="5">
            <x v="8"/>
            <x v="9"/>
            <x v="11"/>
            <x v="12"/>
            <x v="13"/>
          </reference>
          <reference field="7" count="1" selected="0">
            <x v="2"/>
          </reference>
        </references>
      </pivotArea>
    </format>
    <format dxfId="54">
      <pivotArea dataOnly="0" labelOnly="1" outline="0" fieldPosition="0">
        <references count="3">
          <reference field="2" count="1" selected="0">
            <x v="65"/>
          </reference>
          <reference field="4" count="5">
            <x v="8"/>
            <x v="9"/>
            <x v="10"/>
            <x v="11"/>
            <x v="12"/>
          </reference>
          <reference field="7" count="1" selected="0">
            <x v="4"/>
          </reference>
        </references>
      </pivotArea>
    </format>
    <format dxfId="53">
      <pivotArea dataOnly="0" labelOnly="1" outline="0" fieldPosition="0">
        <references count="3">
          <reference field="2" count="1" selected="0">
            <x v="65"/>
          </reference>
          <reference field="4" count="4">
            <x v="9"/>
            <x v="11"/>
            <x v="12"/>
            <x v="13"/>
          </reference>
          <reference field="7" count="1" selected="0">
            <x v="8"/>
          </reference>
        </references>
      </pivotArea>
    </format>
    <format dxfId="52">
      <pivotArea dataOnly="0" labelOnly="1" outline="0" fieldPosition="0">
        <references count="3">
          <reference field="2" count="1" selected="0">
            <x v="65"/>
          </reference>
          <reference field="4" count="4">
            <x v="10"/>
            <x v="11"/>
            <x v="12"/>
            <x v="13"/>
          </reference>
          <reference field="7" count="1" selected="0">
            <x v="22"/>
          </reference>
        </references>
      </pivotArea>
    </format>
    <format dxfId="51">
      <pivotArea dataOnly="0" labelOnly="1" outline="0" fieldPosition="0">
        <references count="3">
          <reference field="2" count="1" selected="0">
            <x v="65"/>
          </reference>
          <reference field="4" count="4">
            <x v="8"/>
            <x v="10"/>
            <x v="12"/>
            <x v="13"/>
          </reference>
          <reference field="7" count="1" selected="0">
            <x v="27"/>
          </reference>
        </references>
      </pivotArea>
    </format>
    <format dxfId="50">
      <pivotArea dataOnly="0" labelOnly="1" outline="0" fieldPosition="0">
        <references count="3">
          <reference field="2" count="1" selected="0">
            <x v="66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2"/>
          </reference>
        </references>
      </pivotArea>
    </format>
    <format dxfId="49">
      <pivotArea dataOnly="0" labelOnly="1" outline="0" fieldPosition="0">
        <references count="3">
          <reference field="2" count="1" selected="0">
            <x v="66"/>
          </reference>
          <reference field="4" count="1">
            <x v="12"/>
          </reference>
          <reference field="7" count="1" selected="0">
            <x v="8"/>
          </reference>
        </references>
      </pivotArea>
    </format>
    <format dxfId="48">
      <pivotArea dataOnly="0" labelOnly="1" outline="0" fieldPosition="0">
        <references count="3">
          <reference field="2" count="1" selected="0">
            <x v="66"/>
          </reference>
          <reference field="4" count="1">
            <x v="13"/>
          </reference>
          <reference field="7" count="1" selected="0">
            <x v="13"/>
          </reference>
        </references>
      </pivotArea>
    </format>
    <format dxfId="47">
      <pivotArea dataOnly="0" labelOnly="1" outline="0" fieldPosition="0">
        <references count="3">
          <reference field="2" count="1" selected="0">
            <x v="66"/>
          </reference>
          <reference field="4" count="6">
            <x v="12"/>
            <x v="13"/>
            <x v="14"/>
            <x v="15"/>
            <x v="16"/>
            <x v="17"/>
          </reference>
          <reference field="7" count="1" selected="0">
            <x v="22"/>
          </reference>
        </references>
      </pivotArea>
    </format>
    <format dxfId="46">
      <pivotArea dataOnly="0" labelOnly="1" outline="0" fieldPosition="0">
        <references count="3">
          <reference field="2" count="1" selected="0">
            <x v="66"/>
          </reference>
          <reference field="4" count="6">
            <x v="12"/>
            <x v="13"/>
            <x v="14"/>
            <x v="15"/>
            <x v="16"/>
            <x v="17"/>
          </reference>
          <reference field="7" count="1" selected="0">
            <x v="27"/>
          </reference>
        </references>
      </pivotArea>
    </format>
    <format dxfId="45">
      <pivotArea dataOnly="0" labelOnly="1" outline="0" fieldPosition="0">
        <references count="3">
          <reference field="2" count="1" selected="0">
            <x v="67"/>
          </reference>
          <reference field="4" count="5">
            <x v="8"/>
            <x v="9"/>
            <x v="10"/>
            <x v="11"/>
            <x v="12"/>
          </reference>
          <reference field="7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" count="1" selected="0">
            <x v="67"/>
          </reference>
          <reference field="4" count="5">
            <x v="9"/>
            <x v="10"/>
            <x v="11"/>
            <x v="12"/>
            <x v="13"/>
          </reference>
          <reference field="7" count="1" selected="0">
            <x v="4"/>
          </reference>
        </references>
      </pivotArea>
    </format>
    <format dxfId="43">
      <pivotArea dataOnly="0" labelOnly="1" outline="0" fieldPosition="0">
        <references count="3">
          <reference field="2" count="1" selected="0">
            <x v="67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8"/>
          </reference>
        </references>
      </pivotArea>
    </format>
    <format dxfId="42">
      <pivotArea dataOnly="0" labelOnly="1" outline="0" fieldPosition="0">
        <references count="3">
          <reference field="2" count="1" selected="0">
            <x v="67"/>
          </reference>
          <reference field="4" count="6">
            <x v="8"/>
            <x v="9"/>
            <x v="10"/>
            <x v="11"/>
            <x v="12"/>
            <x v="13"/>
          </reference>
          <reference field="7" count="1" selected="0">
            <x v="22"/>
          </reference>
        </references>
      </pivotArea>
    </format>
    <format dxfId="41">
      <pivotArea dataOnly="0" labelOnly="1" outline="0" fieldPosition="0">
        <references count="3">
          <reference field="2" count="1" selected="0">
            <x v="67"/>
          </reference>
          <reference field="4" count="3">
            <x v="11"/>
            <x v="12"/>
            <x v="13"/>
          </reference>
          <reference field="7" count="1" selected="0">
            <x v="27"/>
          </reference>
        </references>
      </pivotArea>
    </format>
    <format dxfId="40">
      <pivotArea dataOnly="0" labelOnly="1" outline="0" fieldPosition="0">
        <references count="3">
          <reference field="2" count="1" selected="0">
            <x v="68"/>
          </reference>
          <reference field="4" count="7">
            <x v="12"/>
            <x v="13"/>
            <x v="14"/>
            <x v="15"/>
            <x v="16"/>
            <x v="17"/>
            <x v="20"/>
          </reference>
          <reference field="7" count="1" selected="0">
            <x v="1"/>
          </reference>
        </references>
      </pivotArea>
    </format>
    <format dxfId="39">
      <pivotArea dataOnly="0" labelOnly="1" outline="0" fieldPosition="0">
        <references count="3">
          <reference field="2" count="1" selected="0">
            <x v="68"/>
          </reference>
          <reference field="4" count="6">
            <x v="12"/>
            <x v="13"/>
            <x v="14"/>
            <x v="15"/>
            <x v="16"/>
            <x v="17"/>
          </reference>
          <reference field="7" count="1" selected="0">
            <x v="2"/>
          </reference>
        </references>
      </pivotArea>
    </format>
    <format dxfId="38">
      <pivotArea dataOnly="0" labelOnly="1" outline="0" fieldPosition="0">
        <references count="3">
          <reference field="2" count="1" selected="0">
            <x v="68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8"/>
          </reference>
        </references>
      </pivotArea>
    </format>
    <format dxfId="37">
      <pivotArea dataOnly="0" labelOnly="1" outline="0" fieldPosition="0">
        <references count="3">
          <reference field="2" count="1" selected="0">
            <x v="68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13"/>
          </reference>
        </references>
      </pivotArea>
    </format>
    <format dxfId="36">
      <pivotArea dataOnly="0" labelOnly="1" outline="0" fieldPosition="0">
        <references count="3">
          <reference field="2" count="1" selected="0">
            <x v="68"/>
          </reference>
          <reference field="4" count="5">
            <x v="12"/>
            <x v="13"/>
            <x v="14"/>
            <x v="15"/>
            <x v="16"/>
          </reference>
          <reference field="7" count="1" selected="0">
            <x v="27"/>
          </reference>
        </references>
      </pivotArea>
    </format>
    <format dxfId="35">
      <pivotArea dataOnly="0" labelOnly="1" outline="0" fieldPosition="0">
        <references count="3">
          <reference field="2" count="1" selected="0">
            <x v="69"/>
          </reference>
          <reference field="4" count="1">
            <x v="19"/>
          </reference>
          <reference field="7" count="1" selected="0">
            <x v="17"/>
          </reference>
        </references>
      </pivotArea>
    </format>
    <format dxfId="34">
      <pivotArea dataOnly="0" labelOnly="1" outline="0" fieldPosition="0">
        <references count="3">
          <reference field="2" count="1" selected="0">
            <x v="69"/>
          </reference>
          <reference field="4" count="3">
            <x v="15"/>
            <x v="16"/>
            <x v="19"/>
          </reference>
          <reference field="7" count="1" selected="0">
            <x v="22"/>
          </reference>
        </references>
      </pivotArea>
    </format>
    <format dxfId="33">
      <pivotArea dataOnly="0" labelOnly="1" outline="0" fieldPosition="0">
        <references count="3">
          <reference field="2" count="1" selected="0">
            <x v="69"/>
          </reference>
          <reference field="4" count="1">
            <x v="20"/>
          </reference>
          <reference field="7" count="1" selected="0">
            <x v="27"/>
          </reference>
        </references>
      </pivotArea>
    </format>
    <format dxfId="32">
      <pivotArea dataOnly="0" labelOnly="1" outline="0" fieldPosition="0">
        <references count="3">
          <reference field="2" count="1" selected="0">
            <x v="70"/>
          </reference>
          <reference field="4" count="8">
            <x v="0"/>
            <x v="1"/>
            <x v="2"/>
            <x v="6"/>
            <x v="8"/>
            <x v="9"/>
            <x v="10"/>
            <x v="11"/>
          </reference>
          <reference field="7" count="1" selected="0">
            <x v="16"/>
          </reference>
        </references>
      </pivotArea>
    </format>
    <format dxfId="31">
      <pivotArea dataOnly="0" labelOnly="1" outline="0" fieldPosition="0">
        <references count="3">
          <reference field="2" count="1" selected="0">
            <x v="71"/>
          </reference>
          <reference field="4" count="1">
            <x v="24"/>
          </reference>
          <reference field="7" count="1" selected="0">
            <x v="16"/>
          </reference>
        </references>
      </pivotArea>
    </format>
    <format dxfId="30">
      <pivotArea dataOnly="0" labelOnly="1" outline="0" fieldPosition="0">
        <references count="3">
          <reference field="2" count="1" selected="0">
            <x v="72"/>
          </reference>
          <reference field="4" count="6">
            <x v="8"/>
            <x v="9"/>
            <x v="11"/>
            <x v="12"/>
            <x v="13"/>
            <x v="25"/>
          </reference>
          <reference field="7" count="1" selected="0">
            <x v="2"/>
          </reference>
        </references>
      </pivotArea>
    </format>
    <format dxfId="29">
      <pivotArea dataOnly="0" labelOnly="1" outline="0" fieldPosition="0">
        <references count="3">
          <reference field="2" count="1" selected="0">
            <x v="72"/>
          </reference>
          <reference field="4" count="4">
            <x v="8"/>
            <x v="9"/>
            <x v="10"/>
            <x v="11"/>
          </reference>
          <reference field="7" count="1" selected="0">
            <x v="8"/>
          </reference>
        </references>
      </pivotArea>
    </format>
    <format dxfId="28">
      <pivotArea dataOnly="0" labelOnly="1" outline="0" fieldPosition="0">
        <references count="3">
          <reference field="2" count="1" selected="0">
            <x v="72"/>
          </reference>
          <reference field="4" count="1">
            <x v="21"/>
          </reference>
          <reference field="7" count="1" selected="0">
            <x v="27"/>
          </reference>
        </references>
      </pivotArea>
    </format>
    <format dxfId="27">
      <pivotArea dataOnly="0" labelOnly="1" outline="0" fieldPosition="0">
        <references count="3">
          <reference field="2" count="1" selected="0">
            <x v="73"/>
          </reference>
          <reference field="4" count="1">
            <x v="20"/>
          </reference>
          <reference field="7" count="1" selected="0">
            <x v="7"/>
          </reference>
        </references>
      </pivotArea>
    </format>
    <format dxfId="26">
      <pivotArea dataOnly="0" labelOnly="1" outline="0" fieldPosition="0">
        <references count="3">
          <reference field="2" count="1" selected="0">
            <x v="74"/>
          </reference>
          <reference field="4" count="2">
            <x v="19"/>
            <x v="20"/>
          </reference>
          <reference field="7" count="1" selected="0">
            <x v="3"/>
          </reference>
        </references>
      </pivotArea>
    </format>
    <format dxfId="25">
      <pivotArea dataOnly="0" labelOnly="1" outline="0" fieldPosition="0">
        <references count="3">
          <reference field="2" count="1" selected="0">
            <x v="74"/>
          </reference>
          <reference field="4" count="2">
            <x v="19"/>
            <x v="20"/>
          </reference>
          <reference field="7" count="1" selected="0">
            <x v="26"/>
          </reference>
        </references>
      </pivotArea>
    </format>
    <format dxfId="24">
      <pivotArea dataOnly="0" labelOnly="1" outline="0" fieldPosition="0">
        <references count="3">
          <reference field="2" count="1" selected="0">
            <x v="75"/>
          </reference>
          <reference field="4" count="1">
            <x v="21"/>
          </reference>
          <reference field="7" count="1" selected="0">
            <x v="9"/>
          </reference>
        </references>
      </pivotArea>
    </format>
    <format dxfId="23">
      <pivotArea dataOnly="0" labelOnly="1" outline="0" fieldPosition="0">
        <references count="3">
          <reference field="2" count="1" selected="0">
            <x v="76"/>
          </reference>
          <reference field="4" count="1">
            <x v="21"/>
          </reference>
          <reference field="7" count="1" selected="0">
            <x v="5"/>
          </reference>
        </references>
      </pivotArea>
    </format>
    <format dxfId="22">
      <pivotArea dataOnly="0" labelOnly="1" outline="0" fieldPosition="0">
        <references count="3">
          <reference field="2" count="1" selected="0">
            <x v="77"/>
          </reference>
          <reference field="4" count="1">
            <x v="23"/>
          </reference>
          <reference field="7" count="1" selected="0">
            <x v="8"/>
          </reference>
        </references>
      </pivotArea>
    </format>
    <format dxfId="21">
      <pivotArea dataOnly="0" labelOnly="1" outline="0" fieldPosition="0">
        <references count="3">
          <reference field="2" count="1" selected="0">
            <x v="77"/>
          </reference>
          <reference field="4" count="1">
            <x v="23"/>
          </reference>
          <reference field="7" count="1" selected="0">
            <x v="26"/>
          </reference>
        </references>
      </pivotArea>
    </format>
    <format dxfId="20">
      <pivotArea dataOnly="0" labelOnly="1" outline="0" fieldPosition="0">
        <references count="3">
          <reference field="2" count="1" selected="0">
            <x v="78"/>
          </reference>
          <reference field="4" count="1">
            <x v="23"/>
          </reference>
          <reference field="7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" count="1" selected="0">
            <x v="78"/>
          </reference>
          <reference field="4" count="6">
            <x v="8"/>
            <x v="9"/>
            <x v="10"/>
            <x v="11"/>
            <x v="12"/>
            <x v="21"/>
          </reference>
          <reference field="7" count="1" selected="0">
            <x v="27"/>
          </reference>
        </references>
      </pivotArea>
    </format>
    <format dxfId="18">
      <pivotArea dataOnly="0" labelOnly="1" outline="0" fieldPosition="0">
        <references count="3">
          <reference field="2" count="1" selected="0">
            <x v="79"/>
          </reference>
          <reference field="4" count="4">
            <x v="0"/>
            <x v="4"/>
            <x v="7"/>
            <x v="11"/>
          </reference>
          <reference field="7" count="1" selected="0">
            <x v="8"/>
          </reference>
        </references>
      </pivotArea>
    </format>
    <format dxfId="17">
      <pivotArea dataOnly="0" labelOnly="1" outline="0" fieldPosition="0">
        <references count="3">
          <reference field="2" count="1" selected="0">
            <x v="79"/>
          </reference>
          <reference field="4" count="6">
            <x v="1"/>
            <x v="2"/>
            <x v="3"/>
            <x v="4"/>
            <x v="5"/>
            <x v="8"/>
          </reference>
          <reference field="7" count="1" selected="0">
            <x v="22"/>
          </reference>
        </references>
      </pivotArea>
    </format>
    <format dxfId="16">
      <pivotArea dataOnly="0" labelOnly="1" outline="0" fieldPosition="0">
        <references count="3">
          <reference field="2" count="1" selected="0">
            <x v="79"/>
          </reference>
          <reference field="4" count="5">
            <x v="1"/>
            <x v="2"/>
            <x v="3"/>
            <x v="4"/>
            <x v="10"/>
          </reference>
          <reference field="7" count="1" selected="0">
            <x v="25"/>
          </reference>
        </references>
      </pivotArea>
    </format>
    <format dxfId="15">
      <pivotArea dataOnly="0" labelOnly="1" outline="0" fieldPosition="0">
        <references count="3">
          <reference field="2" count="1" selected="0">
            <x v="80"/>
          </reference>
          <reference field="4" count="2">
            <x v="19"/>
            <x v="20"/>
          </reference>
          <reference field="7" count="1" selected="0">
            <x v="8"/>
          </reference>
        </references>
      </pivotArea>
    </format>
    <format dxfId="14">
      <pivotArea dataOnly="0" labelOnly="1" outline="0" fieldPosition="0">
        <references count="3">
          <reference field="2" count="1" selected="0">
            <x v="80"/>
          </reference>
          <reference field="4" count="7">
            <x v="12"/>
            <x v="13"/>
            <x v="14"/>
            <x v="15"/>
            <x v="16"/>
            <x v="17"/>
            <x v="18"/>
          </reference>
          <reference field="7" count="1" selected="0">
            <x v="23"/>
          </reference>
        </references>
      </pivotArea>
    </format>
    <format dxfId="13">
      <pivotArea dataOnly="0" labelOnly="1" outline="0" fieldPosition="0">
        <references count="3">
          <reference field="2" count="1" selected="0">
            <x v="81"/>
          </reference>
          <reference field="4" count="11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  <reference field="7" count="1" selected="0">
            <x v="8"/>
          </reference>
        </references>
      </pivotArea>
    </format>
    <format dxfId="12">
      <pivotArea dataOnly="0" labelOnly="1" outline="0" fieldPosition="0">
        <references count="3">
          <reference field="2" count="1" selected="0">
            <x v="81"/>
          </reference>
          <reference field="4" count="10">
            <x v="8"/>
            <x v="9"/>
            <x v="10"/>
            <x v="11"/>
            <x v="12"/>
            <x v="14"/>
            <x v="15"/>
            <x v="16"/>
            <x v="17"/>
            <x v="18"/>
          </reference>
          <reference field="7" count="1" selected="0">
            <x v="17"/>
          </reference>
        </references>
      </pivotArea>
    </format>
    <format dxfId="11">
      <pivotArea dataOnly="0" labelOnly="1" outline="0" fieldPosition="0">
        <references count="3">
          <reference field="2" count="1" selected="0">
            <x v="81"/>
          </reference>
          <reference field="4" count="8">
            <x v="8"/>
            <x v="11"/>
            <x v="12"/>
            <x v="14"/>
            <x v="15"/>
            <x v="16"/>
            <x v="17"/>
            <x v="18"/>
          </reference>
          <reference field="7" count="1" selected="0">
            <x v="22"/>
          </reference>
        </references>
      </pivotArea>
    </format>
    <format dxfId="10">
      <pivotArea dataOnly="0" labelOnly="1" outline="0" fieldPosition="0">
        <references count="3">
          <reference field="2" count="1" selected="0">
            <x v="81"/>
          </reference>
          <reference field="4" count="6">
            <x v="10"/>
            <x v="11"/>
            <x v="12"/>
            <x v="14"/>
            <x v="15"/>
            <x v="20"/>
          </reference>
          <reference field="7" count="1" selected="0">
            <x v="25"/>
          </reference>
        </references>
      </pivotArea>
    </format>
    <format dxfId="9">
      <pivotArea dataOnly="0" labelOnly="1" outline="0" fieldPosition="0">
        <references count="3">
          <reference field="2" count="1" selected="0">
            <x v="81"/>
          </reference>
          <reference field="4" count="3">
            <x v="8"/>
            <x v="9"/>
            <x v="10"/>
          </reference>
          <reference field="7" count="1" selected="0">
            <x v="27"/>
          </reference>
        </references>
      </pivotArea>
    </format>
    <format dxfId="8">
      <pivotArea dataOnly="0" labelOnly="1" outline="0" fieldPosition="0">
        <references count="3">
          <reference field="2" count="1" selected="0">
            <x v="81"/>
          </reference>
          <reference field="4" count="6">
            <x v="9"/>
            <x v="10"/>
            <x v="12"/>
            <x v="13"/>
            <x v="15"/>
            <x v="16"/>
          </reference>
          <reference field="7" count="1" selected="0">
            <x v="31"/>
          </reference>
        </references>
      </pivotArea>
    </format>
    <format dxfId="7">
      <pivotArea dataOnly="0" labelOnly="1" outline="0" fieldPosition="0">
        <references count="3">
          <reference field="2" count="1" selected="0">
            <x v="82"/>
          </reference>
          <reference field="4" count="9">
            <x v="12"/>
            <x v="13"/>
            <x v="14"/>
            <x v="15"/>
            <x v="16"/>
            <x v="17"/>
            <x v="18"/>
            <x v="19"/>
            <x v="20"/>
          </reference>
          <reference field="7" count="1" selected="0">
            <x v="27"/>
          </reference>
        </references>
      </pivotArea>
    </format>
    <format dxfId="6">
      <pivotArea grandRow="1" outline="0" collapsedLevelsAreSubtotals="1" fieldPosition="0"/>
    </format>
    <format dxfId="5">
      <pivotArea dataOnly="0" labelOnly="1" grandRow="1" outline="0" fieldPosition="0"/>
    </format>
    <format dxfId="4">
      <pivotArea type="origin" dataOnly="0" labelOnly="1" outline="0" fieldPosition="0"/>
    </format>
    <format dxfId="3">
      <pivotArea field="2" type="button" dataOnly="0" labelOnly="1" outline="0" axis="axisRow" fieldPosition="0"/>
    </format>
    <format dxfId="2">
      <pivotArea field="7" type="button" dataOnly="0" labelOnly="1" outline="0" axis="axisRow" fieldPosition="1"/>
    </format>
    <format dxfId="1">
      <pivotArea field="4" type="button" dataOnly="0" labelOnly="1" outline="0" axis="axisRow" fieldPosition="2"/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61"/>
  <sheetViews>
    <sheetView tabSelected="1" workbookViewId="0">
      <selection activeCell="A6" sqref="A6"/>
    </sheetView>
  </sheetViews>
  <sheetFormatPr defaultRowHeight="15" x14ac:dyDescent="0.25"/>
  <cols>
    <col min="1" max="1" width="29.42578125" customWidth="1"/>
    <col min="2" max="2" width="26" bestFit="1" customWidth="1"/>
    <col min="3" max="3" width="12.42578125" bestFit="1" customWidth="1"/>
    <col min="4" max="4" width="9.5703125" bestFit="1" customWidth="1"/>
    <col min="5" max="5" width="6.5703125" bestFit="1" customWidth="1"/>
    <col min="6" max="6" width="14" bestFit="1" customWidth="1"/>
  </cols>
  <sheetData>
    <row r="1" spans="1:5" ht="21" x14ac:dyDescent="0.35">
      <c r="A1" s="21" t="s">
        <v>298</v>
      </c>
      <c r="B1" s="22"/>
      <c r="C1" s="22"/>
      <c r="D1" s="22"/>
      <c r="E1" s="23"/>
    </row>
    <row r="2" spans="1:5" ht="21" x14ac:dyDescent="0.35">
      <c r="A2" s="14"/>
      <c r="B2" s="14"/>
      <c r="C2" s="14"/>
      <c r="D2" s="14"/>
      <c r="E2" s="14"/>
    </row>
    <row r="3" spans="1:5" ht="21" x14ac:dyDescent="0.35">
      <c r="A3" s="14"/>
      <c r="B3" s="14"/>
      <c r="C3" s="14"/>
      <c r="D3" s="14"/>
      <c r="E3" s="14"/>
    </row>
    <row r="4" spans="1:5" ht="21" x14ac:dyDescent="0.35">
      <c r="A4" s="14"/>
      <c r="B4" s="14"/>
      <c r="C4" s="14"/>
      <c r="D4" s="14"/>
      <c r="E4" s="14"/>
    </row>
    <row r="6" spans="1:5" x14ac:dyDescent="0.25">
      <c r="A6" s="15" t="s">
        <v>297</v>
      </c>
      <c r="B6" s="16" t="s">
        <v>296</v>
      </c>
      <c r="C6" s="2"/>
      <c r="D6" s="2"/>
      <c r="E6" s="17"/>
    </row>
    <row r="7" spans="1:5" x14ac:dyDescent="0.25">
      <c r="A7" s="18"/>
      <c r="B7" s="19" t="s">
        <v>2</v>
      </c>
      <c r="C7" s="19" t="s">
        <v>7</v>
      </c>
      <c r="D7" s="19" t="s">
        <v>4</v>
      </c>
      <c r="E7" s="20" t="s">
        <v>295</v>
      </c>
    </row>
    <row r="8" spans="1:5" ht="98.25" customHeight="1" x14ac:dyDescent="0.25">
      <c r="A8" s="11"/>
      <c r="B8" s="2" t="s">
        <v>69</v>
      </c>
      <c r="C8" s="2" t="s">
        <v>153</v>
      </c>
      <c r="D8" s="2" t="s">
        <v>268</v>
      </c>
      <c r="E8" s="3">
        <v>12</v>
      </c>
    </row>
    <row r="9" spans="1:5" x14ac:dyDescent="0.25">
      <c r="A9" s="12"/>
      <c r="B9" s="4" t="s">
        <v>154</v>
      </c>
      <c r="C9" s="4"/>
      <c r="D9" s="4"/>
      <c r="E9" s="5">
        <v>12</v>
      </c>
    </row>
    <row r="10" spans="1:5" x14ac:dyDescent="0.25">
      <c r="A10" s="12"/>
      <c r="B10" s="4" t="s">
        <v>70</v>
      </c>
      <c r="C10" s="4" t="s">
        <v>155</v>
      </c>
      <c r="D10" s="4" t="s">
        <v>269</v>
      </c>
      <c r="E10" s="5">
        <v>48</v>
      </c>
    </row>
    <row r="11" spans="1:5" x14ac:dyDescent="0.25">
      <c r="A11" s="12"/>
      <c r="B11" s="4" t="s">
        <v>156</v>
      </c>
      <c r="C11" s="4"/>
      <c r="D11" s="4"/>
      <c r="E11" s="5">
        <v>48</v>
      </c>
    </row>
    <row r="12" spans="1:5" ht="80.25" customHeight="1" x14ac:dyDescent="0.25">
      <c r="A12" s="12"/>
      <c r="B12" s="4" t="s">
        <v>71</v>
      </c>
      <c r="C12" s="4" t="s">
        <v>155</v>
      </c>
      <c r="D12" s="4" t="s">
        <v>270</v>
      </c>
      <c r="E12" s="5">
        <v>1</v>
      </c>
    </row>
    <row r="13" spans="1:5" x14ac:dyDescent="0.25">
      <c r="A13" s="12"/>
      <c r="B13" s="4"/>
      <c r="C13" s="4"/>
      <c r="D13" s="4" t="s">
        <v>271</v>
      </c>
      <c r="E13" s="5">
        <v>2</v>
      </c>
    </row>
    <row r="14" spans="1:5" x14ac:dyDescent="0.25">
      <c r="A14" s="12"/>
      <c r="B14" s="4"/>
      <c r="C14" s="4"/>
      <c r="D14" s="4" t="s">
        <v>272</v>
      </c>
      <c r="E14" s="5">
        <v>3</v>
      </c>
    </row>
    <row r="15" spans="1:5" x14ac:dyDescent="0.25">
      <c r="A15" s="12"/>
      <c r="B15" s="4"/>
      <c r="C15" s="4"/>
      <c r="D15" s="4" t="s">
        <v>273</v>
      </c>
      <c r="E15" s="5">
        <v>24</v>
      </c>
    </row>
    <row r="16" spans="1:5" x14ac:dyDescent="0.25">
      <c r="A16" s="12"/>
      <c r="B16" s="4" t="s">
        <v>157</v>
      </c>
      <c r="C16" s="4"/>
      <c r="D16" s="4"/>
      <c r="E16" s="5">
        <v>30</v>
      </c>
    </row>
    <row r="17" spans="1:5" ht="105" customHeight="1" x14ac:dyDescent="0.25">
      <c r="A17" s="12"/>
      <c r="B17" s="4" t="s">
        <v>72</v>
      </c>
      <c r="C17" s="4" t="s">
        <v>158</v>
      </c>
      <c r="D17" s="4" t="s">
        <v>271</v>
      </c>
      <c r="E17" s="5">
        <v>9</v>
      </c>
    </row>
    <row r="18" spans="1:5" x14ac:dyDescent="0.25">
      <c r="A18" s="12"/>
      <c r="B18" s="4"/>
      <c r="C18" s="4"/>
      <c r="D18" s="4" t="s">
        <v>272</v>
      </c>
      <c r="E18" s="5">
        <v>17</v>
      </c>
    </row>
    <row r="19" spans="1:5" x14ac:dyDescent="0.25">
      <c r="A19" s="12"/>
      <c r="B19" s="4"/>
      <c r="C19" s="4"/>
      <c r="D19" s="4" t="s">
        <v>274</v>
      </c>
      <c r="E19" s="5">
        <v>16</v>
      </c>
    </row>
    <row r="20" spans="1:5" x14ac:dyDescent="0.25">
      <c r="A20" s="12"/>
      <c r="B20" s="4"/>
      <c r="C20" s="4"/>
      <c r="D20" s="4" t="s">
        <v>275</v>
      </c>
      <c r="E20" s="5">
        <v>14</v>
      </c>
    </row>
    <row r="21" spans="1:5" x14ac:dyDescent="0.25">
      <c r="A21" s="12"/>
      <c r="B21" s="4"/>
      <c r="C21" s="4"/>
      <c r="D21" s="4" t="s">
        <v>276</v>
      </c>
      <c r="E21" s="5">
        <v>5</v>
      </c>
    </row>
    <row r="22" spans="1:5" x14ac:dyDescent="0.25">
      <c r="A22" s="12"/>
      <c r="B22" s="4"/>
      <c r="C22" s="4"/>
      <c r="D22" s="4" t="s">
        <v>273</v>
      </c>
      <c r="E22" s="5">
        <v>408</v>
      </c>
    </row>
    <row r="23" spans="1:5" ht="105" customHeight="1" x14ac:dyDescent="0.25">
      <c r="A23" s="12"/>
      <c r="B23" s="4"/>
      <c r="C23" s="4" t="s">
        <v>159</v>
      </c>
      <c r="D23" s="4" t="s">
        <v>271</v>
      </c>
      <c r="E23" s="5">
        <v>1</v>
      </c>
    </row>
    <row r="24" spans="1:5" x14ac:dyDescent="0.25">
      <c r="A24" s="12"/>
      <c r="B24" s="4"/>
      <c r="C24" s="4"/>
      <c r="D24" s="4" t="s">
        <v>272</v>
      </c>
      <c r="E24" s="5">
        <v>15</v>
      </c>
    </row>
    <row r="25" spans="1:5" x14ac:dyDescent="0.25">
      <c r="A25" s="12"/>
      <c r="B25" s="4"/>
      <c r="C25" s="4"/>
      <c r="D25" s="4" t="s">
        <v>274</v>
      </c>
      <c r="E25" s="5">
        <v>19</v>
      </c>
    </row>
    <row r="26" spans="1:5" x14ac:dyDescent="0.25">
      <c r="A26" s="12"/>
      <c r="B26" s="4"/>
      <c r="C26" s="4"/>
      <c r="D26" s="4" t="s">
        <v>275</v>
      </c>
      <c r="E26" s="5">
        <v>13</v>
      </c>
    </row>
    <row r="27" spans="1:5" x14ac:dyDescent="0.25">
      <c r="A27" s="12"/>
      <c r="B27" s="4"/>
      <c r="C27" s="4"/>
      <c r="D27" s="4" t="s">
        <v>276</v>
      </c>
      <c r="E27" s="5">
        <v>8</v>
      </c>
    </row>
    <row r="28" spans="1:5" x14ac:dyDescent="0.25">
      <c r="A28" s="12"/>
      <c r="B28" s="4"/>
      <c r="C28" s="4"/>
      <c r="D28" s="4" t="s">
        <v>273</v>
      </c>
      <c r="E28" s="5">
        <v>396</v>
      </c>
    </row>
    <row r="29" spans="1:5" ht="105" customHeight="1" x14ac:dyDescent="0.25">
      <c r="A29" s="12"/>
      <c r="B29" s="4"/>
      <c r="C29" s="4" t="s">
        <v>160</v>
      </c>
      <c r="D29" s="4" t="s">
        <v>271</v>
      </c>
      <c r="E29" s="5">
        <v>20</v>
      </c>
    </row>
    <row r="30" spans="1:5" x14ac:dyDescent="0.25">
      <c r="A30" s="12"/>
      <c r="B30" s="4"/>
      <c r="C30" s="4"/>
      <c r="D30" s="4" t="s">
        <v>272</v>
      </c>
      <c r="E30" s="5">
        <v>33</v>
      </c>
    </row>
    <row r="31" spans="1:5" x14ac:dyDescent="0.25">
      <c r="A31" s="12"/>
      <c r="B31" s="4"/>
      <c r="C31" s="4"/>
      <c r="D31" s="4" t="s">
        <v>274</v>
      </c>
      <c r="E31" s="5">
        <v>37</v>
      </c>
    </row>
    <row r="32" spans="1:5" x14ac:dyDescent="0.25">
      <c r="A32" s="12"/>
      <c r="B32" s="4"/>
      <c r="C32" s="4"/>
      <c r="D32" s="4" t="s">
        <v>275</v>
      </c>
      <c r="E32" s="5">
        <v>23</v>
      </c>
    </row>
    <row r="33" spans="1:5" x14ac:dyDescent="0.25">
      <c r="A33" s="12"/>
      <c r="B33" s="4"/>
      <c r="C33" s="4"/>
      <c r="D33" s="4" t="s">
        <v>276</v>
      </c>
      <c r="E33" s="5">
        <v>13</v>
      </c>
    </row>
    <row r="34" spans="1:5" x14ac:dyDescent="0.25">
      <c r="A34" s="12"/>
      <c r="B34" s="4"/>
      <c r="C34" s="4"/>
      <c r="D34" s="4" t="s">
        <v>273</v>
      </c>
      <c r="E34" s="5">
        <v>336</v>
      </c>
    </row>
    <row r="35" spans="1:5" ht="105" customHeight="1" x14ac:dyDescent="0.25">
      <c r="A35" s="12"/>
      <c r="B35" s="4"/>
      <c r="C35" s="4" t="s">
        <v>161</v>
      </c>
      <c r="D35" s="4" t="s">
        <v>271</v>
      </c>
      <c r="E35" s="5">
        <v>15</v>
      </c>
    </row>
    <row r="36" spans="1:5" x14ac:dyDescent="0.25">
      <c r="A36" s="12"/>
      <c r="B36" s="4"/>
      <c r="C36" s="4"/>
      <c r="D36" s="4" t="s">
        <v>272</v>
      </c>
      <c r="E36" s="5">
        <v>18</v>
      </c>
    </row>
    <row r="37" spans="1:5" x14ac:dyDescent="0.25">
      <c r="A37" s="12"/>
      <c r="B37" s="4"/>
      <c r="C37" s="4"/>
      <c r="D37" s="4" t="s">
        <v>274</v>
      </c>
      <c r="E37" s="5">
        <v>26</v>
      </c>
    </row>
    <row r="38" spans="1:5" x14ac:dyDescent="0.25">
      <c r="A38" s="12"/>
      <c r="B38" s="4"/>
      <c r="C38" s="4"/>
      <c r="D38" s="4" t="s">
        <v>275</v>
      </c>
      <c r="E38" s="5">
        <v>19</v>
      </c>
    </row>
    <row r="39" spans="1:5" x14ac:dyDescent="0.25">
      <c r="A39" s="12"/>
      <c r="B39" s="4"/>
      <c r="C39" s="4"/>
      <c r="D39" s="4" t="s">
        <v>276</v>
      </c>
      <c r="E39" s="5">
        <v>12</v>
      </c>
    </row>
    <row r="40" spans="1:5" x14ac:dyDescent="0.25">
      <c r="A40" s="12"/>
      <c r="B40" s="4"/>
      <c r="C40" s="4"/>
      <c r="D40" s="4" t="s">
        <v>273</v>
      </c>
      <c r="E40" s="5">
        <v>288</v>
      </c>
    </row>
    <row r="41" spans="1:5" x14ac:dyDescent="0.25">
      <c r="A41" s="12"/>
      <c r="B41" s="4" t="s">
        <v>162</v>
      </c>
      <c r="C41" s="4"/>
      <c r="D41" s="4"/>
      <c r="E41" s="5">
        <v>1761</v>
      </c>
    </row>
    <row r="42" spans="1:5" ht="138.75" customHeight="1" x14ac:dyDescent="0.25">
      <c r="A42" s="12"/>
      <c r="B42" s="4" t="s">
        <v>73</v>
      </c>
      <c r="C42" s="4" t="s">
        <v>159</v>
      </c>
      <c r="D42" s="4" t="s">
        <v>273</v>
      </c>
      <c r="E42" s="5">
        <v>12</v>
      </c>
    </row>
    <row r="43" spans="1:5" ht="133.5" customHeight="1" x14ac:dyDescent="0.25">
      <c r="A43" s="12"/>
      <c r="B43" s="4"/>
      <c r="C43" s="4" t="s">
        <v>161</v>
      </c>
      <c r="D43" s="4" t="s">
        <v>274</v>
      </c>
      <c r="E43" s="5">
        <v>1</v>
      </c>
    </row>
    <row r="44" spans="1:5" x14ac:dyDescent="0.25">
      <c r="A44" s="12"/>
      <c r="B44" s="4" t="s">
        <v>163</v>
      </c>
      <c r="C44" s="4"/>
      <c r="D44" s="4"/>
      <c r="E44" s="5">
        <v>13</v>
      </c>
    </row>
    <row r="45" spans="1:5" ht="105" customHeight="1" x14ac:dyDescent="0.25">
      <c r="A45" s="12"/>
      <c r="B45" s="4" t="s">
        <v>74</v>
      </c>
      <c r="C45" s="4" t="s">
        <v>161</v>
      </c>
      <c r="D45" s="4" t="s">
        <v>275</v>
      </c>
      <c r="E45" s="5">
        <v>1</v>
      </c>
    </row>
    <row r="46" spans="1:5" x14ac:dyDescent="0.25">
      <c r="A46" s="12"/>
      <c r="B46" s="4" t="s">
        <v>164</v>
      </c>
      <c r="C46" s="4"/>
      <c r="D46" s="4"/>
      <c r="E46" s="5">
        <v>1</v>
      </c>
    </row>
    <row r="47" spans="1:5" x14ac:dyDescent="0.25">
      <c r="A47" s="12"/>
      <c r="B47" s="4" t="s">
        <v>75</v>
      </c>
      <c r="C47" s="4" t="s">
        <v>159</v>
      </c>
      <c r="D47" s="4" t="s">
        <v>273</v>
      </c>
      <c r="E47" s="5">
        <v>12</v>
      </c>
    </row>
    <row r="48" spans="1:5" ht="78.75" customHeight="1" x14ac:dyDescent="0.25">
      <c r="A48" s="12"/>
      <c r="B48" s="4" t="s">
        <v>165</v>
      </c>
      <c r="C48" s="4"/>
      <c r="D48" s="4"/>
      <c r="E48" s="5">
        <v>12</v>
      </c>
    </row>
    <row r="49" spans="1:5" x14ac:dyDescent="0.25">
      <c r="A49" s="12"/>
      <c r="B49" s="4" t="s">
        <v>76</v>
      </c>
      <c r="C49" s="4" t="s">
        <v>166</v>
      </c>
      <c r="D49" s="4" t="s">
        <v>270</v>
      </c>
      <c r="E49" s="5">
        <v>5</v>
      </c>
    </row>
    <row r="50" spans="1:5" x14ac:dyDescent="0.25">
      <c r="A50" s="12"/>
      <c r="B50" s="4"/>
      <c r="C50" s="4"/>
      <c r="D50" s="4" t="s">
        <v>271</v>
      </c>
      <c r="E50" s="5">
        <v>10</v>
      </c>
    </row>
    <row r="51" spans="1:5" x14ac:dyDescent="0.25">
      <c r="A51" s="12"/>
      <c r="B51" s="4"/>
      <c r="C51" s="4"/>
      <c r="D51" s="4" t="s">
        <v>272</v>
      </c>
      <c r="E51" s="5">
        <v>18</v>
      </c>
    </row>
    <row r="52" spans="1:5" x14ac:dyDescent="0.25">
      <c r="A52" s="12"/>
      <c r="B52" s="4"/>
      <c r="C52" s="4"/>
      <c r="D52" s="4" t="s">
        <v>274</v>
      </c>
      <c r="E52" s="5">
        <v>15</v>
      </c>
    </row>
    <row r="53" spans="1:5" x14ac:dyDescent="0.25">
      <c r="A53" s="12"/>
      <c r="B53" s="4"/>
      <c r="C53" s="4"/>
      <c r="D53" s="4" t="s">
        <v>275</v>
      </c>
      <c r="E53" s="5">
        <v>11</v>
      </c>
    </row>
    <row r="54" spans="1:5" x14ac:dyDescent="0.25">
      <c r="A54" s="12"/>
      <c r="B54" s="4"/>
      <c r="C54" s="4"/>
      <c r="D54" s="4" t="s">
        <v>276</v>
      </c>
      <c r="E54" s="5">
        <v>4</v>
      </c>
    </row>
    <row r="55" spans="1:5" x14ac:dyDescent="0.25">
      <c r="A55" s="12"/>
      <c r="B55" s="4"/>
      <c r="C55" s="4" t="s">
        <v>158</v>
      </c>
      <c r="D55" s="4" t="s">
        <v>270</v>
      </c>
      <c r="E55" s="5">
        <v>4</v>
      </c>
    </row>
    <row r="56" spans="1:5" x14ac:dyDescent="0.25">
      <c r="A56" s="12"/>
      <c r="B56" s="4"/>
      <c r="C56" s="4"/>
      <c r="D56" s="4" t="s">
        <v>271</v>
      </c>
      <c r="E56" s="5">
        <v>5</v>
      </c>
    </row>
    <row r="57" spans="1:5" x14ac:dyDescent="0.25">
      <c r="A57" s="12"/>
      <c r="B57" s="4"/>
      <c r="C57" s="4"/>
      <c r="D57" s="4" t="s">
        <v>272</v>
      </c>
      <c r="E57" s="5">
        <v>7</v>
      </c>
    </row>
    <row r="58" spans="1:5" x14ac:dyDescent="0.25">
      <c r="A58" s="12"/>
      <c r="B58" s="4"/>
      <c r="C58" s="4"/>
      <c r="D58" s="4" t="s">
        <v>274</v>
      </c>
      <c r="E58" s="5">
        <v>5</v>
      </c>
    </row>
    <row r="59" spans="1:5" x14ac:dyDescent="0.25">
      <c r="A59" s="12"/>
      <c r="B59" s="4"/>
      <c r="C59" s="4"/>
      <c r="D59" s="4" t="s">
        <v>275</v>
      </c>
      <c r="E59" s="5">
        <v>1</v>
      </c>
    </row>
    <row r="60" spans="1:5" x14ac:dyDescent="0.25">
      <c r="A60" s="12"/>
      <c r="B60" s="4"/>
      <c r="C60" s="4"/>
      <c r="D60" s="4" t="s">
        <v>276</v>
      </c>
      <c r="E60" s="5">
        <v>1</v>
      </c>
    </row>
    <row r="61" spans="1:5" x14ac:dyDescent="0.25">
      <c r="A61" s="12"/>
      <c r="B61" s="4"/>
      <c r="C61" s="4" t="s">
        <v>159</v>
      </c>
      <c r="D61" s="4" t="s">
        <v>270</v>
      </c>
      <c r="E61" s="5">
        <v>3</v>
      </c>
    </row>
    <row r="62" spans="1:5" x14ac:dyDescent="0.25">
      <c r="A62" s="12"/>
      <c r="B62" s="4"/>
      <c r="C62" s="4"/>
      <c r="D62" s="4" t="s">
        <v>271</v>
      </c>
      <c r="E62" s="5">
        <v>10</v>
      </c>
    </row>
    <row r="63" spans="1:5" x14ac:dyDescent="0.25">
      <c r="A63" s="12"/>
      <c r="B63" s="4"/>
      <c r="C63" s="4"/>
      <c r="D63" s="4" t="s">
        <v>272</v>
      </c>
      <c r="E63" s="5">
        <v>10</v>
      </c>
    </row>
    <row r="64" spans="1:5" x14ac:dyDescent="0.25">
      <c r="A64" s="12"/>
      <c r="B64" s="4"/>
      <c r="C64" s="4"/>
      <c r="D64" s="4" t="s">
        <v>274</v>
      </c>
      <c r="E64" s="5">
        <v>14</v>
      </c>
    </row>
    <row r="65" spans="1:5" x14ac:dyDescent="0.25">
      <c r="A65" s="12"/>
      <c r="B65" s="4"/>
      <c r="C65" s="4"/>
      <c r="D65" s="4" t="s">
        <v>275</v>
      </c>
      <c r="E65" s="5">
        <v>9</v>
      </c>
    </row>
    <row r="66" spans="1:5" x14ac:dyDescent="0.25">
      <c r="A66" s="12"/>
      <c r="B66" s="4"/>
      <c r="C66" s="4" t="s">
        <v>167</v>
      </c>
      <c r="D66" s="4" t="s">
        <v>270</v>
      </c>
      <c r="E66" s="5">
        <v>1</v>
      </c>
    </row>
    <row r="67" spans="1:5" x14ac:dyDescent="0.25">
      <c r="A67" s="12"/>
      <c r="B67" s="4"/>
      <c r="C67" s="4"/>
      <c r="D67" s="4" t="s">
        <v>271</v>
      </c>
      <c r="E67" s="5">
        <v>3</v>
      </c>
    </row>
    <row r="68" spans="1:5" x14ac:dyDescent="0.25">
      <c r="A68" s="12"/>
      <c r="B68" s="4"/>
      <c r="C68" s="4"/>
      <c r="D68" s="4" t="s">
        <v>272</v>
      </c>
      <c r="E68" s="5">
        <v>7</v>
      </c>
    </row>
    <row r="69" spans="1:5" x14ac:dyDescent="0.25">
      <c r="A69" s="12"/>
      <c r="B69" s="4"/>
      <c r="C69" s="4"/>
      <c r="D69" s="4" t="s">
        <v>274</v>
      </c>
      <c r="E69" s="5">
        <v>7</v>
      </c>
    </row>
    <row r="70" spans="1:5" x14ac:dyDescent="0.25">
      <c r="A70" s="12"/>
      <c r="B70" s="4"/>
      <c r="C70" s="4"/>
      <c r="D70" s="4" t="s">
        <v>275</v>
      </c>
      <c r="E70" s="5">
        <v>4</v>
      </c>
    </row>
    <row r="71" spans="1:5" x14ac:dyDescent="0.25">
      <c r="A71" s="12"/>
      <c r="B71" s="4"/>
      <c r="C71" s="4"/>
      <c r="D71" s="4" t="s">
        <v>276</v>
      </c>
      <c r="E71" s="5">
        <v>3</v>
      </c>
    </row>
    <row r="72" spans="1:5" x14ac:dyDescent="0.25">
      <c r="A72" s="12"/>
      <c r="B72" s="4"/>
      <c r="C72" s="4" t="s">
        <v>161</v>
      </c>
      <c r="D72" s="4" t="s">
        <v>270</v>
      </c>
      <c r="E72" s="5">
        <v>4</v>
      </c>
    </row>
    <row r="73" spans="1:5" x14ac:dyDescent="0.25">
      <c r="A73" s="12"/>
      <c r="B73" s="4"/>
      <c r="C73" s="4"/>
      <c r="D73" s="4" t="s">
        <v>272</v>
      </c>
      <c r="E73" s="5">
        <v>10</v>
      </c>
    </row>
    <row r="74" spans="1:5" x14ac:dyDescent="0.25">
      <c r="A74" s="12"/>
      <c r="B74" s="4"/>
      <c r="C74" s="4"/>
      <c r="D74" s="4" t="s">
        <v>274</v>
      </c>
      <c r="E74" s="5">
        <v>13</v>
      </c>
    </row>
    <row r="75" spans="1:5" x14ac:dyDescent="0.25">
      <c r="A75" s="12"/>
      <c r="B75" s="4"/>
      <c r="C75" s="4"/>
      <c r="D75" s="4" t="s">
        <v>275</v>
      </c>
      <c r="E75" s="5">
        <v>25</v>
      </c>
    </row>
    <row r="76" spans="1:5" x14ac:dyDescent="0.25">
      <c r="A76" s="12"/>
      <c r="B76" s="4"/>
      <c r="C76" s="4"/>
      <c r="D76" s="4" t="s">
        <v>276</v>
      </c>
      <c r="E76" s="5">
        <v>15</v>
      </c>
    </row>
    <row r="77" spans="1:5" x14ac:dyDescent="0.25">
      <c r="A77" s="12"/>
      <c r="B77" s="4" t="s">
        <v>168</v>
      </c>
      <c r="C77" s="4"/>
      <c r="D77" s="4"/>
      <c r="E77" s="5">
        <v>224</v>
      </c>
    </row>
    <row r="78" spans="1:5" x14ac:dyDescent="0.25">
      <c r="A78" s="12"/>
      <c r="B78" s="4" t="s">
        <v>77</v>
      </c>
      <c r="C78" s="4" t="s">
        <v>166</v>
      </c>
      <c r="D78" s="4" t="s">
        <v>270</v>
      </c>
      <c r="E78" s="5">
        <v>4</v>
      </c>
    </row>
    <row r="79" spans="1:5" x14ac:dyDescent="0.25">
      <c r="A79" s="12"/>
      <c r="B79" s="4"/>
      <c r="C79" s="4"/>
      <c r="D79" s="4" t="s">
        <v>271</v>
      </c>
      <c r="E79" s="5">
        <v>7</v>
      </c>
    </row>
    <row r="80" spans="1:5" x14ac:dyDescent="0.25">
      <c r="A80" s="12"/>
      <c r="B80" s="4"/>
      <c r="C80" s="4"/>
      <c r="D80" s="4" t="s">
        <v>272</v>
      </c>
      <c r="E80" s="5">
        <v>7</v>
      </c>
    </row>
    <row r="81" spans="1:5" x14ac:dyDescent="0.25">
      <c r="A81" s="12"/>
      <c r="B81" s="4"/>
      <c r="C81" s="4"/>
      <c r="D81" s="4" t="s">
        <v>274</v>
      </c>
      <c r="E81" s="5">
        <v>5</v>
      </c>
    </row>
    <row r="82" spans="1:5" x14ac:dyDescent="0.25">
      <c r="A82" s="12"/>
      <c r="B82" s="4"/>
      <c r="C82" s="4"/>
      <c r="D82" s="4" t="s">
        <v>275</v>
      </c>
      <c r="E82" s="5">
        <v>5</v>
      </c>
    </row>
    <row r="83" spans="1:5" x14ac:dyDescent="0.25">
      <c r="A83" s="12"/>
      <c r="B83" s="4"/>
      <c r="C83" s="4"/>
      <c r="D83" s="4" t="s">
        <v>276</v>
      </c>
      <c r="E83" s="5">
        <v>2</v>
      </c>
    </row>
    <row r="84" spans="1:5" x14ac:dyDescent="0.25">
      <c r="A84" s="12"/>
      <c r="B84" s="4"/>
      <c r="C84" s="4" t="s">
        <v>158</v>
      </c>
      <c r="D84" s="4" t="s">
        <v>270</v>
      </c>
      <c r="E84" s="5">
        <v>7</v>
      </c>
    </row>
    <row r="85" spans="1:5" x14ac:dyDescent="0.25">
      <c r="A85" s="12"/>
      <c r="B85" s="4"/>
      <c r="C85" s="4"/>
      <c r="D85" s="4" t="s">
        <v>271</v>
      </c>
      <c r="E85" s="5">
        <v>17</v>
      </c>
    </row>
    <row r="86" spans="1:5" x14ac:dyDescent="0.25">
      <c r="A86" s="12"/>
      <c r="B86" s="4"/>
      <c r="C86" s="4"/>
      <c r="D86" s="4" t="s">
        <v>272</v>
      </c>
      <c r="E86" s="5">
        <v>26</v>
      </c>
    </row>
    <row r="87" spans="1:5" x14ac:dyDescent="0.25">
      <c r="A87" s="12"/>
      <c r="B87" s="4"/>
      <c r="C87" s="4"/>
      <c r="D87" s="4" t="s">
        <v>274</v>
      </c>
      <c r="E87" s="5">
        <v>14</v>
      </c>
    </row>
    <row r="88" spans="1:5" x14ac:dyDescent="0.25">
      <c r="A88" s="12"/>
      <c r="B88" s="4"/>
      <c r="C88" s="4"/>
      <c r="D88" s="4" t="s">
        <v>275</v>
      </c>
      <c r="E88" s="5">
        <v>15</v>
      </c>
    </row>
    <row r="89" spans="1:5" x14ac:dyDescent="0.25">
      <c r="A89" s="12"/>
      <c r="B89" s="4"/>
      <c r="C89" s="4"/>
      <c r="D89" s="4" t="s">
        <v>276</v>
      </c>
      <c r="E89" s="5">
        <v>6</v>
      </c>
    </row>
    <row r="90" spans="1:5" x14ac:dyDescent="0.25">
      <c r="A90" s="12"/>
      <c r="B90" s="4"/>
      <c r="C90" s="4" t="s">
        <v>159</v>
      </c>
      <c r="D90" s="4" t="s">
        <v>270</v>
      </c>
      <c r="E90" s="5">
        <v>4</v>
      </c>
    </row>
    <row r="91" spans="1:5" x14ac:dyDescent="0.25">
      <c r="A91" s="12"/>
      <c r="B91" s="4"/>
      <c r="C91" s="4"/>
      <c r="D91" s="4" t="s">
        <v>271</v>
      </c>
      <c r="E91" s="5">
        <v>12</v>
      </c>
    </row>
    <row r="92" spans="1:5" x14ac:dyDescent="0.25">
      <c r="A92" s="12"/>
      <c r="B92" s="4"/>
      <c r="C92" s="4"/>
      <c r="D92" s="4" t="s">
        <v>272</v>
      </c>
      <c r="E92" s="5">
        <v>8</v>
      </c>
    </row>
    <row r="93" spans="1:5" x14ac:dyDescent="0.25">
      <c r="A93" s="12"/>
      <c r="B93" s="4"/>
      <c r="C93" s="4"/>
      <c r="D93" s="4" t="s">
        <v>274</v>
      </c>
      <c r="E93" s="5">
        <v>5</v>
      </c>
    </row>
    <row r="94" spans="1:5" x14ac:dyDescent="0.25">
      <c r="A94" s="12"/>
      <c r="B94" s="4"/>
      <c r="C94" s="4"/>
      <c r="D94" s="4" t="s">
        <v>275</v>
      </c>
      <c r="E94" s="5">
        <v>10</v>
      </c>
    </row>
    <row r="95" spans="1:5" x14ac:dyDescent="0.25">
      <c r="A95" s="12"/>
      <c r="B95" s="4"/>
      <c r="C95" s="4"/>
      <c r="D95" s="4" t="s">
        <v>276</v>
      </c>
      <c r="E95" s="5">
        <v>1</v>
      </c>
    </row>
    <row r="96" spans="1:5" x14ac:dyDescent="0.25">
      <c r="A96" s="12"/>
      <c r="B96" s="4"/>
      <c r="C96" s="4" t="s">
        <v>167</v>
      </c>
      <c r="D96" s="4" t="s">
        <v>270</v>
      </c>
      <c r="E96" s="5">
        <v>3</v>
      </c>
    </row>
    <row r="97" spans="1:5" x14ac:dyDescent="0.25">
      <c r="A97" s="12"/>
      <c r="B97" s="4"/>
      <c r="C97" s="4"/>
      <c r="D97" s="4" t="s">
        <v>271</v>
      </c>
      <c r="E97" s="5">
        <v>7</v>
      </c>
    </row>
    <row r="98" spans="1:5" x14ac:dyDescent="0.25">
      <c r="A98" s="12"/>
      <c r="B98" s="4"/>
      <c r="C98" s="4"/>
      <c r="D98" s="4" t="s">
        <v>272</v>
      </c>
      <c r="E98" s="5">
        <v>11</v>
      </c>
    </row>
    <row r="99" spans="1:5" x14ac:dyDescent="0.25">
      <c r="A99" s="12"/>
      <c r="B99" s="4"/>
      <c r="C99" s="4"/>
      <c r="D99" s="4" t="s">
        <v>274</v>
      </c>
      <c r="E99" s="5">
        <v>6</v>
      </c>
    </row>
    <row r="100" spans="1:5" x14ac:dyDescent="0.25">
      <c r="A100" s="12"/>
      <c r="B100" s="4"/>
      <c r="C100" s="4"/>
      <c r="D100" s="4" t="s">
        <v>275</v>
      </c>
      <c r="E100" s="5">
        <v>4</v>
      </c>
    </row>
    <row r="101" spans="1:5" x14ac:dyDescent="0.25">
      <c r="A101" s="12"/>
      <c r="B101" s="4"/>
      <c r="C101" s="4" t="s">
        <v>161</v>
      </c>
      <c r="D101" s="4" t="s">
        <v>270</v>
      </c>
      <c r="E101" s="5">
        <v>3</v>
      </c>
    </row>
    <row r="102" spans="1:5" x14ac:dyDescent="0.25">
      <c r="A102" s="12"/>
      <c r="B102" s="4"/>
      <c r="C102" s="4"/>
      <c r="D102" s="4" t="s">
        <v>271</v>
      </c>
      <c r="E102" s="5">
        <v>1</v>
      </c>
    </row>
    <row r="103" spans="1:5" x14ac:dyDescent="0.25">
      <c r="A103" s="12"/>
      <c r="B103" s="4"/>
      <c r="C103" s="4"/>
      <c r="D103" s="4" t="s">
        <v>272</v>
      </c>
      <c r="E103" s="5">
        <v>11</v>
      </c>
    </row>
    <row r="104" spans="1:5" x14ac:dyDescent="0.25">
      <c r="A104" s="12"/>
      <c r="B104" s="4"/>
      <c r="C104" s="4"/>
      <c r="D104" s="4" t="s">
        <v>274</v>
      </c>
      <c r="E104" s="5">
        <v>12</v>
      </c>
    </row>
    <row r="105" spans="1:5" x14ac:dyDescent="0.25">
      <c r="A105" s="12"/>
      <c r="B105" s="4"/>
      <c r="C105" s="4"/>
      <c r="D105" s="4" t="s">
        <v>275</v>
      </c>
      <c r="E105" s="5">
        <v>17</v>
      </c>
    </row>
    <row r="106" spans="1:5" x14ac:dyDescent="0.25">
      <c r="A106" s="12"/>
      <c r="B106" s="4" t="s">
        <v>169</v>
      </c>
      <c r="C106" s="4"/>
      <c r="D106" s="4"/>
      <c r="E106" s="5">
        <v>230</v>
      </c>
    </row>
    <row r="107" spans="1:5" ht="124.5" customHeight="1" x14ac:dyDescent="0.25">
      <c r="A107" s="12"/>
      <c r="B107" s="4" t="s">
        <v>78</v>
      </c>
      <c r="C107" s="4" t="s">
        <v>158</v>
      </c>
      <c r="D107" s="4" t="s">
        <v>277</v>
      </c>
      <c r="E107" s="5">
        <v>13</v>
      </c>
    </row>
    <row r="108" spans="1:5" x14ac:dyDescent="0.25">
      <c r="A108" s="12"/>
      <c r="B108" s="4"/>
      <c r="C108" s="4"/>
      <c r="D108" s="4" t="s">
        <v>278</v>
      </c>
      <c r="E108" s="5">
        <v>13</v>
      </c>
    </row>
    <row r="109" spans="1:5" x14ac:dyDescent="0.25">
      <c r="A109" s="12"/>
      <c r="B109" s="4"/>
      <c r="C109" s="4"/>
      <c r="D109" s="4" t="s">
        <v>279</v>
      </c>
      <c r="E109" s="5">
        <v>14</v>
      </c>
    </row>
    <row r="110" spans="1:5" x14ac:dyDescent="0.25">
      <c r="A110" s="12"/>
      <c r="B110" s="4"/>
      <c r="C110" s="4"/>
      <c r="D110" s="4" t="s">
        <v>280</v>
      </c>
      <c r="E110" s="5">
        <v>15</v>
      </c>
    </row>
    <row r="111" spans="1:5" x14ac:dyDescent="0.25">
      <c r="A111" s="12"/>
      <c r="B111" s="4"/>
      <c r="C111" s="4"/>
      <c r="D111" s="4" t="s">
        <v>281</v>
      </c>
      <c r="E111" s="5">
        <v>14</v>
      </c>
    </row>
    <row r="112" spans="1:5" x14ac:dyDescent="0.25">
      <c r="A112" s="12"/>
      <c r="B112" s="4"/>
      <c r="C112" s="4"/>
      <c r="D112" s="4" t="s">
        <v>282</v>
      </c>
      <c r="E112" s="5">
        <v>13</v>
      </c>
    </row>
    <row r="113" spans="1:5" x14ac:dyDescent="0.25">
      <c r="A113" s="12"/>
      <c r="B113" s="4"/>
      <c r="C113" s="4"/>
      <c r="D113" s="4" t="s">
        <v>283</v>
      </c>
      <c r="E113" s="5">
        <v>14</v>
      </c>
    </row>
    <row r="114" spans="1:5" x14ac:dyDescent="0.25">
      <c r="A114" s="12"/>
      <c r="B114" s="4"/>
      <c r="C114" s="4"/>
      <c r="D114" s="4" t="s">
        <v>284</v>
      </c>
      <c r="E114" s="5">
        <v>12</v>
      </c>
    </row>
    <row r="115" spans="1:5" x14ac:dyDescent="0.25">
      <c r="A115" s="12"/>
      <c r="B115" s="4"/>
      <c r="C115" s="4"/>
      <c r="D115" s="4" t="s">
        <v>270</v>
      </c>
      <c r="E115" s="5">
        <v>1</v>
      </c>
    </row>
    <row r="116" spans="1:5" x14ac:dyDescent="0.25">
      <c r="A116" s="12"/>
      <c r="B116" s="4"/>
      <c r="C116" s="4"/>
      <c r="D116" s="4" t="s">
        <v>271</v>
      </c>
      <c r="E116" s="5">
        <v>1</v>
      </c>
    </row>
    <row r="117" spans="1:5" x14ac:dyDescent="0.25">
      <c r="A117" s="12"/>
      <c r="B117" s="4"/>
      <c r="C117" s="4"/>
      <c r="D117" s="4" t="s">
        <v>272</v>
      </c>
      <c r="E117" s="5">
        <v>2</v>
      </c>
    </row>
    <row r="118" spans="1:5" ht="105" customHeight="1" x14ac:dyDescent="0.25">
      <c r="A118" s="12"/>
      <c r="B118" s="4"/>
      <c r="C118" s="4" t="s">
        <v>170</v>
      </c>
      <c r="D118" s="4" t="s">
        <v>277</v>
      </c>
      <c r="E118" s="5">
        <v>5</v>
      </c>
    </row>
    <row r="119" spans="1:5" x14ac:dyDescent="0.25">
      <c r="A119" s="12"/>
      <c r="B119" s="4"/>
      <c r="C119" s="4"/>
      <c r="D119" s="4" t="s">
        <v>278</v>
      </c>
      <c r="E119" s="5">
        <v>3</v>
      </c>
    </row>
    <row r="120" spans="1:5" x14ac:dyDescent="0.25">
      <c r="A120" s="12"/>
      <c r="B120" s="4"/>
      <c r="C120" s="4"/>
      <c r="D120" s="4" t="s">
        <v>279</v>
      </c>
      <c r="E120" s="5">
        <v>5</v>
      </c>
    </row>
    <row r="121" spans="1:5" x14ac:dyDescent="0.25">
      <c r="A121" s="12"/>
      <c r="B121" s="4"/>
      <c r="C121" s="4"/>
      <c r="D121" s="4" t="s">
        <v>280</v>
      </c>
      <c r="E121" s="5">
        <v>6</v>
      </c>
    </row>
    <row r="122" spans="1:5" x14ac:dyDescent="0.25">
      <c r="A122" s="12"/>
      <c r="B122" s="4"/>
      <c r="C122" s="4"/>
      <c r="D122" s="4" t="s">
        <v>281</v>
      </c>
      <c r="E122" s="5">
        <v>5</v>
      </c>
    </row>
    <row r="123" spans="1:5" x14ac:dyDescent="0.25">
      <c r="A123" s="12"/>
      <c r="B123" s="4"/>
      <c r="C123" s="4"/>
      <c r="D123" s="4" t="s">
        <v>282</v>
      </c>
      <c r="E123" s="5">
        <v>6</v>
      </c>
    </row>
    <row r="124" spans="1:5" x14ac:dyDescent="0.25">
      <c r="A124" s="12"/>
      <c r="B124" s="4"/>
      <c r="C124" s="4"/>
      <c r="D124" s="4" t="s">
        <v>283</v>
      </c>
      <c r="E124" s="5">
        <v>3</v>
      </c>
    </row>
    <row r="125" spans="1:5" x14ac:dyDescent="0.25">
      <c r="A125" s="12"/>
      <c r="B125" s="4"/>
      <c r="C125" s="4"/>
      <c r="D125" s="4" t="s">
        <v>284</v>
      </c>
      <c r="E125" s="5">
        <v>2</v>
      </c>
    </row>
    <row r="126" spans="1:5" x14ac:dyDescent="0.25">
      <c r="A126" s="12"/>
      <c r="B126" s="4"/>
      <c r="C126" s="4"/>
      <c r="D126" s="4" t="s">
        <v>270</v>
      </c>
      <c r="E126" s="5">
        <v>1</v>
      </c>
    </row>
    <row r="127" spans="1:5" x14ac:dyDescent="0.25">
      <c r="A127" s="12"/>
      <c r="B127" s="4"/>
      <c r="C127" s="4"/>
      <c r="D127" s="4" t="s">
        <v>271</v>
      </c>
      <c r="E127" s="5">
        <v>1</v>
      </c>
    </row>
    <row r="128" spans="1:5" x14ac:dyDescent="0.25">
      <c r="A128" s="12"/>
      <c r="B128" s="4"/>
      <c r="C128" s="4"/>
      <c r="D128" s="4" t="s">
        <v>274</v>
      </c>
      <c r="E128" s="5">
        <v>1</v>
      </c>
    </row>
    <row r="129" spans="1:5" ht="105" customHeight="1" x14ac:dyDescent="0.25">
      <c r="A129" s="12"/>
      <c r="B129" s="4"/>
      <c r="C129" s="4" t="s">
        <v>171</v>
      </c>
      <c r="D129" s="4" t="s">
        <v>277</v>
      </c>
      <c r="E129" s="5">
        <v>7</v>
      </c>
    </row>
    <row r="130" spans="1:5" x14ac:dyDescent="0.25">
      <c r="A130" s="12"/>
      <c r="B130" s="4"/>
      <c r="C130" s="4"/>
      <c r="D130" s="4" t="s">
        <v>278</v>
      </c>
      <c r="E130" s="5">
        <v>7</v>
      </c>
    </row>
    <row r="131" spans="1:5" x14ac:dyDescent="0.25">
      <c r="A131" s="12"/>
      <c r="B131" s="4"/>
      <c r="C131" s="4"/>
      <c r="D131" s="4" t="s">
        <v>279</v>
      </c>
      <c r="E131" s="5">
        <v>6</v>
      </c>
    </row>
    <row r="132" spans="1:5" x14ac:dyDescent="0.25">
      <c r="A132" s="12"/>
      <c r="B132" s="4"/>
      <c r="C132" s="4"/>
      <c r="D132" s="4" t="s">
        <v>280</v>
      </c>
      <c r="E132" s="5">
        <v>7</v>
      </c>
    </row>
    <row r="133" spans="1:5" x14ac:dyDescent="0.25">
      <c r="A133" s="12"/>
      <c r="B133" s="4"/>
      <c r="C133" s="4"/>
      <c r="D133" s="4" t="s">
        <v>281</v>
      </c>
      <c r="E133" s="5">
        <v>6</v>
      </c>
    </row>
    <row r="134" spans="1:5" x14ac:dyDescent="0.25">
      <c r="A134" s="12"/>
      <c r="B134" s="4"/>
      <c r="C134" s="4"/>
      <c r="D134" s="4" t="s">
        <v>282</v>
      </c>
      <c r="E134" s="5">
        <v>5</v>
      </c>
    </row>
    <row r="135" spans="1:5" x14ac:dyDescent="0.25">
      <c r="A135" s="12"/>
      <c r="B135" s="4"/>
      <c r="C135" s="4"/>
      <c r="D135" s="4" t="s">
        <v>283</v>
      </c>
      <c r="E135" s="5">
        <v>6</v>
      </c>
    </row>
    <row r="136" spans="1:5" x14ac:dyDescent="0.25">
      <c r="A136" s="12"/>
      <c r="B136" s="4"/>
      <c r="C136" s="4"/>
      <c r="D136" s="4" t="s">
        <v>284</v>
      </c>
      <c r="E136" s="5">
        <v>6</v>
      </c>
    </row>
    <row r="137" spans="1:5" x14ac:dyDescent="0.25">
      <c r="A137" s="12"/>
      <c r="B137" s="4"/>
      <c r="C137" s="4"/>
      <c r="D137" s="4" t="s">
        <v>270</v>
      </c>
      <c r="E137" s="5">
        <v>5</v>
      </c>
    </row>
    <row r="138" spans="1:5" x14ac:dyDescent="0.25">
      <c r="A138" s="12"/>
      <c r="B138" s="4"/>
      <c r="C138" s="4"/>
      <c r="D138" s="4" t="s">
        <v>271</v>
      </c>
      <c r="E138" s="5">
        <v>3</v>
      </c>
    </row>
    <row r="139" spans="1:5" x14ac:dyDescent="0.25">
      <c r="A139" s="12"/>
      <c r="B139" s="4"/>
      <c r="C139" s="4"/>
      <c r="D139" s="4" t="s">
        <v>272</v>
      </c>
      <c r="E139" s="5">
        <v>3</v>
      </c>
    </row>
    <row r="140" spans="1:5" x14ac:dyDescent="0.25">
      <c r="A140" s="12"/>
      <c r="B140" s="4" t="s">
        <v>172</v>
      </c>
      <c r="C140" s="4"/>
      <c r="D140" s="4"/>
      <c r="E140" s="5">
        <v>211</v>
      </c>
    </row>
    <row r="141" spans="1:5" ht="141" customHeight="1" x14ac:dyDescent="0.25">
      <c r="A141" s="12"/>
      <c r="B141" s="4" t="s">
        <v>79</v>
      </c>
      <c r="C141" s="4" t="s">
        <v>159</v>
      </c>
      <c r="D141" s="4" t="s">
        <v>278</v>
      </c>
      <c r="E141" s="5">
        <v>1</v>
      </c>
    </row>
    <row r="142" spans="1:5" x14ac:dyDescent="0.25">
      <c r="A142" s="12"/>
      <c r="B142" s="4"/>
      <c r="C142" s="4"/>
      <c r="D142" s="4" t="s">
        <v>279</v>
      </c>
      <c r="E142" s="5">
        <v>1</v>
      </c>
    </row>
    <row r="143" spans="1:5" x14ac:dyDescent="0.25">
      <c r="A143" s="12"/>
      <c r="B143" s="4"/>
      <c r="C143" s="4"/>
      <c r="D143" s="4" t="s">
        <v>280</v>
      </c>
      <c r="E143" s="5">
        <v>1</v>
      </c>
    </row>
    <row r="144" spans="1:5" ht="109.5" customHeight="1" x14ac:dyDescent="0.25">
      <c r="A144" s="12"/>
      <c r="B144" s="4"/>
      <c r="C144" s="4" t="s">
        <v>161</v>
      </c>
      <c r="D144" s="4" t="s">
        <v>283</v>
      </c>
      <c r="E144" s="5">
        <v>1</v>
      </c>
    </row>
    <row r="145" spans="1:5" x14ac:dyDescent="0.25">
      <c r="A145" s="12"/>
      <c r="B145" s="4" t="s">
        <v>173</v>
      </c>
      <c r="C145" s="4"/>
      <c r="D145" s="4"/>
      <c r="E145" s="5">
        <v>4</v>
      </c>
    </row>
    <row r="146" spans="1:5" ht="108.95" customHeight="1" x14ac:dyDescent="0.25">
      <c r="A146" s="12"/>
      <c r="B146" s="4" t="s">
        <v>80</v>
      </c>
      <c r="C146" s="4" t="s">
        <v>159</v>
      </c>
      <c r="D146" s="4" t="s">
        <v>285</v>
      </c>
      <c r="E146" s="5">
        <v>12</v>
      </c>
    </row>
    <row r="147" spans="1:5" x14ac:dyDescent="0.25">
      <c r="A147" s="12"/>
      <c r="B147" s="4" t="s">
        <v>174</v>
      </c>
      <c r="C147" s="4"/>
      <c r="D147" s="4"/>
      <c r="E147" s="5">
        <v>12</v>
      </c>
    </row>
    <row r="148" spans="1:5" ht="108.95" customHeight="1" x14ac:dyDescent="0.25">
      <c r="A148" s="12"/>
      <c r="B148" s="4" t="s">
        <v>81</v>
      </c>
      <c r="C148" s="4" t="s">
        <v>175</v>
      </c>
      <c r="D148" s="4" t="s">
        <v>286</v>
      </c>
      <c r="E148" s="5">
        <v>1</v>
      </c>
    </row>
    <row r="149" spans="1:5" x14ac:dyDescent="0.25">
      <c r="A149" s="12"/>
      <c r="B149" s="4" t="s">
        <v>176</v>
      </c>
      <c r="C149" s="4"/>
      <c r="D149" s="4"/>
      <c r="E149" s="5">
        <v>1</v>
      </c>
    </row>
    <row r="150" spans="1:5" x14ac:dyDescent="0.25">
      <c r="A150" s="12"/>
      <c r="B150" s="4" t="s">
        <v>82</v>
      </c>
      <c r="C150" s="4" t="s">
        <v>161</v>
      </c>
      <c r="D150" s="4" t="s">
        <v>287</v>
      </c>
      <c r="E150" s="5">
        <v>24</v>
      </c>
    </row>
    <row r="151" spans="1:5" x14ac:dyDescent="0.25">
      <c r="A151" s="12"/>
      <c r="B151" s="4"/>
      <c r="C151" s="4"/>
      <c r="D151" s="4" t="s">
        <v>269</v>
      </c>
      <c r="E151" s="5">
        <v>12</v>
      </c>
    </row>
    <row r="152" spans="1:5" x14ac:dyDescent="0.25">
      <c r="A152" s="12"/>
      <c r="B152" s="4" t="s">
        <v>177</v>
      </c>
      <c r="C152" s="4"/>
      <c r="D152" s="4"/>
      <c r="E152" s="5">
        <v>36</v>
      </c>
    </row>
    <row r="153" spans="1:5" ht="108.95" customHeight="1" x14ac:dyDescent="0.25">
      <c r="A153" s="12"/>
      <c r="B153" s="4" t="s">
        <v>83</v>
      </c>
      <c r="C153" s="4" t="s">
        <v>170</v>
      </c>
      <c r="D153" s="4" t="s">
        <v>270</v>
      </c>
      <c r="E153" s="5">
        <v>2</v>
      </c>
    </row>
    <row r="154" spans="1:5" x14ac:dyDescent="0.25">
      <c r="A154" s="12"/>
      <c r="B154" s="4"/>
      <c r="C154" s="4"/>
      <c r="D154" s="4" t="s">
        <v>271</v>
      </c>
      <c r="E154" s="5">
        <v>1</v>
      </c>
    </row>
    <row r="155" spans="1:5" x14ac:dyDescent="0.25">
      <c r="A155" s="12"/>
      <c r="B155" s="4"/>
      <c r="C155" s="4" t="s">
        <v>161</v>
      </c>
      <c r="D155" s="4" t="s">
        <v>273</v>
      </c>
      <c r="E155" s="5">
        <v>12</v>
      </c>
    </row>
    <row r="156" spans="1:5" ht="108.95" customHeight="1" x14ac:dyDescent="0.25">
      <c r="A156" s="12"/>
      <c r="B156" s="4" t="s">
        <v>178</v>
      </c>
      <c r="C156" s="4"/>
      <c r="D156" s="4"/>
      <c r="E156" s="5">
        <v>15</v>
      </c>
    </row>
    <row r="157" spans="1:5" ht="108.95" customHeight="1" x14ac:dyDescent="0.25">
      <c r="A157" s="12"/>
      <c r="B157" s="4" t="s">
        <v>84</v>
      </c>
      <c r="C157" s="4" t="s">
        <v>179</v>
      </c>
      <c r="D157" s="4" t="s">
        <v>275</v>
      </c>
      <c r="E157" s="5">
        <v>2</v>
      </c>
    </row>
    <row r="158" spans="1:5" x14ac:dyDescent="0.25">
      <c r="A158" s="12"/>
      <c r="B158" s="4"/>
      <c r="C158" s="4"/>
      <c r="D158" s="4" t="s">
        <v>276</v>
      </c>
      <c r="E158" s="5">
        <v>1</v>
      </c>
    </row>
    <row r="159" spans="1:5" x14ac:dyDescent="0.25">
      <c r="A159" s="12"/>
      <c r="B159" s="4"/>
      <c r="C159" s="4"/>
      <c r="D159" s="4" t="s">
        <v>273</v>
      </c>
      <c r="E159" s="5">
        <v>24</v>
      </c>
    </row>
    <row r="160" spans="1:5" x14ac:dyDescent="0.25">
      <c r="A160" s="12"/>
      <c r="B160" s="4" t="s">
        <v>180</v>
      </c>
      <c r="C160" s="4"/>
      <c r="D160" s="4"/>
      <c r="E160" s="5">
        <v>27</v>
      </c>
    </row>
    <row r="161" spans="1:5" ht="105" customHeight="1" x14ac:dyDescent="0.25">
      <c r="A161" s="12"/>
      <c r="B161" s="4" t="s">
        <v>85</v>
      </c>
      <c r="C161" s="4" t="s">
        <v>181</v>
      </c>
      <c r="D161" s="4" t="s">
        <v>274</v>
      </c>
      <c r="E161" s="5">
        <v>1</v>
      </c>
    </row>
    <row r="162" spans="1:5" x14ac:dyDescent="0.25">
      <c r="A162" s="12"/>
      <c r="B162" s="4"/>
      <c r="C162" s="4"/>
      <c r="D162" s="4" t="s">
        <v>288</v>
      </c>
      <c r="E162" s="5">
        <v>24</v>
      </c>
    </row>
    <row r="163" spans="1:5" x14ac:dyDescent="0.25">
      <c r="A163" s="12"/>
      <c r="B163" s="4"/>
      <c r="C163" s="4" t="s">
        <v>182</v>
      </c>
      <c r="D163" s="4" t="s">
        <v>271</v>
      </c>
      <c r="E163" s="5">
        <v>2</v>
      </c>
    </row>
    <row r="164" spans="1:5" ht="15" customHeight="1" x14ac:dyDescent="0.25">
      <c r="A164" s="12"/>
      <c r="B164" s="4"/>
      <c r="C164" s="4"/>
      <c r="D164" s="4" t="s">
        <v>275</v>
      </c>
      <c r="E164" s="5">
        <v>4</v>
      </c>
    </row>
    <row r="165" spans="1:5" ht="105" customHeight="1" x14ac:dyDescent="0.25">
      <c r="A165" s="12"/>
      <c r="B165" s="4"/>
      <c r="C165" s="4" t="s">
        <v>170</v>
      </c>
      <c r="D165" s="4" t="s">
        <v>274</v>
      </c>
      <c r="E165" s="5">
        <v>2</v>
      </c>
    </row>
    <row r="166" spans="1:5" x14ac:dyDescent="0.25">
      <c r="A166" s="12"/>
      <c r="B166" s="4" t="s">
        <v>183</v>
      </c>
      <c r="C166" s="4"/>
      <c r="D166" s="4"/>
      <c r="E166" s="5">
        <v>33</v>
      </c>
    </row>
    <row r="167" spans="1:5" ht="105" customHeight="1" x14ac:dyDescent="0.25">
      <c r="A167" s="12"/>
      <c r="B167" s="4" t="s">
        <v>86</v>
      </c>
      <c r="C167" s="4" t="s">
        <v>161</v>
      </c>
      <c r="D167" s="4" t="s">
        <v>287</v>
      </c>
      <c r="E167" s="5">
        <v>8</v>
      </c>
    </row>
    <row r="168" spans="1:5" x14ac:dyDescent="0.25">
      <c r="A168" s="12"/>
      <c r="B168" s="4" t="s">
        <v>184</v>
      </c>
      <c r="C168" s="4"/>
      <c r="D168" s="4"/>
      <c r="E168" s="5">
        <v>8</v>
      </c>
    </row>
    <row r="169" spans="1:5" ht="105" customHeight="1" x14ac:dyDescent="0.25">
      <c r="A169" s="12"/>
      <c r="B169" s="4" t="s">
        <v>87</v>
      </c>
      <c r="C169" s="4" t="s">
        <v>185</v>
      </c>
      <c r="D169" s="4" t="s">
        <v>287</v>
      </c>
      <c r="E169" s="5">
        <v>8</v>
      </c>
    </row>
    <row r="170" spans="1:5" x14ac:dyDescent="0.25">
      <c r="A170" s="12"/>
      <c r="B170" s="4" t="s">
        <v>186</v>
      </c>
      <c r="C170" s="4"/>
      <c r="D170" s="4"/>
      <c r="E170" s="5">
        <v>8</v>
      </c>
    </row>
    <row r="171" spans="1:5" ht="15" customHeight="1" x14ac:dyDescent="0.25">
      <c r="A171" s="12"/>
      <c r="B171" s="4" t="s">
        <v>88</v>
      </c>
      <c r="C171" s="4" t="s">
        <v>187</v>
      </c>
      <c r="D171" s="4" t="s">
        <v>273</v>
      </c>
      <c r="E171" s="5">
        <v>48</v>
      </c>
    </row>
    <row r="172" spans="1:5" x14ac:dyDescent="0.25">
      <c r="A172" s="12"/>
      <c r="B172" s="4" t="s">
        <v>188</v>
      </c>
      <c r="C172" s="4"/>
      <c r="D172" s="4"/>
      <c r="E172" s="5">
        <v>48</v>
      </c>
    </row>
    <row r="173" spans="1:5" ht="105" customHeight="1" x14ac:dyDescent="0.25">
      <c r="A173" s="12"/>
      <c r="B173" s="4" t="s">
        <v>89</v>
      </c>
      <c r="C173" s="4" t="s">
        <v>187</v>
      </c>
      <c r="D173" s="4" t="s">
        <v>273</v>
      </c>
      <c r="E173" s="5">
        <v>24</v>
      </c>
    </row>
    <row r="174" spans="1:5" x14ac:dyDescent="0.25">
      <c r="A174" s="12"/>
      <c r="B174" s="4"/>
      <c r="C174" s="4"/>
      <c r="D174" s="4" t="s">
        <v>289</v>
      </c>
      <c r="E174" s="5">
        <v>160</v>
      </c>
    </row>
    <row r="175" spans="1:5" x14ac:dyDescent="0.25">
      <c r="A175" s="12"/>
      <c r="B175" s="4" t="s">
        <v>189</v>
      </c>
      <c r="C175" s="4"/>
      <c r="D175" s="4"/>
      <c r="E175" s="5">
        <v>184</v>
      </c>
    </row>
    <row r="176" spans="1:5" x14ac:dyDescent="0.25">
      <c r="A176" s="12"/>
      <c r="B176" s="4" t="s">
        <v>90</v>
      </c>
      <c r="C176" s="4" t="s">
        <v>179</v>
      </c>
      <c r="D176" s="4" t="s">
        <v>288</v>
      </c>
      <c r="E176" s="5">
        <v>16</v>
      </c>
    </row>
    <row r="177" spans="1:5" x14ac:dyDescent="0.25">
      <c r="A177" s="12"/>
      <c r="B177" s="4"/>
      <c r="C177" s="4" t="s">
        <v>190</v>
      </c>
      <c r="D177" s="4" t="s">
        <v>270</v>
      </c>
      <c r="E177" s="5">
        <v>5</v>
      </c>
    </row>
    <row r="178" spans="1:5" x14ac:dyDescent="0.25">
      <c r="A178" s="12"/>
      <c r="B178" s="4"/>
      <c r="C178" s="4"/>
      <c r="D178" s="4" t="s">
        <v>271</v>
      </c>
      <c r="E178" s="5">
        <v>4</v>
      </c>
    </row>
    <row r="179" spans="1:5" x14ac:dyDescent="0.25">
      <c r="A179" s="12"/>
      <c r="B179" s="4"/>
      <c r="C179" s="4"/>
      <c r="D179" s="4" t="s">
        <v>272</v>
      </c>
      <c r="E179" s="5">
        <v>5</v>
      </c>
    </row>
    <row r="180" spans="1:5" x14ac:dyDescent="0.25">
      <c r="A180" s="12"/>
      <c r="B180" s="4"/>
      <c r="C180" s="4"/>
      <c r="D180" s="4" t="s">
        <v>274</v>
      </c>
      <c r="E180" s="5">
        <v>6</v>
      </c>
    </row>
    <row r="181" spans="1:5" x14ac:dyDescent="0.25">
      <c r="A181" s="12"/>
      <c r="B181" s="4" t="s">
        <v>191</v>
      </c>
      <c r="C181" s="4"/>
      <c r="D181" s="4"/>
      <c r="E181" s="5">
        <v>36</v>
      </c>
    </row>
    <row r="182" spans="1:5" ht="105" customHeight="1" x14ac:dyDescent="0.25">
      <c r="A182" s="12"/>
      <c r="B182" s="4" t="s">
        <v>91</v>
      </c>
      <c r="C182" s="4" t="s">
        <v>158</v>
      </c>
      <c r="D182" s="4" t="s">
        <v>274</v>
      </c>
      <c r="E182" s="5">
        <v>1</v>
      </c>
    </row>
    <row r="183" spans="1:5" x14ac:dyDescent="0.25">
      <c r="A183" s="12"/>
      <c r="B183" s="4"/>
      <c r="C183" s="4"/>
      <c r="D183" s="4" t="s">
        <v>288</v>
      </c>
      <c r="E183" s="5">
        <v>24</v>
      </c>
    </row>
    <row r="184" spans="1:5" x14ac:dyDescent="0.25">
      <c r="A184" s="12"/>
      <c r="B184" s="4"/>
      <c r="C184" s="4"/>
      <c r="D184" s="4" t="s">
        <v>268</v>
      </c>
      <c r="E184" s="5">
        <v>24</v>
      </c>
    </row>
    <row r="185" spans="1:5" x14ac:dyDescent="0.25">
      <c r="A185" s="12"/>
      <c r="B185" s="4"/>
      <c r="C185" s="4" t="s">
        <v>181</v>
      </c>
      <c r="D185" s="4" t="s">
        <v>288</v>
      </c>
      <c r="E185" s="5">
        <v>8</v>
      </c>
    </row>
    <row r="186" spans="1:5" x14ac:dyDescent="0.25">
      <c r="A186" s="12"/>
      <c r="B186" s="4" t="s">
        <v>192</v>
      </c>
      <c r="C186" s="4"/>
      <c r="D186" s="4"/>
      <c r="E186" s="5">
        <v>57</v>
      </c>
    </row>
    <row r="187" spans="1:5" x14ac:dyDescent="0.25">
      <c r="A187" s="12"/>
      <c r="B187" s="4" t="s">
        <v>92</v>
      </c>
      <c r="C187" s="4" t="s">
        <v>159</v>
      </c>
      <c r="D187" s="4" t="s">
        <v>273</v>
      </c>
      <c r="E187" s="5">
        <v>36</v>
      </c>
    </row>
    <row r="188" spans="1:5" x14ac:dyDescent="0.25">
      <c r="A188" s="12"/>
      <c r="B188" s="4"/>
      <c r="C188" s="4" t="s">
        <v>153</v>
      </c>
      <c r="D188" s="4" t="s">
        <v>273</v>
      </c>
      <c r="E188" s="5">
        <v>36</v>
      </c>
    </row>
    <row r="189" spans="1:5" x14ac:dyDescent="0.25">
      <c r="A189" s="12"/>
      <c r="B189" s="4" t="s">
        <v>193</v>
      </c>
      <c r="C189" s="4"/>
      <c r="D189" s="4"/>
      <c r="E189" s="5">
        <v>72</v>
      </c>
    </row>
    <row r="190" spans="1:5" ht="105" customHeight="1" x14ac:dyDescent="0.25">
      <c r="A190" s="12"/>
      <c r="B190" s="4" t="s">
        <v>93</v>
      </c>
      <c r="C190" s="4" t="s">
        <v>161</v>
      </c>
      <c r="D190" s="4" t="s">
        <v>275</v>
      </c>
      <c r="E190" s="5">
        <v>1</v>
      </c>
    </row>
    <row r="191" spans="1:5" x14ac:dyDescent="0.25">
      <c r="A191" s="12"/>
      <c r="B191" s="4"/>
      <c r="C191" s="4"/>
      <c r="D191" s="4" t="s">
        <v>276</v>
      </c>
      <c r="E191" s="5">
        <v>1</v>
      </c>
    </row>
    <row r="192" spans="1:5" x14ac:dyDescent="0.25">
      <c r="A192" s="12"/>
      <c r="B192" s="4"/>
      <c r="C192" s="4"/>
      <c r="D192" s="4" t="s">
        <v>290</v>
      </c>
      <c r="E192" s="5">
        <v>1</v>
      </c>
    </row>
    <row r="193" spans="1:5" x14ac:dyDescent="0.25">
      <c r="A193" s="12"/>
      <c r="B193" s="4"/>
      <c r="C193" s="4"/>
      <c r="D193" s="4" t="s">
        <v>286</v>
      </c>
      <c r="E193" s="5">
        <v>3</v>
      </c>
    </row>
    <row r="194" spans="1:5" x14ac:dyDescent="0.25">
      <c r="A194" s="12"/>
      <c r="B194" s="4"/>
      <c r="C194" s="4"/>
      <c r="D194" s="4" t="s">
        <v>291</v>
      </c>
      <c r="E194" s="5">
        <v>3</v>
      </c>
    </row>
    <row r="195" spans="1:5" x14ac:dyDescent="0.25">
      <c r="A195" s="12"/>
      <c r="B195" s="4"/>
      <c r="C195" s="4"/>
      <c r="D195" s="4" t="s">
        <v>292</v>
      </c>
      <c r="E195" s="5">
        <v>1</v>
      </c>
    </row>
    <row r="196" spans="1:5" x14ac:dyDescent="0.25">
      <c r="A196" s="12"/>
      <c r="B196" s="4" t="s">
        <v>194</v>
      </c>
      <c r="C196" s="4"/>
      <c r="D196" s="4"/>
      <c r="E196" s="5">
        <v>10</v>
      </c>
    </row>
    <row r="197" spans="1:5" x14ac:dyDescent="0.25">
      <c r="A197" s="12"/>
      <c r="B197" s="4" t="s">
        <v>94</v>
      </c>
      <c r="C197" s="4" t="s">
        <v>159</v>
      </c>
      <c r="D197" s="4" t="s">
        <v>276</v>
      </c>
      <c r="E197" s="5">
        <v>1</v>
      </c>
    </row>
    <row r="198" spans="1:5" x14ac:dyDescent="0.25">
      <c r="A198" s="12"/>
      <c r="B198" s="4"/>
      <c r="C198" s="4"/>
      <c r="D198" s="4" t="s">
        <v>290</v>
      </c>
      <c r="E198" s="5">
        <v>1</v>
      </c>
    </row>
    <row r="199" spans="1:5" x14ac:dyDescent="0.25">
      <c r="A199" s="12"/>
      <c r="B199" s="4"/>
      <c r="C199" s="4"/>
      <c r="D199" s="4" t="s">
        <v>286</v>
      </c>
      <c r="E199" s="5">
        <v>1</v>
      </c>
    </row>
    <row r="200" spans="1:5" x14ac:dyDescent="0.25">
      <c r="A200" s="12"/>
      <c r="B200" s="4"/>
      <c r="C200" s="4"/>
      <c r="D200" s="4" t="s">
        <v>291</v>
      </c>
      <c r="E200" s="5">
        <v>2</v>
      </c>
    </row>
    <row r="201" spans="1:5" x14ac:dyDescent="0.25">
      <c r="A201" s="12"/>
      <c r="B201" s="4"/>
      <c r="C201" s="4"/>
      <c r="D201" s="4" t="s">
        <v>292</v>
      </c>
      <c r="E201" s="5">
        <v>2</v>
      </c>
    </row>
    <row r="202" spans="1:5" x14ac:dyDescent="0.25">
      <c r="A202" s="12"/>
      <c r="B202" s="4" t="s">
        <v>195</v>
      </c>
      <c r="C202" s="4"/>
      <c r="D202" s="4"/>
      <c r="E202" s="5">
        <v>7</v>
      </c>
    </row>
    <row r="203" spans="1:5" x14ac:dyDescent="0.25">
      <c r="A203" s="12"/>
      <c r="B203" s="4" t="s">
        <v>95</v>
      </c>
      <c r="C203" s="4" t="s">
        <v>196</v>
      </c>
      <c r="D203" s="4" t="s">
        <v>268</v>
      </c>
      <c r="E203" s="5">
        <v>12</v>
      </c>
    </row>
    <row r="204" spans="1:5" x14ac:dyDescent="0.25">
      <c r="A204" s="12"/>
      <c r="B204" s="4" t="s">
        <v>197</v>
      </c>
      <c r="C204" s="4"/>
      <c r="D204" s="4"/>
      <c r="E204" s="5">
        <v>12</v>
      </c>
    </row>
    <row r="205" spans="1:5" x14ac:dyDescent="0.25">
      <c r="A205" s="12"/>
      <c r="B205" s="4" t="s">
        <v>96</v>
      </c>
      <c r="C205" s="4" t="s">
        <v>196</v>
      </c>
      <c r="D205" s="4" t="s">
        <v>284</v>
      </c>
      <c r="E205" s="5">
        <v>1</v>
      </c>
    </row>
    <row r="206" spans="1:5" x14ac:dyDescent="0.25">
      <c r="A206" s="12"/>
      <c r="B206" s="4"/>
      <c r="C206" s="4"/>
      <c r="D206" s="4" t="s">
        <v>270</v>
      </c>
      <c r="E206" s="5">
        <v>2</v>
      </c>
    </row>
    <row r="207" spans="1:5" x14ac:dyDescent="0.25">
      <c r="A207" s="12"/>
      <c r="B207" s="4"/>
      <c r="C207" s="4"/>
      <c r="D207" s="4" t="s">
        <v>271</v>
      </c>
      <c r="E207" s="5">
        <v>3</v>
      </c>
    </row>
    <row r="208" spans="1:5" x14ac:dyDescent="0.25">
      <c r="A208" s="12"/>
      <c r="B208" s="4"/>
      <c r="C208" s="4"/>
      <c r="D208" s="4" t="s">
        <v>272</v>
      </c>
      <c r="E208" s="5">
        <v>3</v>
      </c>
    </row>
    <row r="209" spans="1:5" x14ac:dyDescent="0.25">
      <c r="A209" s="12"/>
      <c r="B209" s="4"/>
      <c r="C209" s="4" t="s">
        <v>179</v>
      </c>
      <c r="D209" s="4" t="s">
        <v>268</v>
      </c>
      <c r="E209" s="5">
        <v>24</v>
      </c>
    </row>
    <row r="210" spans="1:5" x14ac:dyDescent="0.25">
      <c r="A210" s="12"/>
      <c r="B210" s="4" t="s">
        <v>198</v>
      </c>
      <c r="C210" s="4"/>
      <c r="D210" s="4"/>
      <c r="E210" s="5">
        <v>33</v>
      </c>
    </row>
    <row r="211" spans="1:5" x14ac:dyDescent="0.25">
      <c r="A211" s="12"/>
      <c r="B211" s="4" t="s">
        <v>97</v>
      </c>
      <c r="C211" s="4" t="s">
        <v>196</v>
      </c>
      <c r="D211" s="4" t="s">
        <v>284</v>
      </c>
      <c r="E211" s="5">
        <v>1</v>
      </c>
    </row>
    <row r="212" spans="1:5" x14ac:dyDescent="0.25">
      <c r="A212" s="12"/>
      <c r="B212" s="4"/>
      <c r="C212" s="4"/>
      <c r="D212" s="4" t="s">
        <v>270</v>
      </c>
      <c r="E212" s="5">
        <v>2</v>
      </c>
    </row>
    <row r="213" spans="1:5" x14ac:dyDescent="0.25">
      <c r="A213" s="12"/>
      <c r="B213" s="4"/>
      <c r="C213" s="4"/>
      <c r="D213" s="4" t="s">
        <v>271</v>
      </c>
      <c r="E213" s="5">
        <v>3</v>
      </c>
    </row>
    <row r="214" spans="1:5" x14ac:dyDescent="0.25">
      <c r="A214" s="12"/>
      <c r="B214" s="4"/>
      <c r="C214" s="4"/>
      <c r="D214" s="4" t="s">
        <v>272</v>
      </c>
      <c r="E214" s="5">
        <v>2</v>
      </c>
    </row>
    <row r="215" spans="1:5" x14ac:dyDescent="0.25">
      <c r="A215" s="12"/>
      <c r="B215" s="4"/>
      <c r="C215" s="4"/>
      <c r="D215" s="4" t="s">
        <v>274</v>
      </c>
      <c r="E215" s="5">
        <v>2</v>
      </c>
    </row>
    <row r="216" spans="1:5" x14ac:dyDescent="0.25">
      <c r="A216" s="12"/>
      <c r="B216" s="4"/>
      <c r="C216" s="4"/>
      <c r="D216" s="4" t="s">
        <v>275</v>
      </c>
      <c r="E216" s="5">
        <v>1</v>
      </c>
    </row>
    <row r="217" spans="1:5" x14ac:dyDescent="0.25">
      <c r="A217" s="12"/>
      <c r="B217" s="4"/>
      <c r="C217" s="4" t="s">
        <v>179</v>
      </c>
      <c r="D217" s="4" t="s">
        <v>288</v>
      </c>
      <c r="E217" s="5">
        <v>24</v>
      </c>
    </row>
    <row r="218" spans="1:5" x14ac:dyDescent="0.25">
      <c r="A218" s="12"/>
      <c r="B218" s="4" t="s">
        <v>199</v>
      </c>
      <c r="C218" s="4"/>
      <c r="D218" s="4"/>
      <c r="E218" s="5">
        <v>35</v>
      </c>
    </row>
    <row r="219" spans="1:5" x14ac:dyDescent="0.25">
      <c r="A219" s="12"/>
      <c r="B219" s="4" t="s">
        <v>98</v>
      </c>
      <c r="C219" s="4" t="s">
        <v>161</v>
      </c>
      <c r="D219" s="4" t="s">
        <v>268</v>
      </c>
      <c r="E219" s="5">
        <v>36</v>
      </c>
    </row>
    <row r="220" spans="1:5" x14ac:dyDescent="0.25">
      <c r="A220" s="12"/>
      <c r="B220" s="4" t="s">
        <v>200</v>
      </c>
      <c r="C220" s="4"/>
      <c r="D220" s="4"/>
      <c r="E220" s="5">
        <v>36</v>
      </c>
    </row>
    <row r="221" spans="1:5" x14ac:dyDescent="0.25">
      <c r="A221" s="12"/>
      <c r="B221" s="4" t="s">
        <v>99</v>
      </c>
      <c r="C221" s="4" t="s">
        <v>185</v>
      </c>
      <c r="D221" s="4" t="s">
        <v>273</v>
      </c>
      <c r="E221" s="5">
        <v>24</v>
      </c>
    </row>
    <row r="222" spans="1:5" x14ac:dyDescent="0.25">
      <c r="A222" s="12"/>
      <c r="B222" s="4"/>
      <c r="C222" s="4" t="s">
        <v>167</v>
      </c>
      <c r="D222" s="4" t="s">
        <v>273</v>
      </c>
      <c r="E222" s="5">
        <v>24</v>
      </c>
    </row>
    <row r="223" spans="1:5" x14ac:dyDescent="0.25">
      <c r="A223" s="12"/>
      <c r="B223" s="4" t="s">
        <v>201</v>
      </c>
      <c r="C223" s="4"/>
      <c r="D223" s="4"/>
      <c r="E223" s="5">
        <v>48</v>
      </c>
    </row>
    <row r="224" spans="1:5" ht="105" customHeight="1" x14ac:dyDescent="0.25">
      <c r="A224" s="12"/>
      <c r="B224" s="4" t="s">
        <v>100</v>
      </c>
      <c r="C224" s="4" t="s">
        <v>166</v>
      </c>
      <c r="D224" s="4" t="s">
        <v>273</v>
      </c>
      <c r="E224" s="5">
        <v>108</v>
      </c>
    </row>
    <row r="225" spans="1:5" ht="105" customHeight="1" x14ac:dyDescent="0.25">
      <c r="A225" s="12"/>
      <c r="B225" s="4"/>
      <c r="C225" s="4" t="s">
        <v>202</v>
      </c>
      <c r="D225" s="4" t="s">
        <v>273</v>
      </c>
      <c r="E225" s="5">
        <v>108</v>
      </c>
    </row>
    <row r="226" spans="1:5" x14ac:dyDescent="0.25">
      <c r="A226" s="12"/>
      <c r="B226" s="4" t="s">
        <v>203</v>
      </c>
      <c r="C226" s="4"/>
      <c r="D226" s="4"/>
      <c r="E226" s="5">
        <v>216</v>
      </c>
    </row>
    <row r="227" spans="1:5" ht="105" customHeight="1" x14ac:dyDescent="0.25">
      <c r="A227" s="12"/>
      <c r="B227" s="4" t="s">
        <v>101</v>
      </c>
      <c r="C227" s="4" t="s">
        <v>204</v>
      </c>
      <c r="D227" s="4" t="s">
        <v>273</v>
      </c>
      <c r="E227" s="5">
        <v>108</v>
      </c>
    </row>
    <row r="228" spans="1:5" ht="105" customHeight="1" x14ac:dyDescent="0.25">
      <c r="A228" s="12"/>
      <c r="B228" s="4"/>
      <c r="C228" s="4" t="s">
        <v>205</v>
      </c>
      <c r="D228" s="4" t="s">
        <v>273</v>
      </c>
      <c r="E228" s="5">
        <v>108</v>
      </c>
    </row>
    <row r="229" spans="1:5" x14ac:dyDescent="0.25">
      <c r="A229" s="12"/>
      <c r="B229" s="4" t="s">
        <v>206</v>
      </c>
      <c r="C229" s="4"/>
      <c r="D229" s="4"/>
      <c r="E229" s="5">
        <v>216</v>
      </c>
    </row>
    <row r="230" spans="1:5" x14ac:dyDescent="0.25">
      <c r="A230" s="12"/>
      <c r="B230" s="4" t="s">
        <v>102</v>
      </c>
      <c r="C230" s="4" t="s">
        <v>158</v>
      </c>
      <c r="D230" s="4" t="s">
        <v>270</v>
      </c>
      <c r="E230" s="5">
        <v>4</v>
      </c>
    </row>
    <row r="231" spans="1:5" x14ac:dyDescent="0.25">
      <c r="A231" s="12"/>
      <c r="B231" s="4"/>
      <c r="C231" s="4"/>
      <c r="D231" s="4" t="s">
        <v>271</v>
      </c>
      <c r="E231" s="5">
        <v>11</v>
      </c>
    </row>
    <row r="232" spans="1:5" x14ac:dyDescent="0.25">
      <c r="A232" s="12"/>
      <c r="B232" s="4"/>
      <c r="C232" s="4"/>
      <c r="D232" s="4" t="s">
        <v>272</v>
      </c>
      <c r="E232" s="5">
        <v>20</v>
      </c>
    </row>
    <row r="233" spans="1:5" x14ac:dyDescent="0.25">
      <c r="A233" s="12"/>
      <c r="B233" s="4"/>
      <c r="C233" s="4"/>
      <c r="D233" s="4" t="s">
        <v>274</v>
      </c>
      <c r="E233" s="5">
        <v>20</v>
      </c>
    </row>
    <row r="234" spans="1:5" x14ac:dyDescent="0.25">
      <c r="A234" s="12"/>
      <c r="B234" s="4"/>
      <c r="C234" s="4"/>
      <c r="D234" s="4" t="s">
        <v>275</v>
      </c>
      <c r="E234" s="5">
        <v>10</v>
      </c>
    </row>
    <row r="235" spans="1:5" x14ac:dyDescent="0.25">
      <c r="A235" s="12"/>
      <c r="B235" s="4"/>
      <c r="C235" s="4" t="s">
        <v>207</v>
      </c>
      <c r="D235" s="4" t="s">
        <v>270</v>
      </c>
      <c r="E235" s="5">
        <v>1</v>
      </c>
    </row>
    <row r="236" spans="1:5" x14ac:dyDescent="0.25">
      <c r="A236" s="12"/>
      <c r="B236" s="4"/>
      <c r="C236" s="4"/>
      <c r="D236" s="4" t="s">
        <v>271</v>
      </c>
      <c r="E236" s="5">
        <v>4</v>
      </c>
    </row>
    <row r="237" spans="1:5" x14ac:dyDescent="0.25">
      <c r="A237" s="12"/>
      <c r="B237" s="4"/>
      <c r="C237" s="4"/>
      <c r="D237" s="4" t="s">
        <v>272</v>
      </c>
      <c r="E237" s="5">
        <v>7</v>
      </c>
    </row>
    <row r="238" spans="1:5" x14ac:dyDescent="0.25">
      <c r="A238" s="12"/>
      <c r="B238" s="4"/>
      <c r="C238" s="4"/>
      <c r="D238" s="4" t="s">
        <v>274</v>
      </c>
      <c r="E238" s="5">
        <v>12</v>
      </c>
    </row>
    <row r="239" spans="1:5" x14ac:dyDescent="0.25">
      <c r="A239" s="12"/>
      <c r="B239" s="4"/>
      <c r="C239" s="4"/>
      <c r="D239" s="4" t="s">
        <v>275</v>
      </c>
      <c r="E239" s="5">
        <v>7</v>
      </c>
    </row>
    <row r="240" spans="1:5" x14ac:dyDescent="0.25">
      <c r="A240" s="12"/>
      <c r="B240" s="4"/>
      <c r="C240" s="4"/>
      <c r="D240" s="4" t="s">
        <v>276</v>
      </c>
      <c r="E240" s="5">
        <v>2</v>
      </c>
    </row>
    <row r="241" spans="1:5" x14ac:dyDescent="0.25">
      <c r="A241" s="12"/>
      <c r="B241" s="4"/>
      <c r="C241" s="4" t="s">
        <v>159</v>
      </c>
      <c r="D241" s="4" t="s">
        <v>270</v>
      </c>
      <c r="E241" s="5">
        <v>1</v>
      </c>
    </row>
    <row r="242" spans="1:5" x14ac:dyDescent="0.25">
      <c r="A242" s="12"/>
      <c r="B242" s="4"/>
      <c r="C242" s="4"/>
      <c r="D242" s="4" t="s">
        <v>271</v>
      </c>
      <c r="E242" s="5">
        <v>13</v>
      </c>
    </row>
    <row r="243" spans="1:5" x14ac:dyDescent="0.25">
      <c r="A243" s="12"/>
      <c r="B243" s="4"/>
      <c r="C243" s="4"/>
      <c r="D243" s="4" t="s">
        <v>272</v>
      </c>
      <c r="E243" s="5">
        <v>15</v>
      </c>
    </row>
    <row r="244" spans="1:5" x14ac:dyDescent="0.25">
      <c r="A244" s="12"/>
      <c r="B244" s="4"/>
      <c r="C244" s="4"/>
      <c r="D244" s="4" t="s">
        <v>274</v>
      </c>
      <c r="E244" s="5">
        <v>23</v>
      </c>
    </row>
    <row r="245" spans="1:5" x14ac:dyDescent="0.25">
      <c r="A245" s="12"/>
      <c r="B245" s="4"/>
      <c r="C245" s="4"/>
      <c r="D245" s="4" t="s">
        <v>275</v>
      </c>
      <c r="E245" s="5">
        <v>17</v>
      </c>
    </row>
    <row r="246" spans="1:5" x14ac:dyDescent="0.25">
      <c r="A246" s="12"/>
      <c r="B246" s="4"/>
      <c r="C246" s="4" t="s">
        <v>153</v>
      </c>
      <c r="D246" s="4" t="s">
        <v>270</v>
      </c>
      <c r="E246" s="5">
        <v>3</v>
      </c>
    </row>
    <row r="247" spans="1:5" x14ac:dyDescent="0.25">
      <c r="A247" s="12"/>
      <c r="B247" s="4"/>
      <c r="C247" s="4"/>
      <c r="D247" s="4" t="s">
        <v>271</v>
      </c>
      <c r="E247" s="5">
        <v>7</v>
      </c>
    </row>
    <row r="248" spans="1:5" x14ac:dyDescent="0.25">
      <c r="A248" s="12"/>
      <c r="B248" s="4"/>
      <c r="C248" s="4"/>
      <c r="D248" s="4" t="s">
        <v>272</v>
      </c>
      <c r="E248" s="5">
        <v>10</v>
      </c>
    </row>
    <row r="249" spans="1:5" x14ac:dyDescent="0.25">
      <c r="A249" s="12"/>
      <c r="B249" s="4"/>
      <c r="C249" s="4"/>
      <c r="D249" s="4" t="s">
        <v>274</v>
      </c>
      <c r="E249" s="5">
        <v>8</v>
      </c>
    </row>
    <row r="250" spans="1:5" x14ac:dyDescent="0.25">
      <c r="A250" s="12"/>
      <c r="B250" s="4"/>
      <c r="C250" s="4"/>
      <c r="D250" s="4" t="s">
        <v>275</v>
      </c>
      <c r="E250" s="5">
        <v>4</v>
      </c>
    </row>
    <row r="251" spans="1:5" x14ac:dyDescent="0.25">
      <c r="A251" s="12"/>
      <c r="B251" s="4"/>
      <c r="C251" s="4"/>
      <c r="D251" s="4" t="s">
        <v>276</v>
      </c>
      <c r="E251" s="5">
        <v>3</v>
      </c>
    </row>
    <row r="252" spans="1:5" x14ac:dyDescent="0.25">
      <c r="A252" s="12"/>
      <c r="B252" s="4"/>
      <c r="C252" s="4" t="s">
        <v>161</v>
      </c>
      <c r="D252" s="4" t="s">
        <v>270</v>
      </c>
      <c r="E252" s="5">
        <v>5</v>
      </c>
    </row>
    <row r="253" spans="1:5" x14ac:dyDescent="0.25">
      <c r="A253" s="12"/>
      <c r="B253" s="4"/>
      <c r="C253" s="4"/>
      <c r="D253" s="4" t="s">
        <v>271</v>
      </c>
      <c r="E253" s="5">
        <v>2</v>
      </c>
    </row>
    <row r="254" spans="1:5" x14ac:dyDescent="0.25">
      <c r="A254" s="12"/>
      <c r="B254" s="4"/>
      <c r="C254" s="4"/>
      <c r="D254" s="4" t="s">
        <v>272</v>
      </c>
      <c r="E254" s="5">
        <v>8</v>
      </c>
    </row>
    <row r="255" spans="1:5" x14ac:dyDescent="0.25">
      <c r="A255" s="12"/>
      <c r="B255" s="4"/>
      <c r="C255" s="4"/>
      <c r="D255" s="4" t="s">
        <v>274</v>
      </c>
      <c r="E255" s="5">
        <v>9</v>
      </c>
    </row>
    <row r="256" spans="1:5" x14ac:dyDescent="0.25">
      <c r="A256" s="12"/>
      <c r="B256" s="4"/>
      <c r="C256" s="4"/>
      <c r="D256" s="4" t="s">
        <v>275</v>
      </c>
      <c r="E256" s="5">
        <v>19</v>
      </c>
    </row>
    <row r="257" spans="1:5" x14ac:dyDescent="0.25">
      <c r="A257" s="12"/>
      <c r="B257" s="4"/>
      <c r="C257" s="4"/>
      <c r="D257" s="4" t="s">
        <v>276</v>
      </c>
      <c r="E257" s="5">
        <v>8</v>
      </c>
    </row>
    <row r="258" spans="1:5" x14ac:dyDescent="0.25">
      <c r="A258" s="12"/>
      <c r="B258" s="4" t="s">
        <v>208</v>
      </c>
      <c r="C258" s="4"/>
      <c r="D258" s="4"/>
      <c r="E258" s="5">
        <v>253</v>
      </c>
    </row>
    <row r="259" spans="1:5" x14ac:dyDescent="0.25">
      <c r="A259" s="12"/>
      <c r="B259" s="4" t="s">
        <v>103</v>
      </c>
      <c r="C259" s="4" t="s">
        <v>158</v>
      </c>
      <c r="D259" s="4" t="s">
        <v>270</v>
      </c>
      <c r="E259" s="5">
        <v>5</v>
      </c>
    </row>
    <row r="260" spans="1:5" x14ac:dyDescent="0.25">
      <c r="A260" s="12"/>
      <c r="B260" s="4"/>
      <c r="C260" s="4"/>
      <c r="D260" s="4" t="s">
        <v>271</v>
      </c>
      <c r="E260" s="5">
        <v>2</v>
      </c>
    </row>
    <row r="261" spans="1:5" x14ac:dyDescent="0.25">
      <c r="A261" s="12"/>
      <c r="B261" s="4"/>
      <c r="C261" s="4"/>
      <c r="D261" s="4" t="s">
        <v>272</v>
      </c>
      <c r="E261" s="5">
        <v>9</v>
      </c>
    </row>
    <row r="262" spans="1:5" x14ac:dyDescent="0.25">
      <c r="A262" s="12"/>
      <c r="B262" s="4"/>
      <c r="C262" s="4"/>
      <c r="D262" s="4" t="s">
        <v>274</v>
      </c>
      <c r="E262" s="5">
        <v>6</v>
      </c>
    </row>
    <row r="263" spans="1:5" x14ac:dyDescent="0.25">
      <c r="A263" s="12"/>
      <c r="B263" s="4"/>
      <c r="C263" s="4"/>
      <c r="D263" s="4" t="s">
        <v>275</v>
      </c>
      <c r="E263" s="5">
        <v>7</v>
      </c>
    </row>
    <row r="264" spans="1:5" x14ac:dyDescent="0.25">
      <c r="A264" s="12"/>
      <c r="B264" s="4"/>
      <c r="C264" s="4"/>
      <c r="D264" s="4" t="s">
        <v>276</v>
      </c>
      <c r="E264" s="5">
        <v>5</v>
      </c>
    </row>
    <row r="265" spans="1:5" x14ac:dyDescent="0.25">
      <c r="A265" s="12"/>
      <c r="B265" s="4"/>
      <c r="C265" s="4" t="s">
        <v>207</v>
      </c>
      <c r="D265" s="4" t="s">
        <v>270</v>
      </c>
      <c r="E265" s="5">
        <v>2</v>
      </c>
    </row>
    <row r="266" spans="1:5" x14ac:dyDescent="0.25">
      <c r="A266" s="12"/>
      <c r="B266" s="4"/>
      <c r="C266" s="4"/>
      <c r="D266" s="4" t="s">
        <v>271</v>
      </c>
      <c r="E266" s="5">
        <v>7</v>
      </c>
    </row>
    <row r="267" spans="1:5" x14ac:dyDescent="0.25">
      <c r="A267" s="12"/>
      <c r="B267" s="4"/>
      <c r="C267" s="4"/>
      <c r="D267" s="4" t="s">
        <v>272</v>
      </c>
      <c r="E267" s="5">
        <v>10</v>
      </c>
    </row>
    <row r="268" spans="1:5" x14ac:dyDescent="0.25">
      <c r="A268" s="12"/>
      <c r="B268" s="4"/>
      <c r="C268" s="4"/>
      <c r="D268" s="4" t="s">
        <v>274</v>
      </c>
      <c r="E268" s="5">
        <v>8</v>
      </c>
    </row>
    <row r="269" spans="1:5" x14ac:dyDescent="0.25">
      <c r="A269" s="12"/>
      <c r="B269" s="4"/>
      <c r="C269" s="4"/>
      <c r="D269" s="4" t="s">
        <v>275</v>
      </c>
      <c r="E269" s="5">
        <v>6</v>
      </c>
    </row>
    <row r="270" spans="1:5" x14ac:dyDescent="0.25">
      <c r="A270" s="12"/>
      <c r="B270" s="4"/>
      <c r="C270" s="4"/>
      <c r="D270" s="4" t="s">
        <v>276</v>
      </c>
      <c r="E270" s="5">
        <v>4</v>
      </c>
    </row>
    <row r="271" spans="1:5" x14ac:dyDescent="0.25">
      <c r="A271" s="12"/>
      <c r="B271" s="4"/>
      <c r="C271" s="4" t="s">
        <v>159</v>
      </c>
      <c r="D271" s="4" t="s">
        <v>270</v>
      </c>
      <c r="E271" s="5">
        <v>4</v>
      </c>
    </row>
    <row r="272" spans="1:5" x14ac:dyDescent="0.25">
      <c r="A272" s="12"/>
      <c r="B272" s="4"/>
      <c r="C272" s="4"/>
      <c r="D272" s="4" t="s">
        <v>271</v>
      </c>
      <c r="E272" s="5">
        <v>3</v>
      </c>
    </row>
    <row r="273" spans="1:5" x14ac:dyDescent="0.25">
      <c r="A273" s="12"/>
      <c r="B273" s="4"/>
      <c r="C273" s="4"/>
      <c r="D273" s="4" t="s">
        <v>272</v>
      </c>
      <c r="E273" s="5">
        <v>1</v>
      </c>
    </row>
    <row r="274" spans="1:5" x14ac:dyDescent="0.25">
      <c r="A274" s="12"/>
      <c r="B274" s="4"/>
      <c r="C274" s="4"/>
      <c r="D274" s="4" t="s">
        <v>274</v>
      </c>
      <c r="E274" s="5">
        <v>3</v>
      </c>
    </row>
    <row r="275" spans="1:5" x14ac:dyDescent="0.25">
      <c r="A275" s="12"/>
      <c r="B275" s="4"/>
      <c r="C275" s="4"/>
      <c r="D275" s="4" t="s">
        <v>275</v>
      </c>
      <c r="E275" s="5">
        <v>10</v>
      </c>
    </row>
    <row r="276" spans="1:5" x14ac:dyDescent="0.25">
      <c r="A276" s="12"/>
      <c r="B276" s="4"/>
      <c r="C276" s="4"/>
      <c r="D276" s="4" t="s">
        <v>276</v>
      </c>
      <c r="E276" s="5">
        <v>4</v>
      </c>
    </row>
    <row r="277" spans="1:5" ht="105" customHeight="1" x14ac:dyDescent="0.25">
      <c r="A277" s="12"/>
      <c r="B277" s="4"/>
      <c r="C277" s="4" t="s">
        <v>153</v>
      </c>
      <c r="D277" s="4" t="s">
        <v>270</v>
      </c>
      <c r="E277" s="5">
        <v>7</v>
      </c>
    </row>
    <row r="278" spans="1:5" x14ac:dyDescent="0.25">
      <c r="A278" s="12"/>
      <c r="B278" s="4"/>
      <c r="C278" s="4"/>
      <c r="D278" s="4" t="s">
        <v>271</v>
      </c>
      <c r="E278" s="5">
        <v>12</v>
      </c>
    </row>
    <row r="279" spans="1:5" x14ac:dyDescent="0.25">
      <c r="A279" s="12"/>
      <c r="B279" s="4"/>
      <c r="C279" s="4"/>
      <c r="D279" s="4" t="s">
        <v>272</v>
      </c>
      <c r="E279" s="5">
        <v>22</v>
      </c>
    </row>
    <row r="280" spans="1:5" x14ac:dyDescent="0.25">
      <c r="A280" s="12"/>
      <c r="B280" s="4"/>
      <c r="C280" s="4"/>
      <c r="D280" s="4" t="s">
        <v>274</v>
      </c>
      <c r="E280" s="5">
        <v>20</v>
      </c>
    </row>
    <row r="281" spans="1:5" x14ac:dyDescent="0.25">
      <c r="A281" s="12"/>
      <c r="B281" s="4"/>
      <c r="C281" s="4"/>
      <c r="D281" s="4" t="s">
        <v>275</v>
      </c>
      <c r="E281" s="5">
        <v>13</v>
      </c>
    </row>
    <row r="282" spans="1:5" x14ac:dyDescent="0.25">
      <c r="A282" s="12"/>
      <c r="B282" s="4"/>
      <c r="C282" s="4" t="s">
        <v>161</v>
      </c>
      <c r="D282" s="4" t="s">
        <v>270</v>
      </c>
      <c r="E282" s="5">
        <v>2</v>
      </c>
    </row>
    <row r="283" spans="1:5" x14ac:dyDescent="0.25">
      <c r="A283" s="12"/>
      <c r="B283" s="4"/>
      <c r="C283" s="4"/>
      <c r="D283" s="4" t="s">
        <v>272</v>
      </c>
      <c r="E283" s="5">
        <v>1</v>
      </c>
    </row>
    <row r="284" spans="1:5" x14ac:dyDescent="0.25">
      <c r="A284" s="12"/>
      <c r="B284" s="4"/>
      <c r="C284" s="4"/>
      <c r="D284" s="4" t="s">
        <v>274</v>
      </c>
      <c r="E284" s="5">
        <v>12</v>
      </c>
    </row>
    <row r="285" spans="1:5" x14ac:dyDescent="0.25">
      <c r="A285" s="12"/>
      <c r="B285" s="4"/>
      <c r="C285" s="4"/>
      <c r="D285" s="4" t="s">
        <v>275</v>
      </c>
      <c r="E285" s="5">
        <v>10</v>
      </c>
    </row>
    <row r="286" spans="1:5" x14ac:dyDescent="0.25">
      <c r="A286" s="12"/>
      <c r="B286" s="4"/>
      <c r="C286" s="4"/>
      <c r="D286" s="4" t="s">
        <v>276</v>
      </c>
      <c r="E286" s="5">
        <v>6</v>
      </c>
    </row>
    <row r="287" spans="1:5" x14ac:dyDescent="0.25">
      <c r="A287" s="12"/>
      <c r="B287" s="4" t="s">
        <v>209</v>
      </c>
      <c r="C287" s="4"/>
      <c r="D287" s="4"/>
      <c r="E287" s="5">
        <v>201</v>
      </c>
    </row>
    <row r="288" spans="1:5" ht="105" customHeight="1" x14ac:dyDescent="0.25">
      <c r="A288" s="12"/>
      <c r="B288" s="4" t="s">
        <v>104</v>
      </c>
      <c r="C288" s="4" t="s">
        <v>161</v>
      </c>
      <c r="D288" s="4" t="s">
        <v>275</v>
      </c>
      <c r="E288" s="5">
        <v>3</v>
      </c>
    </row>
    <row r="289" spans="1:5" x14ac:dyDescent="0.25">
      <c r="A289" s="12"/>
      <c r="B289" s="4"/>
      <c r="C289" s="4"/>
      <c r="D289" s="4" t="s">
        <v>276</v>
      </c>
      <c r="E289" s="5">
        <v>3</v>
      </c>
    </row>
    <row r="290" spans="1:5" x14ac:dyDescent="0.25">
      <c r="A290" s="12"/>
      <c r="B290" s="4"/>
      <c r="C290" s="4"/>
      <c r="D290" s="4" t="s">
        <v>290</v>
      </c>
      <c r="E290" s="5">
        <v>3</v>
      </c>
    </row>
    <row r="291" spans="1:5" x14ac:dyDescent="0.25">
      <c r="A291" s="12"/>
      <c r="B291" s="4"/>
      <c r="C291" s="4"/>
      <c r="D291" s="4" t="s">
        <v>286</v>
      </c>
      <c r="E291" s="5">
        <v>5</v>
      </c>
    </row>
    <row r="292" spans="1:5" x14ac:dyDescent="0.25">
      <c r="A292" s="12"/>
      <c r="B292" s="4"/>
      <c r="C292" s="4"/>
      <c r="D292" s="4" t="s">
        <v>291</v>
      </c>
      <c r="E292" s="5">
        <v>1</v>
      </c>
    </row>
    <row r="293" spans="1:5" x14ac:dyDescent="0.25">
      <c r="A293" s="12"/>
      <c r="B293" s="4"/>
      <c r="C293" s="4"/>
      <c r="D293" s="4" t="s">
        <v>292</v>
      </c>
      <c r="E293" s="5">
        <v>3</v>
      </c>
    </row>
    <row r="294" spans="1:5" x14ac:dyDescent="0.25">
      <c r="A294" s="12"/>
      <c r="B294" s="4"/>
      <c r="C294" s="4"/>
      <c r="D294" s="4" t="s">
        <v>287</v>
      </c>
      <c r="E294" s="5">
        <v>80</v>
      </c>
    </row>
    <row r="295" spans="1:5" x14ac:dyDescent="0.25">
      <c r="A295" s="12"/>
      <c r="B295" s="4" t="s">
        <v>210</v>
      </c>
      <c r="C295" s="4"/>
      <c r="D295" s="4"/>
      <c r="E295" s="5">
        <v>98</v>
      </c>
    </row>
    <row r="296" spans="1:5" ht="105" customHeight="1" x14ac:dyDescent="0.25">
      <c r="A296" s="12"/>
      <c r="B296" s="4" t="s">
        <v>105</v>
      </c>
      <c r="C296" s="4" t="s">
        <v>211</v>
      </c>
      <c r="D296" s="4" t="s">
        <v>269</v>
      </c>
      <c r="E296" s="5">
        <v>12</v>
      </c>
    </row>
    <row r="297" spans="1:5" x14ac:dyDescent="0.25">
      <c r="A297" s="12"/>
      <c r="B297" s="4"/>
      <c r="C297" s="4"/>
      <c r="D297" s="4" t="s">
        <v>293</v>
      </c>
      <c r="E297" s="5">
        <v>12</v>
      </c>
    </row>
    <row r="298" spans="1:5" x14ac:dyDescent="0.25">
      <c r="A298" s="12"/>
      <c r="B298" s="4" t="s">
        <v>212</v>
      </c>
      <c r="C298" s="4"/>
      <c r="D298" s="4"/>
      <c r="E298" s="5">
        <v>24</v>
      </c>
    </row>
    <row r="299" spans="1:5" ht="105" customHeight="1" x14ac:dyDescent="0.25">
      <c r="A299" s="12"/>
      <c r="B299" s="4" t="s">
        <v>106</v>
      </c>
      <c r="C299" s="4" t="s">
        <v>158</v>
      </c>
      <c r="D299" s="4" t="s">
        <v>269</v>
      </c>
      <c r="E299" s="5">
        <v>72</v>
      </c>
    </row>
    <row r="300" spans="1:5" x14ac:dyDescent="0.25">
      <c r="A300" s="12"/>
      <c r="B300" s="4" t="s">
        <v>213</v>
      </c>
      <c r="C300" s="4"/>
      <c r="D300" s="4"/>
      <c r="E300" s="5">
        <v>72</v>
      </c>
    </row>
    <row r="301" spans="1:5" x14ac:dyDescent="0.25">
      <c r="A301" s="12"/>
      <c r="B301" s="4" t="s">
        <v>107</v>
      </c>
      <c r="C301" s="4" t="s">
        <v>185</v>
      </c>
      <c r="D301" s="4" t="s">
        <v>269</v>
      </c>
      <c r="E301" s="5">
        <v>24</v>
      </c>
    </row>
    <row r="302" spans="1:5" ht="105" customHeight="1" x14ac:dyDescent="0.25">
      <c r="A302" s="12"/>
      <c r="B302" s="4"/>
      <c r="C302" s="4" t="s">
        <v>214</v>
      </c>
      <c r="D302" s="4" t="s">
        <v>286</v>
      </c>
      <c r="E302" s="5">
        <v>1</v>
      </c>
    </row>
    <row r="303" spans="1:5" x14ac:dyDescent="0.25">
      <c r="A303" s="12"/>
      <c r="B303" s="4"/>
      <c r="C303" s="4"/>
      <c r="D303" s="4" t="s">
        <v>291</v>
      </c>
      <c r="E303" s="5">
        <v>1</v>
      </c>
    </row>
    <row r="304" spans="1:5" x14ac:dyDescent="0.25">
      <c r="A304" s="12"/>
      <c r="B304" s="4"/>
      <c r="C304" s="4"/>
      <c r="D304" s="4" t="s">
        <v>269</v>
      </c>
      <c r="E304" s="5">
        <v>24</v>
      </c>
    </row>
    <row r="305" spans="1:5" x14ac:dyDescent="0.25">
      <c r="A305" s="12"/>
      <c r="B305" s="4"/>
      <c r="C305" s="4" t="s">
        <v>153</v>
      </c>
      <c r="D305" s="4" t="s">
        <v>269</v>
      </c>
      <c r="E305" s="5">
        <v>24</v>
      </c>
    </row>
    <row r="306" spans="1:5" x14ac:dyDescent="0.25">
      <c r="A306" s="12"/>
      <c r="B306" s="4" t="s">
        <v>215</v>
      </c>
      <c r="C306" s="4"/>
      <c r="D306" s="4"/>
      <c r="E306" s="5">
        <v>74</v>
      </c>
    </row>
    <row r="307" spans="1:5" ht="105" customHeight="1" x14ac:dyDescent="0.25">
      <c r="A307" s="12"/>
      <c r="B307" s="4" t="s">
        <v>108</v>
      </c>
      <c r="C307" s="4" t="s">
        <v>159</v>
      </c>
      <c r="D307" s="4" t="s">
        <v>269</v>
      </c>
      <c r="E307" s="5">
        <v>12</v>
      </c>
    </row>
    <row r="308" spans="1:5" ht="105" customHeight="1" x14ac:dyDescent="0.25">
      <c r="A308" s="12"/>
      <c r="B308" s="4"/>
      <c r="C308" s="4" t="s">
        <v>211</v>
      </c>
      <c r="D308" s="4" t="s">
        <v>287</v>
      </c>
      <c r="E308" s="5">
        <v>8</v>
      </c>
    </row>
    <row r="309" spans="1:5" ht="105" customHeight="1" x14ac:dyDescent="0.25">
      <c r="A309" s="12"/>
      <c r="B309" s="4"/>
      <c r="C309" s="4" t="s">
        <v>161</v>
      </c>
      <c r="D309" s="4" t="s">
        <v>286</v>
      </c>
      <c r="E309" s="5">
        <v>1</v>
      </c>
    </row>
    <row r="310" spans="1:5" x14ac:dyDescent="0.25">
      <c r="A310" s="12"/>
      <c r="B310" s="4"/>
      <c r="C310" s="4"/>
      <c r="D310" s="4" t="s">
        <v>291</v>
      </c>
      <c r="E310" s="5">
        <v>1</v>
      </c>
    </row>
    <row r="311" spans="1:5" x14ac:dyDescent="0.25">
      <c r="A311" s="12"/>
      <c r="B311" s="4"/>
      <c r="C311" s="4"/>
      <c r="D311" s="4" t="s">
        <v>269</v>
      </c>
      <c r="E311" s="5">
        <v>84</v>
      </c>
    </row>
    <row r="312" spans="1:5" x14ac:dyDescent="0.25">
      <c r="A312" s="12"/>
      <c r="B312" s="4" t="s">
        <v>216</v>
      </c>
      <c r="C312" s="4"/>
      <c r="D312" s="4"/>
      <c r="E312" s="5">
        <v>106</v>
      </c>
    </row>
    <row r="313" spans="1:5" ht="105" customHeight="1" x14ac:dyDescent="0.25">
      <c r="A313" s="12"/>
      <c r="B313" s="4" t="s">
        <v>109</v>
      </c>
      <c r="C313" s="4" t="s">
        <v>158</v>
      </c>
      <c r="D313" s="4" t="s">
        <v>269</v>
      </c>
      <c r="E313" s="5">
        <v>36</v>
      </c>
    </row>
    <row r="314" spans="1:5" ht="105" customHeight="1" x14ac:dyDescent="0.25">
      <c r="A314" s="12"/>
      <c r="B314" s="4"/>
      <c r="C314" s="4" t="s">
        <v>217</v>
      </c>
      <c r="D314" s="4" t="s">
        <v>269</v>
      </c>
      <c r="E314" s="5">
        <v>72</v>
      </c>
    </row>
    <row r="315" spans="1:5" x14ac:dyDescent="0.25">
      <c r="A315" s="12"/>
      <c r="B315" s="4" t="s">
        <v>218</v>
      </c>
      <c r="C315" s="4"/>
      <c r="D315" s="4"/>
      <c r="E315" s="5">
        <v>108</v>
      </c>
    </row>
    <row r="316" spans="1:5" x14ac:dyDescent="0.25">
      <c r="A316" s="12"/>
      <c r="B316" s="4" t="s">
        <v>110</v>
      </c>
      <c r="C316" s="4" t="s">
        <v>196</v>
      </c>
      <c r="D316" s="4" t="s">
        <v>275</v>
      </c>
      <c r="E316" s="5">
        <v>5</v>
      </c>
    </row>
    <row r="317" spans="1:5" x14ac:dyDescent="0.25">
      <c r="A317" s="12"/>
      <c r="B317" s="4"/>
      <c r="C317" s="4"/>
      <c r="D317" s="4" t="s">
        <v>276</v>
      </c>
      <c r="E317" s="5">
        <v>10</v>
      </c>
    </row>
    <row r="318" spans="1:5" x14ac:dyDescent="0.25">
      <c r="A318" s="12"/>
      <c r="B318" s="4"/>
      <c r="C318" s="4"/>
      <c r="D318" s="4" t="s">
        <v>290</v>
      </c>
      <c r="E318" s="5">
        <v>12</v>
      </c>
    </row>
    <row r="319" spans="1:5" x14ac:dyDescent="0.25">
      <c r="A319" s="12"/>
      <c r="B319" s="4"/>
      <c r="C319" s="4"/>
      <c r="D319" s="4" t="s">
        <v>286</v>
      </c>
      <c r="E319" s="5">
        <v>14</v>
      </c>
    </row>
    <row r="320" spans="1:5" x14ac:dyDescent="0.25">
      <c r="A320" s="12"/>
      <c r="B320" s="4"/>
      <c r="C320" s="4"/>
      <c r="D320" s="4" t="s">
        <v>291</v>
      </c>
      <c r="E320" s="5">
        <v>4</v>
      </c>
    </row>
    <row r="321" spans="1:5" x14ac:dyDescent="0.25">
      <c r="A321" s="12"/>
      <c r="B321" s="4"/>
      <c r="C321" s="4"/>
      <c r="D321" s="4" t="s">
        <v>292</v>
      </c>
      <c r="E321" s="5">
        <v>3</v>
      </c>
    </row>
    <row r="322" spans="1:5" x14ac:dyDescent="0.25">
      <c r="A322" s="12"/>
      <c r="B322" s="4"/>
      <c r="C322" s="4" t="s">
        <v>158</v>
      </c>
      <c r="D322" s="4" t="s">
        <v>275</v>
      </c>
      <c r="E322" s="5">
        <v>3</v>
      </c>
    </row>
    <row r="323" spans="1:5" x14ac:dyDescent="0.25">
      <c r="A323" s="12"/>
      <c r="B323" s="4"/>
      <c r="C323" s="4"/>
      <c r="D323" s="4" t="s">
        <v>276</v>
      </c>
      <c r="E323" s="5">
        <v>13</v>
      </c>
    </row>
    <row r="324" spans="1:5" x14ac:dyDescent="0.25">
      <c r="A324" s="12"/>
      <c r="B324" s="4"/>
      <c r="C324" s="4"/>
      <c r="D324" s="4" t="s">
        <v>290</v>
      </c>
      <c r="E324" s="5">
        <v>11</v>
      </c>
    </row>
    <row r="325" spans="1:5" x14ac:dyDescent="0.25">
      <c r="A325" s="12"/>
      <c r="B325" s="4"/>
      <c r="C325" s="4"/>
      <c r="D325" s="4" t="s">
        <v>286</v>
      </c>
      <c r="E325" s="5">
        <v>9</v>
      </c>
    </row>
    <row r="326" spans="1:5" x14ac:dyDescent="0.25">
      <c r="A326" s="12"/>
      <c r="B326" s="4"/>
      <c r="C326" s="4"/>
      <c r="D326" s="4" t="s">
        <v>291</v>
      </c>
      <c r="E326" s="5">
        <v>7</v>
      </c>
    </row>
    <row r="327" spans="1:5" ht="105" customHeight="1" x14ac:dyDescent="0.25">
      <c r="A327" s="12"/>
      <c r="B327" s="4"/>
      <c r="C327" s="4" t="s">
        <v>159</v>
      </c>
      <c r="D327" s="4" t="s">
        <v>275</v>
      </c>
      <c r="E327" s="5">
        <v>8</v>
      </c>
    </row>
    <row r="328" spans="1:5" x14ac:dyDescent="0.25">
      <c r="A328" s="12"/>
      <c r="B328" s="4"/>
      <c r="C328" s="4"/>
      <c r="D328" s="4" t="s">
        <v>276</v>
      </c>
      <c r="E328" s="5">
        <v>9</v>
      </c>
    </row>
    <row r="329" spans="1:5" x14ac:dyDescent="0.25">
      <c r="A329" s="12"/>
      <c r="B329" s="4"/>
      <c r="C329" s="4"/>
      <c r="D329" s="4" t="s">
        <v>290</v>
      </c>
      <c r="E329" s="5">
        <v>12</v>
      </c>
    </row>
    <row r="330" spans="1:5" x14ac:dyDescent="0.25">
      <c r="A330" s="12"/>
      <c r="B330" s="4"/>
      <c r="C330" s="4"/>
      <c r="D330" s="4" t="s">
        <v>286</v>
      </c>
      <c r="E330" s="5">
        <v>21</v>
      </c>
    </row>
    <row r="331" spans="1:5" x14ac:dyDescent="0.25">
      <c r="A331" s="12"/>
      <c r="B331" s="4"/>
      <c r="C331" s="4"/>
      <c r="D331" s="4" t="s">
        <v>291</v>
      </c>
      <c r="E331" s="5">
        <v>12</v>
      </c>
    </row>
    <row r="332" spans="1:5" ht="105" customHeight="1" x14ac:dyDescent="0.25">
      <c r="A332" s="12"/>
      <c r="B332" s="4"/>
      <c r="C332" s="4" t="s">
        <v>153</v>
      </c>
      <c r="D332" s="4" t="s">
        <v>275</v>
      </c>
      <c r="E332" s="5">
        <v>12</v>
      </c>
    </row>
    <row r="333" spans="1:5" x14ac:dyDescent="0.25">
      <c r="A333" s="12"/>
      <c r="B333" s="4"/>
      <c r="C333" s="4"/>
      <c r="D333" s="4" t="s">
        <v>276</v>
      </c>
      <c r="E333" s="5">
        <v>20</v>
      </c>
    </row>
    <row r="334" spans="1:5" x14ac:dyDescent="0.25">
      <c r="A334" s="12"/>
      <c r="B334" s="4"/>
      <c r="C334" s="4"/>
      <c r="D334" s="4" t="s">
        <v>290</v>
      </c>
      <c r="E334" s="5">
        <v>20</v>
      </c>
    </row>
    <row r="335" spans="1:5" x14ac:dyDescent="0.25">
      <c r="A335" s="12"/>
      <c r="B335" s="4"/>
      <c r="C335" s="4"/>
      <c r="D335" s="4" t="s">
        <v>286</v>
      </c>
      <c r="E335" s="5">
        <v>17</v>
      </c>
    </row>
    <row r="336" spans="1:5" x14ac:dyDescent="0.25">
      <c r="A336" s="12"/>
      <c r="B336" s="4"/>
      <c r="C336" s="4"/>
      <c r="D336" s="4" t="s">
        <v>291</v>
      </c>
      <c r="E336" s="5">
        <v>15</v>
      </c>
    </row>
    <row r="337" spans="1:5" x14ac:dyDescent="0.25">
      <c r="A337" s="12"/>
      <c r="B337" s="4"/>
      <c r="C337" s="4" t="s">
        <v>161</v>
      </c>
      <c r="D337" s="4" t="s">
        <v>275</v>
      </c>
      <c r="E337" s="5">
        <v>5</v>
      </c>
    </row>
    <row r="338" spans="1:5" x14ac:dyDescent="0.25">
      <c r="A338" s="12"/>
      <c r="B338" s="4"/>
      <c r="C338" s="4"/>
      <c r="D338" s="4" t="s">
        <v>276</v>
      </c>
      <c r="E338" s="5">
        <v>17</v>
      </c>
    </row>
    <row r="339" spans="1:5" x14ac:dyDescent="0.25">
      <c r="A339" s="12"/>
      <c r="B339" s="4"/>
      <c r="C339" s="4"/>
      <c r="D339" s="4" t="s">
        <v>290</v>
      </c>
      <c r="E339" s="5">
        <v>16</v>
      </c>
    </row>
    <row r="340" spans="1:5" x14ac:dyDescent="0.25">
      <c r="A340" s="12"/>
      <c r="B340" s="4"/>
      <c r="C340" s="4"/>
      <c r="D340" s="4" t="s">
        <v>286</v>
      </c>
      <c r="E340" s="5">
        <v>12</v>
      </c>
    </row>
    <row r="341" spans="1:5" x14ac:dyDescent="0.25">
      <c r="A341" s="12"/>
      <c r="B341" s="4"/>
      <c r="C341" s="4"/>
      <c r="D341" s="4" t="s">
        <v>291</v>
      </c>
      <c r="E341" s="5">
        <v>11</v>
      </c>
    </row>
    <row r="342" spans="1:5" x14ac:dyDescent="0.25">
      <c r="A342" s="12"/>
      <c r="B342" s="4" t="s">
        <v>219</v>
      </c>
      <c r="C342" s="4"/>
      <c r="D342" s="4"/>
      <c r="E342" s="5">
        <v>298</v>
      </c>
    </row>
    <row r="343" spans="1:5" x14ac:dyDescent="0.25">
      <c r="A343" s="12"/>
      <c r="B343" s="4" t="s">
        <v>111</v>
      </c>
      <c r="C343" s="4" t="s">
        <v>196</v>
      </c>
      <c r="D343" s="4" t="s">
        <v>275</v>
      </c>
      <c r="E343" s="5">
        <v>1</v>
      </c>
    </row>
    <row r="344" spans="1:5" x14ac:dyDescent="0.25">
      <c r="A344" s="12"/>
      <c r="B344" s="4"/>
      <c r="C344" s="4"/>
      <c r="D344" s="4" t="s">
        <v>276</v>
      </c>
      <c r="E344" s="5">
        <v>6</v>
      </c>
    </row>
    <row r="345" spans="1:5" x14ac:dyDescent="0.25">
      <c r="A345" s="12"/>
      <c r="B345" s="4"/>
      <c r="C345" s="4"/>
      <c r="D345" s="4" t="s">
        <v>290</v>
      </c>
      <c r="E345" s="5">
        <v>6</v>
      </c>
    </row>
    <row r="346" spans="1:5" x14ac:dyDescent="0.25">
      <c r="A346" s="12"/>
      <c r="B346" s="4"/>
      <c r="C346" s="4"/>
      <c r="D346" s="4" t="s">
        <v>286</v>
      </c>
      <c r="E346" s="5">
        <v>2</v>
      </c>
    </row>
    <row r="347" spans="1:5" x14ac:dyDescent="0.25">
      <c r="A347" s="12"/>
      <c r="B347" s="4"/>
      <c r="C347" s="4"/>
      <c r="D347" s="4" t="s">
        <v>291</v>
      </c>
      <c r="E347" s="5">
        <v>2</v>
      </c>
    </row>
    <row r="348" spans="1:5" x14ac:dyDescent="0.25">
      <c r="A348" s="12"/>
      <c r="B348" s="4"/>
      <c r="C348" s="4" t="s">
        <v>158</v>
      </c>
      <c r="D348" s="4" t="s">
        <v>275</v>
      </c>
      <c r="E348" s="5">
        <v>9</v>
      </c>
    </row>
    <row r="349" spans="1:5" x14ac:dyDescent="0.25">
      <c r="A349" s="12"/>
      <c r="B349" s="4"/>
      <c r="C349" s="4"/>
      <c r="D349" s="4" t="s">
        <v>276</v>
      </c>
      <c r="E349" s="5">
        <v>14</v>
      </c>
    </row>
    <row r="350" spans="1:5" x14ac:dyDescent="0.25">
      <c r="A350" s="12"/>
      <c r="B350" s="4"/>
      <c r="C350" s="4"/>
      <c r="D350" s="4" t="s">
        <v>290</v>
      </c>
      <c r="E350" s="5">
        <v>19</v>
      </c>
    </row>
    <row r="351" spans="1:5" x14ac:dyDescent="0.25">
      <c r="A351" s="12"/>
      <c r="B351" s="4"/>
      <c r="C351" s="4"/>
      <c r="D351" s="4" t="s">
        <v>286</v>
      </c>
      <c r="E351" s="5">
        <v>18</v>
      </c>
    </row>
    <row r="352" spans="1:5" x14ac:dyDescent="0.25">
      <c r="A352" s="12"/>
      <c r="B352" s="4"/>
      <c r="C352" s="4"/>
      <c r="D352" s="4" t="s">
        <v>291</v>
      </c>
      <c r="E352" s="5">
        <v>1</v>
      </c>
    </row>
    <row r="353" spans="1:5" x14ac:dyDescent="0.25">
      <c r="A353" s="12"/>
      <c r="B353" s="4"/>
      <c r="C353" s="4"/>
      <c r="D353" s="4" t="s">
        <v>292</v>
      </c>
      <c r="E353" s="5">
        <v>2</v>
      </c>
    </row>
    <row r="354" spans="1:5" x14ac:dyDescent="0.25">
      <c r="A354" s="12"/>
      <c r="B354" s="4"/>
      <c r="C354" s="4" t="s">
        <v>159</v>
      </c>
      <c r="D354" s="4" t="s">
        <v>275</v>
      </c>
      <c r="E354" s="5">
        <v>7</v>
      </c>
    </row>
    <row r="355" spans="1:5" x14ac:dyDescent="0.25">
      <c r="A355" s="12"/>
      <c r="B355" s="4"/>
      <c r="C355" s="4"/>
      <c r="D355" s="4" t="s">
        <v>276</v>
      </c>
      <c r="E355" s="5">
        <v>12</v>
      </c>
    </row>
    <row r="356" spans="1:5" x14ac:dyDescent="0.25">
      <c r="A356" s="12"/>
      <c r="B356" s="4"/>
      <c r="C356" s="4"/>
      <c r="D356" s="4" t="s">
        <v>290</v>
      </c>
      <c r="E356" s="5">
        <v>6</v>
      </c>
    </row>
    <row r="357" spans="1:5" x14ac:dyDescent="0.25">
      <c r="A357" s="12"/>
      <c r="B357" s="4"/>
      <c r="C357" s="4"/>
      <c r="D357" s="4" t="s">
        <v>286</v>
      </c>
      <c r="E357" s="5">
        <v>12</v>
      </c>
    </row>
    <row r="358" spans="1:5" x14ac:dyDescent="0.25">
      <c r="A358" s="12"/>
      <c r="B358" s="4"/>
      <c r="C358" s="4"/>
      <c r="D358" s="4" t="s">
        <v>291</v>
      </c>
      <c r="E358" s="5">
        <v>11</v>
      </c>
    </row>
    <row r="359" spans="1:5" x14ac:dyDescent="0.25">
      <c r="A359" s="12"/>
      <c r="B359" s="4"/>
      <c r="C359" s="4"/>
      <c r="D359" s="4" t="s">
        <v>292</v>
      </c>
      <c r="E359" s="5">
        <v>1</v>
      </c>
    </row>
    <row r="360" spans="1:5" x14ac:dyDescent="0.25">
      <c r="A360" s="12"/>
      <c r="B360" s="4"/>
      <c r="C360" s="4" t="s">
        <v>160</v>
      </c>
      <c r="D360" s="4" t="s">
        <v>275</v>
      </c>
      <c r="E360" s="5">
        <v>3</v>
      </c>
    </row>
    <row r="361" spans="1:5" x14ac:dyDescent="0.25">
      <c r="A361" s="12"/>
      <c r="B361" s="4"/>
      <c r="C361" s="4"/>
      <c r="D361" s="4" t="s">
        <v>276</v>
      </c>
      <c r="E361" s="5">
        <v>8</v>
      </c>
    </row>
    <row r="362" spans="1:5" x14ac:dyDescent="0.25">
      <c r="A362" s="12"/>
      <c r="B362" s="4"/>
      <c r="C362" s="4"/>
      <c r="D362" s="4" t="s">
        <v>290</v>
      </c>
      <c r="E362" s="5">
        <v>5</v>
      </c>
    </row>
    <row r="363" spans="1:5" x14ac:dyDescent="0.25">
      <c r="A363" s="12"/>
      <c r="B363" s="4"/>
      <c r="C363" s="4"/>
      <c r="D363" s="4" t="s">
        <v>286</v>
      </c>
      <c r="E363" s="5">
        <v>3</v>
      </c>
    </row>
    <row r="364" spans="1:5" x14ac:dyDescent="0.25">
      <c r="A364" s="12"/>
      <c r="B364" s="4"/>
      <c r="C364" s="4"/>
      <c r="D364" s="4" t="s">
        <v>292</v>
      </c>
      <c r="E364" s="5">
        <v>2</v>
      </c>
    </row>
    <row r="365" spans="1:5" x14ac:dyDescent="0.25">
      <c r="A365" s="12"/>
      <c r="B365" s="4"/>
      <c r="C365" s="4" t="s">
        <v>161</v>
      </c>
      <c r="D365" s="4" t="s">
        <v>275</v>
      </c>
      <c r="E365" s="5">
        <v>6</v>
      </c>
    </row>
    <row r="366" spans="1:5" x14ac:dyDescent="0.25">
      <c r="A366" s="12"/>
      <c r="B366" s="4"/>
      <c r="C366" s="4"/>
      <c r="D366" s="4" t="s">
        <v>276</v>
      </c>
      <c r="E366" s="5">
        <v>11</v>
      </c>
    </row>
    <row r="367" spans="1:5" x14ac:dyDescent="0.25">
      <c r="A367" s="12"/>
      <c r="B367" s="4"/>
      <c r="C367" s="4"/>
      <c r="D367" s="4" t="s">
        <v>286</v>
      </c>
      <c r="E367" s="5">
        <v>9</v>
      </c>
    </row>
    <row r="368" spans="1:5" x14ac:dyDescent="0.25">
      <c r="A368" s="12"/>
      <c r="B368" s="4"/>
      <c r="C368" s="4"/>
      <c r="D368" s="4" t="s">
        <v>291</v>
      </c>
      <c r="E368" s="5">
        <v>9</v>
      </c>
    </row>
    <row r="369" spans="1:5" x14ac:dyDescent="0.25">
      <c r="A369" s="12"/>
      <c r="B369" s="4"/>
      <c r="C369" s="4"/>
      <c r="D369" s="4" t="s">
        <v>292</v>
      </c>
      <c r="E369" s="5">
        <v>3</v>
      </c>
    </row>
    <row r="370" spans="1:5" x14ac:dyDescent="0.25">
      <c r="A370" s="12"/>
      <c r="B370" s="4" t="s">
        <v>220</v>
      </c>
      <c r="C370" s="4"/>
      <c r="D370" s="4"/>
      <c r="E370" s="5">
        <v>188</v>
      </c>
    </row>
    <row r="371" spans="1:5" ht="105" customHeight="1" x14ac:dyDescent="0.25">
      <c r="A371" s="12"/>
      <c r="B371" s="4" t="s">
        <v>112</v>
      </c>
      <c r="C371" s="4" t="s">
        <v>158</v>
      </c>
      <c r="D371" s="4" t="s">
        <v>290</v>
      </c>
      <c r="E371" s="5">
        <v>2</v>
      </c>
    </row>
    <row r="372" spans="1:5" ht="105" customHeight="1" x14ac:dyDescent="0.25">
      <c r="A372" s="12"/>
      <c r="B372" s="4"/>
      <c r="C372" s="4" t="s">
        <v>159</v>
      </c>
      <c r="D372" s="4" t="s">
        <v>276</v>
      </c>
      <c r="E372" s="5">
        <v>1</v>
      </c>
    </row>
    <row r="373" spans="1:5" x14ac:dyDescent="0.25">
      <c r="A373" s="12"/>
      <c r="B373" s="4"/>
      <c r="C373" s="4"/>
      <c r="D373" s="4" t="s">
        <v>291</v>
      </c>
      <c r="E373" s="5">
        <v>1</v>
      </c>
    </row>
    <row r="374" spans="1:5" ht="105" customHeight="1" x14ac:dyDescent="0.25">
      <c r="A374" s="12"/>
      <c r="B374" s="4"/>
      <c r="C374" s="4" t="s">
        <v>160</v>
      </c>
      <c r="D374" s="4" t="s">
        <v>275</v>
      </c>
      <c r="E374" s="5">
        <v>2</v>
      </c>
    </row>
    <row r="375" spans="1:5" x14ac:dyDescent="0.25">
      <c r="A375" s="12"/>
      <c r="B375" s="4"/>
      <c r="C375" s="4"/>
      <c r="D375" s="4" t="s">
        <v>276</v>
      </c>
      <c r="E375" s="5">
        <v>9</v>
      </c>
    </row>
    <row r="376" spans="1:5" x14ac:dyDescent="0.25">
      <c r="A376" s="12"/>
      <c r="B376" s="4"/>
      <c r="C376" s="4"/>
      <c r="D376" s="4" t="s">
        <v>290</v>
      </c>
      <c r="E376" s="5">
        <v>11</v>
      </c>
    </row>
    <row r="377" spans="1:5" x14ac:dyDescent="0.25">
      <c r="A377" s="12"/>
      <c r="B377" s="4"/>
      <c r="C377" s="4"/>
      <c r="D377" s="4" t="s">
        <v>286</v>
      </c>
      <c r="E377" s="5">
        <v>5</v>
      </c>
    </row>
    <row r="378" spans="1:5" x14ac:dyDescent="0.25">
      <c r="A378" s="12"/>
      <c r="B378" s="4"/>
      <c r="C378" s="4"/>
      <c r="D378" s="4" t="s">
        <v>291</v>
      </c>
      <c r="E378" s="5">
        <v>8</v>
      </c>
    </row>
    <row r="379" spans="1:5" ht="105" customHeight="1" x14ac:dyDescent="0.25">
      <c r="A379" s="12"/>
      <c r="B379" s="4"/>
      <c r="C379" s="4" t="s">
        <v>153</v>
      </c>
      <c r="D379" s="4" t="s">
        <v>275</v>
      </c>
      <c r="E379" s="5">
        <v>6</v>
      </c>
    </row>
    <row r="380" spans="1:5" x14ac:dyDescent="0.25">
      <c r="A380" s="12"/>
      <c r="B380" s="4"/>
      <c r="C380" s="4"/>
      <c r="D380" s="4" t="s">
        <v>276</v>
      </c>
      <c r="E380" s="5">
        <v>15</v>
      </c>
    </row>
    <row r="381" spans="1:5" x14ac:dyDescent="0.25">
      <c r="A381" s="12"/>
      <c r="B381" s="4"/>
      <c r="C381" s="4"/>
      <c r="D381" s="4" t="s">
        <v>290</v>
      </c>
      <c r="E381" s="5">
        <v>17</v>
      </c>
    </row>
    <row r="382" spans="1:5" x14ac:dyDescent="0.25">
      <c r="A382" s="12"/>
      <c r="B382" s="4"/>
      <c r="C382" s="4"/>
      <c r="D382" s="4" t="s">
        <v>286</v>
      </c>
      <c r="E382" s="5">
        <v>19</v>
      </c>
    </row>
    <row r="383" spans="1:5" x14ac:dyDescent="0.25">
      <c r="A383" s="12"/>
      <c r="B383" s="4"/>
      <c r="C383" s="4"/>
      <c r="D383" s="4" t="s">
        <v>291</v>
      </c>
      <c r="E383" s="5">
        <v>12</v>
      </c>
    </row>
    <row r="384" spans="1:5" x14ac:dyDescent="0.25">
      <c r="A384" s="12"/>
      <c r="B384" s="4" t="s">
        <v>221</v>
      </c>
      <c r="C384" s="4"/>
      <c r="D384" s="4"/>
      <c r="E384" s="5">
        <v>108</v>
      </c>
    </row>
    <row r="385" spans="1:5" ht="105" customHeight="1" x14ac:dyDescent="0.25">
      <c r="A385" s="12"/>
      <c r="B385" s="4" t="s">
        <v>113</v>
      </c>
      <c r="C385" s="4" t="s">
        <v>159</v>
      </c>
      <c r="D385" s="4" t="s">
        <v>275</v>
      </c>
      <c r="E385" s="5">
        <v>8</v>
      </c>
    </row>
    <row r="386" spans="1:5" x14ac:dyDescent="0.25">
      <c r="A386" s="12"/>
      <c r="B386" s="4"/>
      <c r="C386" s="4"/>
      <c r="D386" s="4" t="s">
        <v>276</v>
      </c>
      <c r="E386" s="5">
        <v>16</v>
      </c>
    </row>
    <row r="387" spans="1:5" x14ac:dyDescent="0.25">
      <c r="A387" s="12"/>
      <c r="B387" s="4"/>
      <c r="C387" s="4"/>
      <c r="D387" s="4" t="s">
        <v>290</v>
      </c>
      <c r="E387" s="5">
        <v>22</v>
      </c>
    </row>
    <row r="388" spans="1:5" x14ac:dyDescent="0.25">
      <c r="A388" s="12"/>
      <c r="B388" s="4"/>
      <c r="C388" s="4"/>
      <c r="D388" s="4" t="s">
        <v>286</v>
      </c>
      <c r="E388" s="5">
        <v>23</v>
      </c>
    </row>
    <row r="389" spans="1:5" x14ac:dyDescent="0.25">
      <c r="A389" s="12"/>
      <c r="B389" s="4"/>
      <c r="C389" s="4"/>
      <c r="D389" s="4" t="s">
        <v>291</v>
      </c>
      <c r="E389" s="5">
        <v>6</v>
      </c>
    </row>
    <row r="390" spans="1:5" x14ac:dyDescent="0.25">
      <c r="A390" s="12"/>
      <c r="B390" s="4" t="s">
        <v>222</v>
      </c>
      <c r="C390" s="4"/>
      <c r="D390" s="4"/>
      <c r="E390" s="5">
        <v>75</v>
      </c>
    </row>
    <row r="391" spans="1:5" ht="105" customHeight="1" x14ac:dyDescent="0.25">
      <c r="A391" s="12"/>
      <c r="B391" s="4" t="s">
        <v>114</v>
      </c>
      <c r="C391" s="4" t="s">
        <v>153</v>
      </c>
      <c r="D391" s="4" t="s">
        <v>275</v>
      </c>
      <c r="E391" s="5">
        <v>2</v>
      </c>
    </row>
    <row r="392" spans="1:5" x14ac:dyDescent="0.25">
      <c r="A392" s="12"/>
      <c r="B392" s="4"/>
      <c r="C392" s="4"/>
      <c r="D392" s="4" t="s">
        <v>276</v>
      </c>
      <c r="E392" s="5">
        <v>9</v>
      </c>
    </row>
    <row r="393" spans="1:5" x14ac:dyDescent="0.25">
      <c r="A393" s="12"/>
      <c r="B393" s="4"/>
      <c r="C393" s="4"/>
      <c r="D393" s="4" t="s">
        <v>290</v>
      </c>
      <c r="E393" s="5">
        <v>13</v>
      </c>
    </row>
    <row r="394" spans="1:5" x14ac:dyDescent="0.25">
      <c r="A394" s="12"/>
      <c r="B394" s="4"/>
      <c r="C394" s="4"/>
      <c r="D394" s="4" t="s">
        <v>286</v>
      </c>
      <c r="E394" s="5">
        <v>18</v>
      </c>
    </row>
    <row r="395" spans="1:5" x14ac:dyDescent="0.25">
      <c r="A395" s="12"/>
      <c r="B395" s="4"/>
      <c r="C395" s="4"/>
      <c r="D395" s="4" t="s">
        <v>291</v>
      </c>
      <c r="E395" s="5">
        <v>2</v>
      </c>
    </row>
    <row r="396" spans="1:5" x14ac:dyDescent="0.25">
      <c r="A396" s="12"/>
      <c r="B396" s="4" t="s">
        <v>223</v>
      </c>
      <c r="C396" s="4"/>
      <c r="D396" s="4"/>
      <c r="E396" s="5">
        <v>44</v>
      </c>
    </row>
    <row r="397" spans="1:5" ht="105" customHeight="1" x14ac:dyDescent="0.25">
      <c r="A397" s="12"/>
      <c r="B397" s="4" t="s">
        <v>115</v>
      </c>
      <c r="C397" s="4" t="s">
        <v>158</v>
      </c>
      <c r="D397" s="4" t="s">
        <v>274</v>
      </c>
      <c r="E397" s="5">
        <v>2</v>
      </c>
    </row>
    <row r="398" spans="1:5" ht="105" customHeight="1" x14ac:dyDescent="0.25">
      <c r="A398" s="12"/>
      <c r="B398" s="4"/>
      <c r="C398" s="4" t="s">
        <v>224</v>
      </c>
      <c r="D398" s="4" t="s">
        <v>270</v>
      </c>
      <c r="E398" s="5">
        <v>5</v>
      </c>
    </row>
    <row r="399" spans="1:5" x14ac:dyDescent="0.25">
      <c r="A399" s="12"/>
      <c r="B399" s="4"/>
      <c r="C399" s="4"/>
      <c r="D399" s="4" t="s">
        <v>271</v>
      </c>
      <c r="E399" s="5">
        <v>11</v>
      </c>
    </row>
    <row r="400" spans="1:5" x14ac:dyDescent="0.25">
      <c r="A400" s="12"/>
      <c r="B400" s="4"/>
      <c r="C400" s="4"/>
      <c r="D400" s="4" t="s">
        <v>272</v>
      </c>
      <c r="E400" s="5">
        <v>11</v>
      </c>
    </row>
    <row r="401" spans="1:5" x14ac:dyDescent="0.25">
      <c r="A401" s="12"/>
      <c r="B401" s="4"/>
      <c r="C401" s="4"/>
      <c r="D401" s="4" t="s">
        <v>274</v>
      </c>
      <c r="E401" s="5">
        <v>14</v>
      </c>
    </row>
    <row r="402" spans="1:5" x14ac:dyDescent="0.25">
      <c r="A402" s="12"/>
      <c r="B402" s="4"/>
      <c r="C402" s="4"/>
      <c r="D402" s="4" t="s">
        <v>275</v>
      </c>
      <c r="E402" s="5">
        <v>6</v>
      </c>
    </row>
    <row r="403" spans="1:5" x14ac:dyDescent="0.25">
      <c r="A403" s="12"/>
      <c r="B403" s="4"/>
      <c r="C403" s="4"/>
      <c r="D403" s="4" t="s">
        <v>276</v>
      </c>
      <c r="E403" s="5">
        <v>3</v>
      </c>
    </row>
    <row r="404" spans="1:5" ht="105" customHeight="1" x14ac:dyDescent="0.25">
      <c r="A404" s="12"/>
      <c r="B404" s="4"/>
      <c r="C404" s="4" t="s">
        <v>153</v>
      </c>
      <c r="D404" s="4" t="s">
        <v>270</v>
      </c>
      <c r="E404" s="5">
        <v>6</v>
      </c>
    </row>
    <row r="405" spans="1:5" x14ac:dyDescent="0.25">
      <c r="A405" s="12"/>
      <c r="B405" s="4"/>
      <c r="C405" s="4"/>
      <c r="D405" s="4" t="s">
        <v>271</v>
      </c>
      <c r="E405" s="5">
        <v>8</v>
      </c>
    </row>
    <row r="406" spans="1:5" x14ac:dyDescent="0.25">
      <c r="A406" s="12"/>
      <c r="B406" s="4"/>
      <c r="C406" s="4"/>
      <c r="D406" s="4" t="s">
        <v>272</v>
      </c>
      <c r="E406" s="5">
        <v>6</v>
      </c>
    </row>
    <row r="407" spans="1:5" x14ac:dyDescent="0.25">
      <c r="A407" s="12"/>
      <c r="B407" s="4"/>
      <c r="C407" s="4"/>
      <c r="D407" s="4" t="s">
        <v>274</v>
      </c>
      <c r="E407" s="5">
        <v>15</v>
      </c>
    </row>
    <row r="408" spans="1:5" x14ac:dyDescent="0.25">
      <c r="A408" s="12"/>
      <c r="B408" s="4"/>
      <c r="C408" s="4"/>
      <c r="D408" s="4" t="s">
        <v>275</v>
      </c>
      <c r="E408" s="5">
        <v>6</v>
      </c>
    </row>
    <row r="409" spans="1:5" x14ac:dyDescent="0.25">
      <c r="A409" s="12"/>
      <c r="B409" s="4" t="s">
        <v>225</v>
      </c>
      <c r="C409" s="4"/>
      <c r="D409" s="4"/>
      <c r="E409" s="5">
        <v>93</v>
      </c>
    </row>
    <row r="410" spans="1:5" ht="105" customHeight="1" x14ac:dyDescent="0.25">
      <c r="A410" s="12"/>
      <c r="B410" s="4" t="s">
        <v>116</v>
      </c>
      <c r="C410" s="4" t="s">
        <v>159</v>
      </c>
      <c r="D410" s="4" t="s">
        <v>270</v>
      </c>
      <c r="E410" s="5">
        <v>1</v>
      </c>
    </row>
    <row r="411" spans="1:5" x14ac:dyDescent="0.25">
      <c r="A411" s="12"/>
      <c r="B411" s="4"/>
      <c r="C411" s="4"/>
      <c r="D411" s="4" t="s">
        <v>271</v>
      </c>
      <c r="E411" s="5">
        <v>3</v>
      </c>
    </row>
    <row r="412" spans="1:5" x14ac:dyDescent="0.25">
      <c r="A412" s="12"/>
      <c r="B412" s="4" t="s">
        <v>226</v>
      </c>
      <c r="C412" s="4"/>
      <c r="D412" s="4"/>
      <c r="E412" s="5">
        <v>4</v>
      </c>
    </row>
    <row r="413" spans="1:5" ht="105" customHeight="1" x14ac:dyDescent="0.25">
      <c r="A413" s="12"/>
      <c r="B413" s="4" t="s">
        <v>117</v>
      </c>
      <c r="C413" s="4" t="s">
        <v>158</v>
      </c>
      <c r="D413" s="4" t="s">
        <v>275</v>
      </c>
      <c r="E413" s="5">
        <v>1</v>
      </c>
    </row>
    <row r="414" spans="1:5" x14ac:dyDescent="0.25">
      <c r="A414" s="12"/>
      <c r="B414" s="4"/>
      <c r="C414" s="4"/>
      <c r="D414" s="4" t="s">
        <v>276</v>
      </c>
      <c r="E414" s="5">
        <v>1</v>
      </c>
    </row>
    <row r="415" spans="1:5" x14ac:dyDescent="0.25">
      <c r="A415" s="12"/>
      <c r="B415" s="4" t="s">
        <v>227</v>
      </c>
      <c r="C415" s="4"/>
      <c r="D415" s="4"/>
      <c r="E415" s="5">
        <v>2</v>
      </c>
    </row>
    <row r="416" spans="1:5" ht="105" customHeight="1" x14ac:dyDescent="0.25">
      <c r="A416" s="12"/>
      <c r="B416" s="4" t="s">
        <v>118</v>
      </c>
      <c r="C416" s="4" t="s">
        <v>160</v>
      </c>
      <c r="D416" s="4" t="s">
        <v>269</v>
      </c>
      <c r="E416" s="5">
        <v>12</v>
      </c>
    </row>
    <row r="417" spans="1:5" x14ac:dyDescent="0.25">
      <c r="A417" s="12"/>
      <c r="B417" s="4" t="s">
        <v>228</v>
      </c>
      <c r="C417" s="4"/>
      <c r="D417" s="4"/>
      <c r="E417" s="5">
        <v>12</v>
      </c>
    </row>
    <row r="418" spans="1:5" ht="105" customHeight="1" x14ac:dyDescent="0.25">
      <c r="A418" s="12"/>
      <c r="B418" s="4" t="s">
        <v>119</v>
      </c>
      <c r="C418" s="4" t="s">
        <v>158</v>
      </c>
      <c r="D418" s="4" t="s">
        <v>275</v>
      </c>
      <c r="E418" s="5">
        <v>15</v>
      </c>
    </row>
    <row r="419" spans="1:5" x14ac:dyDescent="0.25">
      <c r="A419" s="12"/>
      <c r="B419" s="4"/>
      <c r="C419" s="4"/>
      <c r="D419" s="4" t="s">
        <v>276</v>
      </c>
      <c r="E419" s="5">
        <v>29</v>
      </c>
    </row>
    <row r="420" spans="1:5" x14ac:dyDescent="0.25">
      <c r="A420" s="12"/>
      <c r="B420" s="4"/>
      <c r="C420" s="4"/>
      <c r="D420" s="4" t="s">
        <v>290</v>
      </c>
      <c r="E420" s="5">
        <v>42</v>
      </c>
    </row>
    <row r="421" spans="1:5" x14ac:dyDescent="0.25">
      <c r="A421" s="12"/>
      <c r="B421" s="4"/>
      <c r="C421" s="4"/>
      <c r="D421" s="4" t="s">
        <v>286</v>
      </c>
      <c r="E421" s="5">
        <v>6</v>
      </c>
    </row>
    <row r="422" spans="1:5" x14ac:dyDescent="0.25">
      <c r="A422" s="12"/>
      <c r="B422" s="4"/>
      <c r="C422" s="4"/>
      <c r="D422" s="4" t="s">
        <v>291</v>
      </c>
      <c r="E422" s="5">
        <v>27</v>
      </c>
    </row>
    <row r="423" spans="1:5" ht="105" customHeight="1" x14ac:dyDescent="0.25">
      <c r="A423" s="12"/>
      <c r="B423" s="4"/>
      <c r="C423" s="4" t="s">
        <v>159</v>
      </c>
      <c r="D423" s="4" t="s">
        <v>275</v>
      </c>
      <c r="E423" s="5">
        <v>1</v>
      </c>
    </row>
    <row r="424" spans="1:5" x14ac:dyDescent="0.25">
      <c r="A424" s="12"/>
      <c r="B424" s="4"/>
      <c r="C424" s="4"/>
      <c r="D424" s="4" t="s">
        <v>276</v>
      </c>
      <c r="E424" s="5">
        <v>10</v>
      </c>
    </row>
    <row r="425" spans="1:5" x14ac:dyDescent="0.25">
      <c r="A425" s="12"/>
      <c r="B425" s="4"/>
      <c r="C425" s="4"/>
      <c r="D425" s="4" t="s">
        <v>290</v>
      </c>
      <c r="E425" s="5">
        <v>18</v>
      </c>
    </row>
    <row r="426" spans="1:5" x14ac:dyDescent="0.25">
      <c r="A426" s="12"/>
      <c r="B426" s="4"/>
      <c r="C426" s="4"/>
      <c r="D426" s="4" t="s">
        <v>286</v>
      </c>
      <c r="E426" s="5">
        <v>7</v>
      </c>
    </row>
    <row r="427" spans="1:5" x14ac:dyDescent="0.25">
      <c r="A427" s="12"/>
      <c r="B427" s="4"/>
      <c r="C427" s="4"/>
      <c r="D427" s="4" t="s">
        <v>291</v>
      </c>
      <c r="E427" s="5">
        <v>11</v>
      </c>
    </row>
    <row r="428" spans="1:5" ht="105" customHeight="1" x14ac:dyDescent="0.25">
      <c r="A428" s="12"/>
      <c r="B428" s="4"/>
      <c r="C428" s="4" t="s">
        <v>161</v>
      </c>
      <c r="D428" s="4" t="s">
        <v>275</v>
      </c>
      <c r="E428" s="5">
        <v>6</v>
      </c>
    </row>
    <row r="429" spans="1:5" x14ac:dyDescent="0.25">
      <c r="A429" s="12"/>
      <c r="B429" s="4"/>
      <c r="C429" s="4"/>
      <c r="D429" s="4" t="s">
        <v>276</v>
      </c>
      <c r="E429" s="5">
        <v>13</v>
      </c>
    </row>
    <row r="430" spans="1:5" x14ac:dyDescent="0.25">
      <c r="A430" s="12"/>
      <c r="B430" s="4"/>
      <c r="C430" s="4"/>
      <c r="D430" s="4" t="s">
        <v>290</v>
      </c>
      <c r="E430" s="5">
        <v>8</v>
      </c>
    </row>
    <row r="431" spans="1:5" x14ac:dyDescent="0.25">
      <c r="A431" s="12"/>
      <c r="B431" s="4"/>
      <c r="C431" s="4"/>
      <c r="D431" s="4" t="s">
        <v>291</v>
      </c>
      <c r="E431" s="5">
        <v>8</v>
      </c>
    </row>
    <row r="432" spans="1:5" x14ac:dyDescent="0.25">
      <c r="A432" s="12"/>
      <c r="B432" s="4" t="s">
        <v>229</v>
      </c>
      <c r="C432" s="4"/>
      <c r="D432" s="4"/>
      <c r="E432" s="5">
        <v>201</v>
      </c>
    </row>
    <row r="433" spans="1:5" ht="105" customHeight="1" x14ac:dyDescent="0.25">
      <c r="A433" s="12"/>
      <c r="B433" s="4" t="s">
        <v>120</v>
      </c>
      <c r="C433" s="4" t="s">
        <v>158</v>
      </c>
      <c r="D433" s="4" t="s">
        <v>269</v>
      </c>
      <c r="E433" s="5">
        <v>120</v>
      </c>
    </row>
    <row r="434" spans="1:5" ht="105" customHeight="1" x14ac:dyDescent="0.25">
      <c r="A434" s="12"/>
      <c r="B434" s="4"/>
      <c r="C434" s="4" t="s">
        <v>159</v>
      </c>
      <c r="D434" s="4" t="s">
        <v>269</v>
      </c>
      <c r="E434" s="5">
        <v>60</v>
      </c>
    </row>
    <row r="435" spans="1:5" ht="105" customHeight="1" x14ac:dyDescent="0.25">
      <c r="A435" s="12"/>
      <c r="B435" s="4"/>
      <c r="C435" s="4" t="s">
        <v>160</v>
      </c>
      <c r="D435" s="4" t="s">
        <v>269</v>
      </c>
      <c r="E435" s="5">
        <v>12</v>
      </c>
    </row>
    <row r="436" spans="1:5" x14ac:dyDescent="0.25">
      <c r="A436" s="12"/>
      <c r="B436" s="4"/>
      <c r="C436" s="4"/>
      <c r="D436" s="4" t="s">
        <v>293</v>
      </c>
      <c r="E436" s="5">
        <v>12</v>
      </c>
    </row>
    <row r="437" spans="1:5" ht="105" customHeight="1" x14ac:dyDescent="0.25">
      <c r="A437" s="12"/>
      <c r="B437" s="4"/>
      <c r="C437" s="4" t="s">
        <v>161</v>
      </c>
      <c r="D437" s="4" t="s">
        <v>269</v>
      </c>
      <c r="E437" s="5">
        <v>60</v>
      </c>
    </row>
    <row r="438" spans="1:5" x14ac:dyDescent="0.25">
      <c r="A438" s="12"/>
      <c r="B438" s="4" t="s">
        <v>230</v>
      </c>
      <c r="C438" s="4"/>
      <c r="D438" s="4"/>
      <c r="E438" s="5">
        <v>264</v>
      </c>
    </row>
    <row r="439" spans="1:5" x14ac:dyDescent="0.25">
      <c r="A439" s="12"/>
      <c r="B439" s="4" t="s">
        <v>121</v>
      </c>
      <c r="C439" s="4" t="s">
        <v>158</v>
      </c>
      <c r="D439" s="4" t="s">
        <v>275</v>
      </c>
      <c r="E439" s="5">
        <v>1</v>
      </c>
    </row>
    <row r="440" spans="1:5" x14ac:dyDescent="0.25">
      <c r="A440" s="12"/>
      <c r="B440" s="4"/>
      <c r="C440" s="4"/>
      <c r="D440" s="4" t="s">
        <v>276</v>
      </c>
      <c r="E440" s="5">
        <v>2</v>
      </c>
    </row>
    <row r="441" spans="1:5" x14ac:dyDescent="0.25">
      <c r="A441" s="12"/>
      <c r="B441" s="4"/>
      <c r="C441" s="4"/>
      <c r="D441" s="4" t="s">
        <v>290</v>
      </c>
      <c r="E441" s="5">
        <v>1</v>
      </c>
    </row>
    <row r="442" spans="1:5" x14ac:dyDescent="0.25">
      <c r="A442" s="12"/>
      <c r="B442" s="4"/>
      <c r="C442" s="4"/>
      <c r="D442" s="4" t="s">
        <v>286</v>
      </c>
      <c r="E442" s="5">
        <v>5</v>
      </c>
    </row>
    <row r="443" spans="1:5" x14ac:dyDescent="0.25">
      <c r="A443" s="12"/>
      <c r="B443" s="4"/>
      <c r="C443" s="4"/>
      <c r="D443" s="4" t="s">
        <v>291</v>
      </c>
      <c r="E443" s="5">
        <v>1</v>
      </c>
    </row>
    <row r="444" spans="1:5" x14ac:dyDescent="0.25">
      <c r="A444" s="12"/>
      <c r="B444" s="4"/>
      <c r="C444" s="4" t="s">
        <v>159</v>
      </c>
      <c r="D444" s="4" t="s">
        <v>276</v>
      </c>
      <c r="E444" s="5">
        <v>3</v>
      </c>
    </row>
    <row r="445" spans="1:5" x14ac:dyDescent="0.25">
      <c r="A445" s="12"/>
      <c r="B445" s="4"/>
      <c r="C445" s="4"/>
      <c r="D445" s="4" t="s">
        <v>290</v>
      </c>
      <c r="E445" s="5">
        <v>5</v>
      </c>
    </row>
    <row r="446" spans="1:5" x14ac:dyDescent="0.25">
      <c r="A446" s="12"/>
      <c r="B446" s="4"/>
      <c r="C446" s="4"/>
      <c r="D446" s="4" t="s">
        <v>286</v>
      </c>
      <c r="E446" s="5">
        <v>1</v>
      </c>
    </row>
    <row r="447" spans="1:5" x14ac:dyDescent="0.25">
      <c r="A447" s="12"/>
      <c r="B447" s="4"/>
      <c r="C447" s="4"/>
      <c r="D447" s="4" t="s">
        <v>291</v>
      </c>
      <c r="E447" s="5">
        <v>1</v>
      </c>
    </row>
    <row r="448" spans="1:5" x14ac:dyDescent="0.25">
      <c r="A448" s="12"/>
      <c r="B448" s="4"/>
      <c r="C448" s="4" t="s">
        <v>160</v>
      </c>
      <c r="D448" s="4" t="s">
        <v>275</v>
      </c>
      <c r="E448" s="5">
        <v>1</v>
      </c>
    </row>
    <row r="449" spans="1:5" x14ac:dyDescent="0.25">
      <c r="A449" s="12"/>
      <c r="B449" s="4"/>
      <c r="C449" s="4"/>
      <c r="D449" s="4" t="s">
        <v>276</v>
      </c>
      <c r="E449" s="5">
        <v>3</v>
      </c>
    </row>
    <row r="450" spans="1:5" x14ac:dyDescent="0.25">
      <c r="A450" s="12"/>
      <c r="B450" s="4"/>
      <c r="C450" s="4"/>
      <c r="D450" s="4" t="s">
        <v>290</v>
      </c>
      <c r="E450" s="5">
        <v>4</v>
      </c>
    </row>
    <row r="451" spans="1:5" x14ac:dyDescent="0.25">
      <c r="A451" s="12"/>
      <c r="B451" s="4"/>
      <c r="C451" s="4"/>
      <c r="D451" s="4" t="s">
        <v>286</v>
      </c>
      <c r="E451" s="5">
        <v>2</v>
      </c>
    </row>
    <row r="452" spans="1:5" x14ac:dyDescent="0.25">
      <c r="A452" s="12"/>
      <c r="B452" s="4"/>
      <c r="C452" s="4"/>
      <c r="D452" s="4" t="s">
        <v>291</v>
      </c>
      <c r="E452" s="5">
        <v>4</v>
      </c>
    </row>
    <row r="453" spans="1:5" x14ac:dyDescent="0.25">
      <c r="A453" s="12"/>
      <c r="B453" s="4"/>
      <c r="C453" s="4" t="s">
        <v>161</v>
      </c>
      <c r="D453" s="4" t="s">
        <v>275</v>
      </c>
      <c r="E453" s="5">
        <v>2</v>
      </c>
    </row>
    <row r="454" spans="1:5" x14ac:dyDescent="0.25">
      <c r="A454" s="12"/>
      <c r="B454" s="4"/>
      <c r="C454" s="4"/>
      <c r="D454" s="4" t="s">
        <v>276</v>
      </c>
      <c r="E454" s="5">
        <v>3</v>
      </c>
    </row>
    <row r="455" spans="1:5" x14ac:dyDescent="0.25">
      <c r="A455" s="12"/>
      <c r="B455" s="4"/>
      <c r="C455" s="4"/>
      <c r="D455" s="4" t="s">
        <v>290</v>
      </c>
      <c r="E455" s="5">
        <v>1</v>
      </c>
    </row>
    <row r="456" spans="1:5" x14ac:dyDescent="0.25">
      <c r="A456" s="12"/>
      <c r="B456" s="4"/>
      <c r="C456" s="4"/>
      <c r="D456" s="4" t="s">
        <v>286</v>
      </c>
      <c r="E456" s="5">
        <v>2</v>
      </c>
    </row>
    <row r="457" spans="1:5" x14ac:dyDescent="0.25">
      <c r="A457" s="12"/>
      <c r="B457" s="4"/>
      <c r="C457" s="4"/>
      <c r="D457" s="4" t="s">
        <v>291</v>
      </c>
      <c r="E457" s="5">
        <v>1</v>
      </c>
    </row>
    <row r="458" spans="1:5" x14ac:dyDescent="0.25">
      <c r="A458" s="12"/>
      <c r="B458" s="4"/>
      <c r="C458" s="4"/>
      <c r="D458" s="4" t="s">
        <v>292</v>
      </c>
      <c r="E458" s="5">
        <v>2</v>
      </c>
    </row>
    <row r="459" spans="1:5" x14ac:dyDescent="0.25">
      <c r="A459" s="12"/>
      <c r="B459" s="4" t="s">
        <v>231</v>
      </c>
      <c r="C459" s="4"/>
      <c r="D459" s="4"/>
      <c r="E459" s="5">
        <v>45</v>
      </c>
    </row>
    <row r="460" spans="1:5" ht="105" customHeight="1" x14ac:dyDescent="0.25">
      <c r="A460" s="12"/>
      <c r="B460" s="4" t="s">
        <v>122</v>
      </c>
      <c r="C460" s="4" t="s">
        <v>158</v>
      </c>
      <c r="D460" s="4" t="s">
        <v>275</v>
      </c>
      <c r="E460" s="5">
        <v>1</v>
      </c>
    </row>
    <row r="461" spans="1:5" x14ac:dyDescent="0.25">
      <c r="A461" s="12"/>
      <c r="B461" s="4"/>
      <c r="C461" s="4"/>
      <c r="D461" s="4" t="s">
        <v>276</v>
      </c>
      <c r="E461" s="5">
        <v>1</v>
      </c>
    </row>
    <row r="462" spans="1:5" x14ac:dyDescent="0.25">
      <c r="A462" s="12"/>
      <c r="B462" s="4"/>
      <c r="C462" s="4"/>
      <c r="D462" s="4" t="s">
        <v>290</v>
      </c>
      <c r="E462" s="5">
        <v>1</v>
      </c>
    </row>
    <row r="463" spans="1:5" x14ac:dyDescent="0.25">
      <c r="A463" s="12"/>
      <c r="B463" s="4"/>
      <c r="C463" s="4"/>
      <c r="D463" s="4" t="s">
        <v>291</v>
      </c>
      <c r="E463" s="5">
        <v>1</v>
      </c>
    </row>
    <row r="464" spans="1:5" x14ac:dyDescent="0.25">
      <c r="A464" s="12"/>
      <c r="B464" s="4"/>
      <c r="C464" s="4"/>
      <c r="D464" s="4" t="s">
        <v>292</v>
      </c>
      <c r="E464" s="5">
        <v>1</v>
      </c>
    </row>
    <row r="465" spans="1:5" x14ac:dyDescent="0.25">
      <c r="A465" s="12"/>
      <c r="B465" s="4" t="s">
        <v>232</v>
      </c>
      <c r="C465" s="4"/>
      <c r="D465" s="4"/>
      <c r="E465" s="5">
        <v>5</v>
      </c>
    </row>
    <row r="466" spans="1:5" ht="105" customHeight="1" x14ac:dyDescent="0.25">
      <c r="A466" s="12"/>
      <c r="B466" s="4" t="s">
        <v>123</v>
      </c>
      <c r="C466" s="4" t="s">
        <v>233</v>
      </c>
      <c r="D466" s="4" t="s">
        <v>285</v>
      </c>
      <c r="E466" s="5">
        <v>12</v>
      </c>
    </row>
    <row r="467" spans="1:5" x14ac:dyDescent="0.25">
      <c r="A467" s="12"/>
      <c r="B467" s="4" t="s">
        <v>234</v>
      </c>
      <c r="C467" s="4"/>
      <c r="D467" s="4"/>
      <c r="E467" s="5">
        <v>12</v>
      </c>
    </row>
    <row r="468" spans="1:5" ht="105" customHeight="1" x14ac:dyDescent="0.25">
      <c r="A468" s="12"/>
      <c r="B468" s="4" t="s">
        <v>124</v>
      </c>
      <c r="C468" s="4" t="s">
        <v>161</v>
      </c>
      <c r="D468" s="4" t="s">
        <v>269</v>
      </c>
      <c r="E468" s="5">
        <v>564</v>
      </c>
    </row>
    <row r="469" spans="1:5" x14ac:dyDescent="0.25">
      <c r="A469" s="12"/>
      <c r="B469" s="4" t="s">
        <v>235</v>
      </c>
      <c r="C469" s="4"/>
      <c r="D469" s="4"/>
      <c r="E469" s="5">
        <v>564</v>
      </c>
    </row>
    <row r="470" spans="1:5" ht="105" customHeight="1" x14ac:dyDescent="0.25">
      <c r="A470" s="12"/>
      <c r="B470" s="4" t="s">
        <v>125</v>
      </c>
      <c r="C470" s="4" t="s">
        <v>158</v>
      </c>
      <c r="D470" s="4" t="s">
        <v>286</v>
      </c>
      <c r="E470" s="5">
        <v>1</v>
      </c>
    </row>
    <row r="471" spans="1:5" x14ac:dyDescent="0.25">
      <c r="A471" s="12"/>
      <c r="B471" s="4" t="s">
        <v>236</v>
      </c>
      <c r="C471" s="4"/>
      <c r="D471" s="4"/>
      <c r="E471" s="5">
        <v>1</v>
      </c>
    </row>
    <row r="472" spans="1:5" x14ac:dyDescent="0.25">
      <c r="A472" s="12"/>
      <c r="B472" s="4" t="s">
        <v>126</v>
      </c>
      <c r="C472" s="4" t="s">
        <v>196</v>
      </c>
      <c r="D472" s="4" t="s">
        <v>293</v>
      </c>
      <c r="E472" s="5">
        <v>24</v>
      </c>
    </row>
    <row r="473" spans="1:5" x14ac:dyDescent="0.25">
      <c r="A473" s="12"/>
      <c r="B473" s="4" t="s">
        <v>237</v>
      </c>
      <c r="C473" s="4"/>
      <c r="D473" s="4"/>
      <c r="E473" s="5">
        <v>24</v>
      </c>
    </row>
    <row r="474" spans="1:5" x14ac:dyDescent="0.25">
      <c r="A474" s="12"/>
      <c r="B474" s="4" t="s">
        <v>127</v>
      </c>
      <c r="C474" s="4" t="s">
        <v>166</v>
      </c>
      <c r="D474" s="4" t="s">
        <v>269</v>
      </c>
      <c r="E474" s="5">
        <v>84</v>
      </c>
    </row>
    <row r="475" spans="1:5" ht="105" customHeight="1" x14ac:dyDescent="0.25">
      <c r="A475" s="12"/>
      <c r="B475" s="4"/>
      <c r="C475" s="4" t="s">
        <v>158</v>
      </c>
      <c r="D475" s="4" t="s">
        <v>275</v>
      </c>
      <c r="E475" s="5">
        <v>1</v>
      </c>
    </row>
    <row r="476" spans="1:5" x14ac:dyDescent="0.25">
      <c r="A476" s="12"/>
      <c r="B476" s="4"/>
      <c r="C476" s="4"/>
      <c r="D476" s="4" t="s">
        <v>290</v>
      </c>
      <c r="E476" s="5">
        <v>1</v>
      </c>
    </row>
    <row r="477" spans="1:5" x14ac:dyDescent="0.25">
      <c r="A477" s="12"/>
      <c r="B477" s="4"/>
      <c r="C477" s="4"/>
      <c r="D477" s="4" t="s">
        <v>286</v>
      </c>
      <c r="E477" s="5">
        <v>1</v>
      </c>
    </row>
    <row r="478" spans="1:5" x14ac:dyDescent="0.25">
      <c r="A478" s="12"/>
      <c r="B478" s="4"/>
      <c r="C478" s="4"/>
      <c r="D478" s="4" t="s">
        <v>292</v>
      </c>
      <c r="E478" s="5">
        <v>1</v>
      </c>
    </row>
    <row r="479" spans="1:5" x14ac:dyDescent="0.25">
      <c r="A479" s="12"/>
      <c r="B479" s="4"/>
      <c r="C479" s="4"/>
      <c r="D479" s="4" t="s">
        <v>269</v>
      </c>
      <c r="E479" s="5">
        <v>96</v>
      </c>
    </row>
    <row r="480" spans="1:5" x14ac:dyDescent="0.25">
      <c r="A480" s="12"/>
      <c r="B480" s="4"/>
      <c r="C480" s="4" t="s">
        <v>159</v>
      </c>
      <c r="D480" s="4" t="s">
        <v>269</v>
      </c>
      <c r="E480" s="5">
        <v>48</v>
      </c>
    </row>
    <row r="481" spans="1:5" x14ac:dyDescent="0.25">
      <c r="A481" s="12"/>
      <c r="B481" s="4" t="s">
        <v>238</v>
      </c>
      <c r="C481" s="4"/>
      <c r="D481" s="4"/>
      <c r="E481" s="5">
        <v>232</v>
      </c>
    </row>
    <row r="482" spans="1:5" x14ac:dyDescent="0.25">
      <c r="A482" s="12"/>
      <c r="B482" s="4" t="s">
        <v>128</v>
      </c>
      <c r="C482" s="4" t="s">
        <v>166</v>
      </c>
      <c r="D482" s="4" t="s">
        <v>276</v>
      </c>
      <c r="E482" s="5">
        <v>7</v>
      </c>
    </row>
    <row r="483" spans="1:5" x14ac:dyDescent="0.25">
      <c r="A483" s="12"/>
      <c r="B483" s="4"/>
      <c r="C483" s="4" t="s">
        <v>159</v>
      </c>
      <c r="D483" s="4" t="s">
        <v>275</v>
      </c>
      <c r="E483" s="5">
        <v>2</v>
      </c>
    </row>
    <row r="484" spans="1:5" x14ac:dyDescent="0.25">
      <c r="A484" s="12"/>
      <c r="B484" s="4"/>
      <c r="C484" s="4"/>
      <c r="D484" s="4" t="s">
        <v>276</v>
      </c>
      <c r="E484" s="5">
        <v>2</v>
      </c>
    </row>
    <row r="485" spans="1:5" x14ac:dyDescent="0.25">
      <c r="A485" s="12"/>
      <c r="B485" s="4"/>
      <c r="C485" s="4"/>
      <c r="D485" s="4" t="s">
        <v>290</v>
      </c>
      <c r="E485" s="5">
        <v>1</v>
      </c>
    </row>
    <row r="486" spans="1:5" x14ac:dyDescent="0.25">
      <c r="A486" s="12"/>
      <c r="B486" s="4" t="s">
        <v>239</v>
      </c>
      <c r="C486" s="4"/>
      <c r="D486" s="4"/>
      <c r="E486" s="5">
        <v>12</v>
      </c>
    </row>
    <row r="487" spans="1:5" ht="105" customHeight="1" x14ac:dyDescent="0.25">
      <c r="A487" s="12"/>
      <c r="B487" s="4" t="s">
        <v>129</v>
      </c>
      <c r="C487" s="4" t="s">
        <v>166</v>
      </c>
      <c r="D487" s="4" t="s">
        <v>276</v>
      </c>
      <c r="E487" s="5">
        <v>2</v>
      </c>
    </row>
    <row r="488" spans="1:5" x14ac:dyDescent="0.25">
      <c r="A488" s="12"/>
      <c r="B488" s="4"/>
      <c r="C488" s="4"/>
      <c r="D488" s="4" t="s">
        <v>290</v>
      </c>
      <c r="E488" s="5">
        <v>9</v>
      </c>
    </row>
    <row r="489" spans="1:5" x14ac:dyDescent="0.25">
      <c r="A489" s="12"/>
      <c r="B489" s="4"/>
      <c r="C489" s="4"/>
      <c r="D489" s="4" t="s">
        <v>286</v>
      </c>
      <c r="E489" s="5">
        <v>13</v>
      </c>
    </row>
    <row r="490" spans="1:5" ht="105" customHeight="1" x14ac:dyDescent="0.25">
      <c r="A490" s="12"/>
      <c r="B490" s="4"/>
      <c r="C490" s="4" t="s">
        <v>159</v>
      </c>
      <c r="D490" s="4" t="s">
        <v>276</v>
      </c>
      <c r="E490" s="5">
        <v>7</v>
      </c>
    </row>
    <row r="491" spans="1:5" x14ac:dyDescent="0.25">
      <c r="A491" s="12"/>
      <c r="B491" s="4"/>
      <c r="C491" s="4"/>
      <c r="D491" s="4" t="s">
        <v>290</v>
      </c>
      <c r="E491" s="5">
        <v>9</v>
      </c>
    </row>
    <row r="492" spans="1:5" x14ac:dyDescent="0.25">
      <c r="A492" s="12"/>
      <c r="B492" s="4" t="s">
        <v>240</v>
      </c>
      <c r="C492" s="4"/>
      <c r="D492" s="4"/>
      <c r="E492" s="5">
        <v>40</v>
      </c>
    </row>
    <row r="493" spans="1:5" ht="105" customHeight="1" x14ac:dyDescent="0.25">
      <c r="A493" s="12"/>
      <c r="B493" s="4" t="s">
        <v>130</v>
      </c>
      <c r="C493" s="4" t="s">
        <v>167</v>
      </c>
      <c r="D493" s="4" t="s">
        <v>270</v>
      </c>
      <c r="E493" s="5">
        <v>1</v>
      </c>
    </row>
    <row r="494" spans="1:5" x14ac:dyDescent="0.25">
      <c r="A494" s="12"/>
      <c r="B494" s="4"/>
      <c r="C494" s="4"/>
      <c r="D494" s="4" t="s">
        <v>271</v>
      </c>
      <c r="E494" s="5">
        <v>2</v>
      </c>
    </row>
    <row r="495" spans="1:5" x14ac:dyDescent="0.25">
      <c r="A495" s="12"/>
      <c r="B495" s="4"/>
      <c r="C495" s="4"/>
      <c r="D495" s="4" t="s">
        <v>272</v>
      </c>
      <c r="E495" s="5">
        <v>2</v>
      </c>
    </row>
    <row r="496" spans="1:5" x14ac:dyDescent="0.25">
      <c r="A496" s="12"/>
      <c r="B496" s="4"/>
      <c r="C496" s="4"/>
      <c r="D496" s="4" t="s">
        <v>274</v>
      </c>
      <c r="E496" s="5">
        <v>1</v>
      </c>
    </row>
    <row r="497" spans="1:5" x14ac:dyDescent="0.25">
      <c r="A497" s="12"/>
      <c r="B497" s="4"/>
      <c r="C497" s="4"/>
      <c r="D497" s="4" t="s">
        <v>275</v>
      </c>
      <c r="E497" s="5">
        <v>1</v>
      </c>
    </row>
    <row r="498" spans="1:5" x14ac:dyDescent="0.25">
      <c r="A498" s="12"/>
      <c r="B498" s="4"/>
      <c r="C498" s="4"/>
      <c r="D498" s="4" t="s">
        <v>288</v>
      </c>
      <c r="E498" s="5">
        <v>8</v>
      </c>
    </row>
    <row r="499" spans="1:5" ht="105" customHeight="1" x14ac:dyDescent="0.25">
      <c r="A499" s="12"/>
      <c r="B499" s="4"/>
      <c r="C499" s="4" t="s">
        <v>179</v>
      </c>
      <c r="D499" s="4" t="s">
        <v>274</v>
      </c>
      <c r="E499" s="5">
        <v>1</v>
      </c>
    </row>
    <row r="500" spans="1:5" x14ac:dyDescent="0.25">
      <c r="A500" s="12"/>
      <c r="B500" s="4" t="s">
        <v>241</v>
      </c>
      <c r="C500" s="4"/>
      <c r="D500" s="4"/>
      <c r="E500" s="5">
        <v>16</v>
      </c>
    </row>
    <row r="501" spans="1:5" x14ac:dyDescent="0.25">
      <c r="A501" s="12"/>
      <c r="B501" s="4" t="s">
        <v>131</v>
      </c>
      <c r="C501" s="4" t="s">
        <v>166</v>
      </c>
      <c r="D501" s="4" t="s">
        <v>270</v>
      </c>
      <c r="E501" s="5">
        <v>1</v>
      </c>
    </row>
    <row r="502" spans="1:5" x14ac:dyDescent="0.25">
      <c r="A502" s="12"/>
      <c r="B502" s="4"/>
      <c r="C502" s="4"/>
      <c r="D502" s="4" t="s">
        <v>271</v>
      </c>
      <c r="E502" s="5">
        <v>3</v>
      </c>
    </row>
    <row r="503" spans="1:5" x14ac:dyDescent="0.25">
      <c r="A503" s="12"/>
      <c r="B503" s="4"/>
      <c r="C503" s="4"/>
      <c r="D503" s="4" t="s">
        <v>272</v>
      </c>
      <c r="E503" s="5">
        <v>11</v>
      </c>
    </row>
    <row r="504" spans="1:5" x14ac:dyDescent="0.25">
      <c r="A504" s="12"/>
      <c r="B504" s="4"/>
      <c r="C504" s="4"/>
      <c r="D504" s="4" t="s">
        <v>274</v>
      </c>
      <c r="E504" s="5">
        <v>20</v>
      </c>
    </row>
    <row r="505" spans="1:5" x14ac:dyDescent="0.25">
      <c r="A505" s="12"/>
      <c r="B505" s="4"/>
      <c r="C505" s="4"/>
      <c r="D505" s="4" t="s">
        <v>275</v>
      </c>
      <c r="E505" s="5">
        <v>9</v>
      </c>
    </row>
    <row r="506" spans="1:5" x14ac:dyDescent="0.25">
      <c r="A506" s="12"/>
      <c r="B506" s="4"/>
      <c r="C506" s="4"/>
      <c r="D506" s="4" t="s">
        <v>276</v>
      </c>
      <c r="E506" s="5">
        <v>1</v>
      </c>
    </row>
    <row r="507" spans="1:5" x14ac:dyDescent="0.25">
      <c r="A507" s="12"/>
      <c r="B507" s="4"/>
      <c r="C507" s="4"/>
      <c r="D507" s="4" t="s">
        <v>273</v>
      </c>
      <c r="E507" s="5">
        <v>12</v>
      </c>
    </row>
    <row r="508" spans="1:5" x14ac:dyDescent="0.25">
      <c r="A508" s="12"/>
      <c r="B508" s="4"/>
      <c r="C508" s="4" t="s">
        <v>167</v>
      </c>
      <c r="D508" s="4" t="s">
        <v>270</v>
      </c>
      <c r="E508" s="5">
        <v>3</v>
      </c>
    </row>
    <row r="509" spans="1:5" x14ac:dyDescent="0.25">
      <c r="A509" s="12"/>
      <c r="B509" s="4"/>
      <c r="C509" s="4"/>
      <c r="D509" s="4" t="s">
        <v>271</v>
      </c>
      <c r="E509" s="5">
        <v>9</v>
      </c>
    </row>
    <row r="510" spans="1:5" x14ac:dyDescent="0.25">
      <c r="A510" s="12"/>
      <c r="B510" s="4"/>
      <c r="C510" s="4"/>
      <c r="D510" s="4" t="s">
        <v>272</v>
      </c>
      <c r="E510" s="5">
        <v>16</v>
      </c>
    </row>
    <row r="511" spans="1:5" x14ac:dyDescent="0.25">
      <c r="A511" s="12"/>
      <c r="B511" s="4"/>
      <c r="C511" s="4"/>
      <c r="D511" s="4" t="s">
        <v>274</v>
      </c>
      <c r="E511" s="5">
        <v>13</v>
      </c>
    </row>
    <row r="512" spans="1:5" x14ac:dyDescent="0.25">
      <c r="A512" s="12"/>
      <c r="B512" s="4"/>
      <c r="C512" s="4"/>
      <c r="D512" s="4" t="s">
        <v>275</v>
      </c>
      <c r="E512" s="5">
        <v>12</v>
      </c>
    </row>
    <row r="513" spans="1:5" x14ac:dyDescent="0.25">
      <c r="A513" s="12"/>
      <c r="B513" s="4"/>
      <c r="C513" s="4"/>
      <c r="D513" s="4" t="s">
        <v>276</v>
      </c>
      <c r="E513" s="5">
        <v>1</v>
      </c>
    </row>
    <row r="514" spans="1:5" x14ac:dyDescent="0.25">
      <c r="A514" s="12"/>
      <c r="B514" s="4" t="s">
        <v>242</v>
      </c>
      <c r="C514" s="4"/>
      <c r="D514" s="4"/>
      <c r="E514" s="5">
        <v>111</v>
      </c>
    </row>
    <row r="515" spans="1:5" ht="105" customHeight="1" x14ac:dyDescent="0.25">
      <c r="A515" s="12"/>
      <c r="B515" s="4" t="s">
        <v>132</v>
      </c>
      <c r="C515" s="4" t="s">
        <v>179</v>
      </c>
      <c r="D515" s="4" t="s">
        <v>271</v>
      </c>
      <c r="E515" s="5">
        <v>5</v>
      </c>
    </row>
    <row r="516" spans="1:5" x14ac:dyDescent="0.25">
      <c r="A516" s="12"/>
      <c r="B516" s="4"/>
      <c r="C516" s="4"/>
      <c r="D516" s="4" t="s">
        <v>272</v>
      </c>
      <c r="E516" s="5">
        <v>2</v>
      </c>
    </row>
    <row r="517" spans="1:5" x14ac:dyDescent="0.25">
      <c r="A517" s="12"/>
      <c r="B517" s="4"/>
      <c r="C517" s="4"/>
      <c r="D517" s="4" t="s">
        <v>274</v>
      </c>
      <c r="E517" s="5">
        <v>16</v>
      </c>
    </row>
    <row r="518" spans="1:5" ht="105" customHeight="1" x14ac:dyDescent="0.25">
      <c r="A518" s="12"/>
      <c r="B518" s="4"/>
      <c r="C518" s="4" t="s">
        <v>153</v>
      </c>
      <c r="D518" s="4" t="s">
        <v>270</v>
      </c>
      <c r="E518" s="5">
        <v>1</v>
      </c>
    </row>
    <row r="519" spans="1:5" x14ac:dyDescent="0.25">
      <c r="A519" s="12"/>
      <c r="B519" s="4"/>
      <c r="C519" s="4"/>
      <c r="D519" s="4" t="s">
        <v>271</v>
      </c>
      <c r="E519" s="5">
        <v>8</v>
      </c>
    </row>
    <row r="520" spans="1:5" x14ac:dyDescent="0.25">
      <c r="A520" s="12"/>
      <c r="B520" s="4"/>
      <c r="C520" s="4"/>
      <c r="D520" s="4" t="s">
        <v>272</v>
      </c>
      <c r="E520" s="5">
        <v>4</v>
      </c>
    </row>
    <row r="521" spans="1:5" x14ac:dyDescent="0.25">
      <c r="A521" s="12"/>
      <c r="B521" s="4"/>
      <c r="C521" s="4"/>
      <c r="D521" s="4" t="s">
        <v>274</v>
      </c>
      <c r="E521" s="5">
        <v>10</v>
      </c>
    </row>
    <row r="522" spans="1:5" x14ac:dyDescent="0.25">
      <c r="A522" s="12"/>
      <c r="B522" s="4"/>
      <c r="C522" s="4"/>
      <c r="D522" s="4" t="s">
        <v>275</v>
      </c>
      <c r="E522" s="5">
        <v>10</v>
      </c>
    </row>
    <row r="523" spans="1:5" ht="105" customHeight="1" x14ac:dyDescent="0.25">
      <c r="A523" s="12"/>
      <c r="B523" s="4"/>
      <c r="C523" s="4" t="s">
        <v>161</v>
      </c>
      <c r="D523" s="4" t="s">
        <v>272</v>
      </c>
      <c r="E523" s="5">
        <v>1</v>
      </c>
    </row>
    <row r="524" spans="1:5" x14ac:dyDescent="0.25">
      <c r="A524" s="12"/>
      <c r="B524" s="4" t="s">
        <v>243</v>
      </c>
      <c r="C524" s="4"/>
      <c r="D524" s="4"/>
      <c r="E524" s="5">
        <v>57</v>
      </c>
    </row>
    <row r="525" spans="1:5" ht="105" customHeight="1" x14ac:dyDescent="0.25">
      <c r="A525" s="12"/>
      <c r="B525" s="4" t="s">
        <v>133</v>
      </c>
      <c r="C525" s="4" t="s">
        <v>167</v>
      </c>
      <c r="D525" s="4" t="s">
        <v>271</v>
      </c>
      <c r="E525" s="5">
        <v>7</v>
      </c>
    </row>
    <row r="526" spans="1:5" x14ac:dyDescent="0.25">
      <c r="A526" s="12"/>
      <c r="B526" s="4"/>
      <c r="C526" s="4"/>
      <c r="D526" s="4" t="s">
        <v>272</v>
      </c>
      <c r="E526" s="5">
        <v>8</v>
      </c>
    </row>
    <row r="527" spans="1:5" x14ac:dyDescent="0.25">
      <c r="A527" s="12"/>
      <c r="B527" s="4"/>
      <c r="C527" s="4"/>
      <c r="D527" s="4" t="s">
        <v>274</v>
      </c>
      <c r="E527" s="5">
        <v>8</v>
      </c>
    </row>
    <row r="528" spans="1:5" x14ac:dyDescent="0.25">
      <c r="A528" s="12"/>
      <c r="B528" s="4"/>
      <c r="C528" s="4"/>
      <c r="D528" s="4" t="s">
        <v>275</v>
      </c>
      <c r="E528" s="5">
        <v>3</v>
      </c>
    </row>
    <row r="529" spans="1:5" ht="105" customHeight="1" x14ac:dyDescent="0.25">
      <c r="A529" s="12"/>
      <c r="B529" s="4"/>
      <c r="C529" s="4" t="s">
        <v>161</v>
      </c>
      <c r="D529" s="4" t="s">
        <v>272</v>
      </c>
      <c r="E529" s="5">
        <v>1</v>
      </c>
    </row>
    <row r="530" spans="1:5" x14ac:dyDescent="0.25">
      <c r="A530" s="12"/>
      <c r="B530" s="4" t="s">
        <v>244</v>
      </c>
      <c r="C530" s="4"/>
      <c r="D530" s="4"/>
      <c r="E530" s="5">
        <v>27</v>
      </c>
    </row>
    <row r="531" spans="1:5" x14ac:dyDescent="0.25">
      <c r="A531" s="12"/>
      <c r="B531" s="4" t="s">
        <v>134</v>
      </c>
      <c r="C531" s="4" t="s">
        <v>158</v>
      </c>
      <c r="D531" s="4" t="s">
        <v>270</v>
      </c>
      <c r="E531" s="5">
        <v>5</v>
      </c>
    </row>
    <row r="532" spans="1:5" x14ac:dyDescent="0.25">
      <c r="A532" s="12"/>
      <c r="B532" s="4"/>
      <c r="C532" s="4"/>
      <c r="D532" s="4" t="s">
        <v>271</v>
      </c>
      <c r="E532" s="5">
        <v>11</v>
      </c>
    </row>
    <row r="533" spans="1:5" x14ac:dyDescent="0.25">
      <c r="A533" s="12"/>
      <c r="B533" s="4"/>
      <c r="C533" s="4"/>
      <c r="D533" s="4" t="s">
        <v>274</v>
      </c>
      <c r="E533" s="5">
        <v>4</v>
      </c>
    </row>
    <row r="534" spans="1:5" x14ac:dyDescent="0.25">
      <c r="A534" s="12"/>
      <c r="B534" s="4"/>
      <c r="C534" s="4"/>
      <c r="D534" s="4" t="s">
        <v>275</v>
      </c>
      <c r="E534" s="5">
        <v>19</v>
      </c>
    </row>
    <row r="535" spans="1:5" x14ac:dyDescent="0.25">
      <c r="A535" s="12"/>
      <c r="B535" s="4"/>
      <c r="C535" s="4"/>
      <c r="D535" s="4" t="s">
        <v>276</v>
      </c>
      <c r="E535" s="5">
        <v>5</v>
      </c>
    </row>
    <row r="536" spans="1:5" ht="105" customHeight="1" x14ac:dyDescent="0.25">
      <c r="A536" s="12"/>
      <c r="B536" s="4"/>
      <c r="C536" s="4" t="s">
        <v>207</v>
      </c>
      <c r="D536" s="4" t="s">
        <v>270</v>
      </c>
      <c r="E536" s="5">
        <v>4</v>
      </c>
    </row>
    <row r="537" spans="1:5" x14ac:dyDescent="0.25">
      <c r="A537" s="12"/>
      <c r="B537" s="4"/>
      <c r="C537" s="4"/>
      <c r="D537" s="4" t="s">
        <v>271</v>
      </c>
      <c r="E537" s="5">
        <v>14</v>
      </c>
    </row>
    <row r="538" spans="1:5" x14ac:dyDescent="0.25">
      <c r="A538" s="12"/>
      <c r="B538" s="4"/>
      <c r="C538" s="4"/>
      <c r="D538" s="4" t="s">
        <v>272</v>
      </c>
      <c r="E538" s="5">
        <v>22</v>
      </c>
    </row>
    <row r="539" spans="1:5" x14ac:dyDescent="0.25">
      <c r="A539" s="12"/>
      <c r="B539" s="4"/>
      <c r="C539" s="4"/>
      <c r="D539" s="4" t="s">
        <v>274</v>
      </c>
      <c r="E539" s="5">
        <v>17</v>
      </c>
    </row>
    <row r="540" spans="1:5" x14ac:dyDescent="0.25">
      <c r="A540" s="12"/>
      <c r="B540" s="4"/>
      <c r="C540" s="4"/>
      <c r="D540" s="4" t="s">
        <v>275</v>
      </c>
      <c r="E540" s="5">
        <v>17</v>
      </c>
    </row>
    <row r="541" spans="1:5" ht="105" customHeight="1" x14ac:dyDescent="0.25">
      <c r="A541" s="12"/>
      <c r="B541" s="4"/>
      <c r="C541" s="4" t="s">
        <v>159</v>
      </c>
      <c r="D541" s="4" t="s">
        <v>271</v>
      </c>
      <c r="E541" s="5">
        <v>7</v>
      </c>
    </row>
    <row r="542" spans="1:5" x14ac:dyDescent="0.25">
      <c r="A542" s="12"/>
      <c r="B542" s="4"/>
      <c r="C542" s="4"/>
      <c r="D542" s="4" t="s">
        <v>274</v>
      </c>
      <c r="E542" s="5">
        <v>12</v>
      </c>
    </row>
    <row r="543" spans="1:5" x14ac:dyDescent="0.25">
      <c r="A543" s="12"/>
      <c r="B543" s="4"/>
      <c r="C543" s="4"/>
      <c r="D543" s="4" t="s">
        <v>275</v>
      </c>
      <c r="E543" s="5">
        <v>11</v>
      </c>
    </row>
    <row r="544" spans="1:5" x14ac:dyDescent="0.25">
      <c r="A544" s="12"/>
      <c r="B544" s="4"/>
      <c r="C544" s="4"/>
      <c r="D544" s="4" t="s">
        <v>276</v>
      </c>
      <c r="E544" s="5">
        <v>1</v>
      </c>
    </row>
    <row r="545" spans="1:5" x14ac:dyDescent="0.25">
      <c r="A545" s="12"/>
      <c r="B545" s="4"/>
      <c r="C545" s="4" t="s">
        <v>153</v>
      </c>
      <c r="D545" s="4" t="s">
        <v>272</v>
      </c>
      <c r="E545" s="5">
        <v>5</v>
      </c>
    </row>
    <row r="546" spans="1:5" x14ac:dyDescent="0.25">
      <c r="A546" s="12"/>
      <c r="B546" s="4"/>
      <c r="C546" s="4"/>
      <c r="D546" s="4" t="s">
        <v>274</v>
      </c>
      <c r="E546" s="5">
        <v>4</v>
      </c>
    </row>
    <row r="547" spans="1:5" x14ac:dyDescent="0.25">
      <c r="A547" s="12"/>
      <c r="B547" s="4"/>
      <c r="C547" s="4"/>
      <c r="D547" s="4" t="s">
        <v>275</v>
      </c>
      <c r="E547" s="5">
        <v>7</v>
      </c>
    </row>
    <row r="548" spans="1:5" x14ac:dyDescent="0.25">
      <c r="A548" s="12"/>
      <c r="B548" s="4"/>
      <c r="C548" s="4"/>
      <c r="D548" s="4" t="s">
        <v>276</v>
      </c>
      <c r="E548" s="5">
        <v>1</v>
      </c>
    </row>
    <row r="549" spans="1:5" ht="105" customHeight="1" x14ac:dyDescent="0.25">
      <c r="A549" s="12"/>
      <c r="B549" s="4"/>
      <c r="C549" s="4" t="s">
        <v>161</v>
      </c>
      <c r="D549" s="4" t="s">
        <v>270</v>
      </c>
      <c r="E549" s="5">
        <v>1</v>
      </c>
    </row>
    <row r="550" spans="1:5" x14ac:dyDescent="0.25">
      <c r="A550" s="12"/>
      <c r="B550" s="4"/>
      <c r="C550" s="4"/>
      <c r="D550" s="4" t="s">
        <v>272</v>
      </c>
      <c r="E550" s="5">
        <v>1</v>
      </c>
    </row>
    <row r="551" spans="1:5" x14ac:dyDescent="0.25">
      <c r="A551" s="12"/>
      <c r="B551" s="4"/>
      <c r="C551" s="4"/>
      <c r="D551" s="4" t="s">
        <v>275</v>
      </c>
      <c r="E551" s="5">
        <v>4</v>
      </c>
    </row>
    <row r="552" spans="1:5" x14ac:dyDescent="0.25">
      <c r="A552" s="12"/>
      <c r="B552" s="4"/>
      <c r="C552" s="4"/>
      <c r="D552" s="4" t="s">
        <v>276</v>
      </c>
      <c r="E552" s="5">
        <v>1</v>
      </c>
    </row>
    <row r="553" spans="1:5" x14ac:dyDescent="0.25">
      <c r="A553" s="12"/>
      <c r="B553" s="4" t="s">
        <v>245</v>
      </c>
      <c r="C553" s="4"/>
      <c r="D553" s="4"/>
      <c r="E553" s="5">
        <v>173</v>
      </c>
    </row>
    <row r="554" spans="1:5" ht="105" customHeight="1" x14ac:dyDescent="0.25">
      <c r="A554" s="12"/>
      <c r="B554" s="4" t="s">
        <v>135</v>
      </c>
      <c r="C554" s="4" t="s">
        <v>158</v>
      </c>
      <c r="D554" s="4" t="s">
        <v>275</v>
      </c>
      <c r="E554" s="5">
        <v>15</v>
      </c>
    </row>
    <row r="555" spans="1:5" x14ac:dyDescent="0.25">
      <c r="A555" s="12"/>
      <c r="B555" s="4"/>
      <c r="C555" s="4"/>
      <c r="D555" s="4" t="s">
        <v>276</v>
      </c>
      <c r="E555" s="5">
        <v>17</v>
      </c>
    </row>
    <row r="556" spans="1:5" x14ac:dyDescent="0.25">
      <c r="A556" s="12"/>
      <c r="B556" s="4"/>
      <c r="C556" s="4"/>
      <c r="D556" s="4" t="s">
        <v>290</v>
      </c>
      <c r="E556" s="5">
        <v>11</v>
      </c>
    </row>
    <row r="557" spans="1:5" x14ac:dyDescent="0.25">
      <c r="A557" s="12"/>
      <c r="B557" s="4"/>
      <c r="C557" s="4"/>
      <c r="D557" s="4" t="s">
        <v>286</v>
      </c>
      <c r="E557" s="5">
        <v>8</v>
      </c>
    </row>
    <row r="558" spans="1:5" x14ac:dyDescent="0.25">
      <c r="A558" s="12"/>
      <c r="B558" s="4"/>
      <c r="C558" s="4"/>
      <c r="D558" s="4" t="s">
        <v>291</v>
      </c>
      <c r="E558" s="5">
        <v>8</v>
      </c>
    </row>
    <row r="559" spans="1:5" x14ac:dyDescent="0.25">
      <c r="A559" s="12"/>
      <c r="B559" s="4"/>
      <c r="C559" s="4" t="s">
        <v>159</v>
      </c>
      <c r="D559" s="4" t="s">
        <v>275</v>
      </c>
      <c r="E559" s="5">
        <v>1</v>
      </c>
    </row>
    <row r="560" spans="1:5" x14ac:dyDescent="0.25">
      <c r="A560" s="12"/>
      <c r="B560" s="4"/>
      <c r="C560" s="4" t="s">
        <v>160</v>
      </c>
      <c r="D560" s="4" t="s">
        <v>276</v>
      </c>
      <c r="E560" s="5">
        <v>5</v>
      </c>
    </row>
    <row r="561" spans="1:5" x14ac:dyDescent="0.25">
      <c r="A561" s="12"/>
      <c r="B561" s="4"/>
      <c r="C561" s="4" t="s">
        <v>153</v>
      </c>
      <c r="D561" s="4" t="s">
        <v>275</v>
      </c>
      <c r="E561" s="5">
        <v>12</v>
      </c>
    </row>
    <row r="562" spans="1:5" x14ac:dyDescent="0.25">
      <c r="A562" s="12"/>
      <c r="B562" s="4"/>
      <c r="C562" s="4"/>
      <c r="D562" s="4" t="s">
        <v>276</v>
      </c>
      <c r="E562" s="5">
        <v>20</v>
      </c>
    </row>
    <row r="563" spans="1:5" x14ac:dyDescent="0.25">
      <c r="A563" s="12"/>
      <c r="B563" s="4"/>
      <c r="C563" s="4"/>
      <c r="D563" s="4" t="s">
        <v>290</v>
      </c>
      <c r="E563" s="5">
        <v>21</v>
      </c>
    </row>
    <row r="564" spans="1:5" x14ac:dyDescent="0.25">
      <c r="A564" s="12"/>
      <c r="B564" s="4"/>
      <c r="C564" s="4"/>
      <c r="D564" s="4" t="s">
        <v>286</v>
      </c>
      <c r="E564" s="5">
        <v>3</v>
      </c>
    </row>
    <row r="565" spans="1:5" x14ac:dyDescent="0.25">
      <c r="A565" s="12"/>
      <c r="B565" s="4"/>
      <c r="C565" s="4"/>
      <c r="D565" s="4" t="s">
        <v>291</v>
      </c>
      <c r="E565" s="5">
        <v>13</v>
      </c>
    </row>
    <row r="566" spans="1:5" x14ac:dyDescent="0.25">
      <c r="A566" s="12"/>
      <c r="B566" s="4"/>
      <c r="C566" s="4"/>
      <c r="D566" s="4" t="s">
        <v>292</v>
      </c>
      <c r="E566" s="5">
        <v>4</v>
      </c>
    </row>
    <row r="567" spans="1:5" x14ac:dyDescent="0.25">
      <c r="A567" s="12"/>
      <c r="B567" s="4"/>
      <c r="C567" s="4" t="s">
        <v>161</v>
      </c>
      <c r="D567" s="4" t="s">
        <v>275</v>
      </c>
      <c r="E567" s="5">
        <v>4</v>
      </c>
    </row>
    <row r="568" spans="1:5" x14ac:dyDescent="0.25">
      <c r="A568" s="12"/>
      <c r="B568" s="4"/>
      <c r="C568" s="4"/>
      <c r="D568" s="4" t="s">
        <v>276</v>
      </c>
      <c r="E568" s="5">
        <v>10</v>
      </c>
    </row>
    <row r="569" spans="1:5" x14ac:dyDescent="0.25">
      <c r="A569" s="12"/>
      <c r="B569" s="4"/>
      <c r="C569" s="4"/>
      <c r="D569" s="4" t="s">
        <v>290</v>
      </c>
      <c r="E569" s="5">
        <v>13</v>
      </c>
    </row>
    <row r="570" spans="1:5" x14ac:dyDescent="0.25">
      <c r="A570" s="12"/>
      <c r="B570" s="4"/>
      <c r="C570" s="4"/>
      <c r="D570" s="4" t="s">
        <v>286</v>
      </c>
      <c r="E570" s="5">
        <v>1</v>
      </c>
    </row>
    <row r="571" spans="1:5" x14ac:dyDescent="0.25">
      <c r="A571" s="12"/>
      <c r="B571" s="4"/>
      <c r="C571" s="4"/>
      <c r="D571" s="4" t="s">
        <v>291</v>
      </c>
      <c r="E571" s="5">
        <v>6</v>
      </c>
    </row>
    <row r="572" spans="1:5" x14ac:dyDescent="0.25">
      <c r="A572" s="12"/>
      <c r="B572" s="4"/>
      <c r="C572" s="4"/>
      <c r="D572" s="4" t="s">
        <v>292</v>
      </c>
      <c r="E572" s="5">
        <v>2</v>
      </c>
    </row>
    <row r="573" spans="1:5" x14ac:dyDescent="0.25">
      <c r="A573" s="12"/>
      <c r="B573" s="4" t="s">
        <v>246</v>
      </c>
      <c r="C573" s="4"/>
      <c r="D573" s="4"/>
      <c r="E573" s="5">
        <v>174</v>
      </c>
    </row>
    <row r="574" spans="1:5" ht="105" customHeight="1" x14ac:dyDescent="0.25">
      <c r="A574" s="12"/>
      <c r="B574" s="4" t="s">
        <v>136</v>
      </c>
      <c r="C574" s="4" t="s">
        <v>158</v>
      </c>
      <c r="D574" s="4" t="s">
        <v>270</v>
      </c>
      <c r="E574" s="5">
        <v>3</v>
      </c>
    </row>
    <row r="575" spans="1:5" x14ac:dyDescent="0.25">
      <c r="A575" s="12"/>
      <c r="B575" s="4"/>
      <c r="C575" s="4"/>
      <c r="D575" s="4" t="s">
        <v>271</v>
      </c>
      <c r="E575" s="5">
        <v>4</v>
      </c>
    </row>
    <row r="576" spans="1:5" x14ac:dyDescent="0.25">
      <c r="A576" s="12"/>
      <c r="B576" s="4"/>
      <c r="C576" s="4"/>
      <c r="D576" s="4" t="s">
        <v>272</v>
      </c>
      <c r="E576" s="5">
        <v>7</v>
      </c>
    </row>
    <row r="577" spans="1:5" x14ac:dyDescent="0.25">
      <c r="A577" s="12"/>
      <c r="B577" s="4"/>
      <c r="C577" s="4"/>
      <c r="D577" s="4" t="s">
        <v>274</v>
      </c>
      <c r="E577" s="5">
        <v>7</v>
      </c>
    </row>
    <row r="578" spans="1:5" x14ac:dyDescent="0.25">
      <c r="A578" s="12"/>
      <c r="B578" s="4"/>
      <c r="C578" s="4"/>
      <c r="D578" s="4" t="s">
        <v>275</v>
      </c>
      <c r="E578" s="5">
        <v>6</v>
      </c>
    </row>
    <row r="579" spans="1:5" x14ac:dyDescent="0.25">
      <c r="A579" s="12"/>
      <c r="B579" s="4"/>
      <c r="C579" s="4" t="s">
        <v>207</v>
      </c>
      <c r="D579" s="4" t="s">
        <v>271</v>
      </c>
      <c r="E579" s="5">
        <v>2</v>
      </c>
    </row>
    <row r="580" spans="1:5" x14ac:dyDescent="0.25">
      <c r="A580" s="12"/>
      <c r="B580" s="4"/>
      <c r="C580" s="4"/>
      <c r="D580" s="4" t="s">
        <v>272</v>
      </c>
      <c r="E580" s="5">
        <v>7</v>
      </c>
    </row>
    <row r="581" spans="1:5" x14ac:dyDescent="0.25">
      <c r="A581" s="12"/>
      <c r="B581" s="4"/>
      <c r="C581" s="4"/>
      <c r="D581" s="4" t="s">
        <v>274</v>
      </c>
      <c r="E581" s="5">
        <v>7</v>
      </c>
    </row>
    <row r="582" spans="1:5" x14ac:dyDescent="0.25">
      <c r="A582" s="12"/>
      <c r="B582" s="4"/>
      <c r="C582" s="4"/>
      <c r="D582" s="4" t="s">
        <v>275</v>
      </c>
      <c r="E582" s="5">
        <v>3</v>
      </c>
    </row>
    <row r="583" spans="1:5" x14ac:dyDescent="0.25">
      <c r="A583" s="12"/>
      <c r="B583" s="4"/>
      <c r="C583" s="4"/>
      <c r="D583" s="4" t="s">
        <v>276</v>
      </c>
      <c r="E583" s="5">
        <v>3</v>
      </c>
    </row>
    <row r="584" spans="1:5" x14ac:dyDescent="0.25">
      <c r="A584" s="12"/>
      <c r="B584" s="4"/>
      <c r="C584" s="4" t="s">
        <v>159</v>
      </c>
      <c r="D584" s="4" t="s">
        <v>270</v>
      </c>
      <c r="E584" s="5">
        <v>3</v>
      </c>
    </row>
    <row r="585" spans="1:5" x14ac:dyDescent="0.25">
      <c r="A585" s="12"/>
      <c r="B585" s="4"/>
      <c r="C585" s="4"/>
      <c r="D585" s="4" t="s">
        <v>271</v>
      </c>
      <c r="E585" s="5">
        <v>13</v>
      </c>
    </row>
    <row r="586" spans="1:5" x14ac:dyDescent="0.25">
      <c r="A586" s="12"/>
      <c r="B586" s="4"/>
      <c r="C586" s="4"/>
      <c r="D586" s="4" t="s">
        <v>272</v>
      </c>
      <c r="E586" s="5">
        <v>10</v>
      </c>
    </row>
    <row r="587" spans="1:5" x14ac:dyDescent="0.25">
      <c r="A587" s="12"/>
      <c r="B587" s="4"/>
      <c r="C587" s="4"/>
      <c r="D587" s="4" t="s">
        <v>274</v>
      </c>
      <c r="E587" s="5">
        <v>11</v>
      </c>
    </row>
    <row r="588" spans="1:5" x14ac:dyDescent="0.25">
      <c r="A588" s="12"/>
      <c r="B588" s="4"/>
      <c r="C588" s="4"/>
      <c r="D588" s="4" t="s">
        <v>275</v>
      </c>
      <c r="E588" s="5">
        <v>13</v>
      </c>
    </row>
    <row r="589" spans="1:5" x14ac:dyDescent="0.25">
      <c r="A589" s="12"/>
      <c r="B589" s="4"/>
      <c r="C589" s="4"/>
      <c r="D589" s="4" t="s">
        <v>276</v>
      </c>
      <c r="E589" s="5">
        <v>7</v>
      </c>
    </row>
    <row r="590" spans="1:5" x14ac:dyDescent="0.25">
      <c r="A590" s="12"/>
      <c r="B590" s="4"/>
      <c r="C590" s="4" t="s">
        <v>153</v>
      </c>
      <c r="D590" s="4" t="s">
        <v>270</v>
      </c>
      <c r="E590" s="5">
        <v>2</v>
      </c>
    </row>
    <row r="591" spans="1:5" x14ac:dyDescent="0.25">
      <c r="A591" s="12"/>
      <c r="B591" s="4"/>
      <c r="C591" s="4"/>
      <c r="D591" s="4" t="s">
        <v>271</v>
      </c>
      <c r="E591" s="5">
        <v>6</v>
      </c>
    </row>
    <row r="592" spans="1:5" x14ac:dyDescent="0.25">
      <c r="A592" s="12"/>
      <c r="B592" s="4"/>
      <c r="C592" s="4"/>
      <c r="D592" s="4" t="s">
        <v>272</v>
      </c>
      <c r="E592" s="5">
        <v>8</v>
      </c>
    </row>
    <row r="593" spans="1:5" x14ac:dyDescent="0.25">
      <c r="A593" s="12"/>
      <c r="B593" s="4"/>
      <c r="C593" s="4"/>
      <c r="D593" s="4" t="s">
        <v>274</v>
      </c>
      <c r="E593" s="5">
        <v>4</v>
      </c>
    </row>
    <row r="594" spans="1:5" x14ac:dyDescent="0.25">
      <c r="A594" s="12"/>
      <c r="B594" s="4"/>
      <c r="C594" s="4"/>
      <c r="D594" s="4" t="s">
        <v>275</v>
      </c>
      <c r="E594" s="5">
        <v>4</v>
      </c>
    </row>
    <row r="595" spans="1:5" x14ac:dyDescent="0.25">
      <c r="A595" s="12"/>
      <c r="B595" s="4"/>
      <c r="C595" s="4"/>
      <c r="D595" s="4" t="s">
        <v>276</v>
      </c>
      <c r="E595" s="5">
        <v>1</v>
      </c>
    </row>
    <row r="596" spans="1:5" ht="105" customHeight="1" x14ac:dyDescent="0.25">
      <c r="A596" s="12"/>
      <c r="B596" s="4"/>
      <c r="C596" s="4" t="s">
        <v>161</v>
      </c>
      <c r="D596" s="4" t="s">
        <v>274</v>
      </c>
      <c r="E596" s="5">
        <v>7</v>
      </c>
    </row>
    <row r="597" spans="1:5" x14ac:dyDescent="0.25">
      <c r="A597" s="12"/>
      <c r="B597" s="4"/>
      <c r="C597" s="4"/>
      <c r="D597" s="4" t="s">
        <v>275</v>
      </c>
      <c r="E597" s="5">
        <v>14</v>
      </c>
    </row>
    <row r="598" spans="1:5" x14ac:dyDescent="0.25">
      <c r="A598" s="12"/>
      <c r="B598" s="4"/>
      <c r="C598" s="4"/>
      <c r="D598" s="4" t="s">
        <v>276</v>
      </c>
      <c r="E598" s="5">
        <v>12</v>
      </c>
    </row>
    <row r="599" spans="1:5" x14ac:dyDescent="0.25">
      <c r="A599" s="12"/>
      <c r="B599" s="4" t="s">
        <v>247</v>
      </c>
      <c r="C599" s="4"/>
      <c r="D599" s="4"/>
      <c r="E599" s="5">
        <v>164</v>
      </c>
    </row>
    <row r="600" spans="1:5" ht="105" customHeight="1" x14ac:dyDescent="0.25">
      <c r="A600" s="12"/>
      <c r="B600" s="4" t="s">
        <v>137</v>
      </c>
      <c r="C600" s="4" t="s">
        <v>196</v>
      </c>
      <c r="D600" s="4" t="s">
        <v>275</v>
      </c>
      <c r="E600" s="5">
        <v>3</v>
      </c>
    </row>
    <row r="601" spans="1:5" x14ac:dyDescent="0.25">
      <c r="A601" s="12"/>
      <c r="B601" s="4"/>
      <c r="C601" s="4"/>
      <c r="D601" s="4" t="s">
        <v>276</v>
      </c>
      <c r="E601" s="5">
        <v>10</v>
      </c>
    </row>
    <row r="602" spans="1:5" x14ac:dyDescent="0.25">
      <c r="A602" s="12"/>
      <c r="B602" s="4"/>
      <c r="C602" s="4"/>
      <c r="D602" s="4" t="s">
        <v>290</v>
      </c>
      <c r="E602" s="5">
        <v>10</v>
      </c>
    </row>
    <row r="603" spans="1:5" x14ac:dyDescent="0.25">
      <c r="A603" s="12"/>
      <c r="B603" s="4"/>
      <c r="C603" s="4"/>
      <c r="D603" s="4" t="s">
        <v>286</v>
      </c>
      <c r="E603" s="5">
        <v>6</v>
      </c>
    </row>
    <row r="604" spans="1:5" x14ac:dyDescent="0.25">
      <c r="A604" s="12"/>
      <c r="B604" s="4"/>
      <c r="C604" s="4"/>
      <c r="D604" s="4" t="s">
        <v>291</v>
      </c>
      <c r="E604" s="5">
        <v>11</v>
      </c>
    </row>
    <row r="605" spans="1:5" x14ac:dyDescent="0.25">
      <c r="A605" s="12"/>
      <c r="B605" s="4"/>
      <c r="C605" s="4"/>
      <c r="D605" s="4" t="s">
        <v>292</v>
      </c>
      <c r="E605" s="5">
        <v>1</v>
      </c>
    </row>
    <row r="606" spans="1:5" x14ac:dyDescent="0.25">
      <c r="A606" s="12"/>
      <c r="B606" s="4"/>
      <c r="C606" s="4"/>
      <c r="D606" s="4" t="s">
        <v>269</v>
      </c>
      <c r="E606" s="5">
        <v>12</v>
      </c>
    </row>
    <row r="607" spans="1:5" x14ac:dyDescent="0.25">
      <c r="A607" s="12"/>
      <c r="B607" s="4"/>
      <c r="C607" s="4" t="s">
        <v>158</v>
      </c>
      <c r="D607" s="4" t="s">
        <v>275</v>
      </c>
      <c r="E607" s="5">
        <v>3</v>
      </c>
    </row>
    <row r="608" spans="1:5" x14ac:dyDescent="0.25">
      <c r="A608" s="12"/>
      <c r="B608" s="4"/>
      <c r="C608" s="4"/>
      <c r="D608" s="4" t="s">
        <v>276</v>
      </c>
      <c r="E608" s="5">
        <v>10</v>
      </c>
    </row>
    <row r="609" spans="1:5" x14ac:dyDescent="0.25">
      <c r="A609" s="12"/>
      <c r="B609" s="4"/>
      <c r="C609" s="4"/>
      <c r="D609" s="4" t="s">
        <v>290</v>
      </c>
      <c r="E609" s="5">
        <v>5</v>
      </c>
    </row>
    <row r="610" spans="1:5" x14ac:dyDescent="0.25">
      <c r="A610" s="12"/>
      <c r="B610" s="4"/>
      <c r="C610" s="4"/>
      <c r="D610" s="4" t="s">
        <v>286</v>
      </c>
      <c r="E610" s="5">
        <v>16</v>
      </c>
    </row>
    <row r="611" spans="1:5" x14ac:dyDescent="0.25">
      <c r="A611" s="12"/>
      <c r="B611" s="4"/>
      <c r="C611" s="4"/>
      <c r="D611" s="4" t="s">
        <v>291</v>
      </c>
      <c r="E611" s="5">
        <v>10</v>
      </c>
    </row>
    <row r="612" spans="1:5" x14ac:dyDescent="0.25">
      <c r="A612" s="12"/>
      <c r="B612" s="4"/>
      <c r="C612" s="4"/>
      <c r="D612" s="4" t="s">
        <v>292</v>
      </c>
      <c r="E612" s="5">
        <v>4</v>
      </c>
    </row>
    <row r="613" spans="1:5" x14ac:dyDescent="0.25">
      <c r="A613" s="12"/>
      <c r="B613" s="4"/>
      <c r="C613" s="4" t="s">
        <v>159</v>
      </c>
      <c r="D613" s="4" t="s">
        <v>275</v>
      </c>
      <c r="E613" s="5">
        <v>6</v>
      </c>
    </row>
    <row r="614" spans="1:5" x14ac:dyDescent="0.25">
      <c r="A614" s="12"/>
      <c r="B614" s="4"/>
      <c r="C614" s="4"/>
      <c r="D614" s="4" t="s">
        <v>276</v>
      </c>
      <c r="E614" s="5">
        <v>24</v>
      </c>
    </row>
    <row r="615" spans="1:5" x14ac:dyDescent="0.25">
      <c r="A615" s="12"/>
      <c r="B615" s="4"/>
      <c r="C615" s="4"/>
      <c r="D615" s="4" t="s">
        <v>290</v>
      </c>
      <c r="E615" s="5">
        <v>24</v>
      </c>
    </row>
    <row r="616" spans="1:5" x14ac:dyDescent="0.25">
      <c r="A616" s="12"/>
      <c r="B616" s="4"/>
      <c r="C616" s="4"/>
      <c r="D616" s="4" t="s">
        <v>286</v>
      </c>
      <c r="E616" s="5">
        <v>22</v>
      </c>
    </row>
    <row r="617" spans="1:5" x14ac:dyDescent="0.25">
      <c r="A617" s="12"/>
      <c r="B617" s="4"/>
      <c r="C617" s="4"/>
      <c r="D617" s="4" t="s">
        <v>291</v>
      </c>
      <c r="E617" s="5">
        <v>7</v>
      </c>
    </row>
    <row r="618" spans="1:5" x14ac:dyDescent="0.25">
      <c r="A618" s="12"/>
      <c r="B618" s="4"/>
      <c r="C618" s="4" t="s">
        <v>160</v>
      </c>
      <c r="D618" s="4" t="s">
        <v>275</v>
      </c>
      <c r="E618" s="5">
        <v>12</v>
      </c>
    </row>
    <row r="619" spans="1:5" x14ac:dyDescent="0.25">
      <c r="A619" s="12"/>
      <c r="B619" s="4"/>
      <c r="C619" s="4"/>
      <c r="D619" s="4" t="s">
        <v>276</v>
      </c>
      <c r="E619" s="5">
        <v>16</v>
      </c>
    </row>
    <row r="620" spans="1:5" x14ac:dyDescent="0.25">
      <c r="A620" s="12"/>
      <c r="B620" s="4"/>
      <c r="C620" s="4"/>
      <c r="D620" s="4" t="s">
        <v>290</v>
      </c>
      <c r="E620" s="5">
        <v>15</v>
      </c>
    </row>
    <row r="621" spans="1:5" x14ac:dyDescent="0.25">
      <c r="A621" s="12"/>
      <c r="B621" s="4"/>
      <c r="C621" s="4"/>
      <c r="D621" s="4" t="s">
        <v>286</v>
      </c>
      <c r="E621" s="5">
        <v>14</v>
      </c>
    </row>
    <row r="622" spans="1:5" x14ac:dyDescent="0.25">
      <c r="A622" s="12"/>
      <c r="B622" s="4"/>
      <c r="C622" s="4"/>
      <c r="D622" s="4" t="s">
        <v>291</v>
      </c>
      <c r="E622" s="5">
        <v>12</v>
      </c>
    </row>
    <row r="623" spans="1:5" x14ac:dyDescent="0.25">
      <c r="A623" s="12"/>
      <c r="B623" s="4"/>
      <c r="C623" s="4" t="s">
        <v>161</v>
      </c>
      <c r="D623" s="4" t="s">
        <v>275</v>
      </c>
      <c r="E623" s="5">
        <v>11</v>
      </c>
    </row>
    <row r="624" spans="1:5" x14ac:dyDescent="0.25">
      <c r="A624" s="12"/>
      <c r="B624" s="4"/>
      <c r="C624" s="4"/>
      <c r="D624" s="4" t="s">
        <v>276</v>
      </c>
      <c r="E624" s="5">
        <v>7</v>
      </c>
    </row>
    <row r="625" spans="1:5" x14ac:dyDescent="0.25">
      <c r="A625" s="12"/>
      <c r="B625" s="4"/>
      <c r="C625" s="4"/>
      <c r="D625" s="4" t="s">
        <v>290</v>
      </c>
      <c r="E625" s="5">
        <v>19</v>
      </c>
    </row>
    <row r="626" spans="1:5" x14ac:dyDescent="0.25">
      <c r="A626" s="12"/>
      <c r="B626" s="4"/>
      <c r="C626" s="4"/>
      <c r="D626" s="4" t="s">
        <v>286</v>
      </c>
      <c r="E626" s="5">
        <v>16</v>
      </c>
    </row>
    <row r="627" spans="1:5" x14ac:dyDescent="0.25">
      <c r="A627" s="12"/>
      <c r="B627" s="4"/>
      <c r="C627" s="4"/>
      <c r="D627" s="4" t="s">
        <v>291</v>
      </c>
      <c r="E627" s="5">
        <v>12</v>
      </c>
    </row>
    <row r="628" spans="1:5" x14ac:dyDescent="0.25">
      <c r="A628" s="12"/>
      <c r="B628" s="4" t="s">
        <v>248</v>
      </c>
      <c r="C628" s="4"/>
      <c r="D628" s="4"/>
      <c r="E628" s="5">
        <v>318</v>
      </c>
    </row>
    <row r="629" spans="1:5" ht="105" customHeight="1" x14ac:dyDescent="0.25">
      <c r="A629" s="12"/>
      <c r="B629" s="4" t="s">
        <v>138</v>
      </c>
      <c r="C629" s="4" t="s">
        <v>182</v>
      </c>
      <c r="D629" s="4" t="s">
        <v>287</v>
      </c>
      <c r="E629" s="5">
        <v>8</v>
      </c>
    </row>
    <row r="630" spans="1:5" ht="105" customHeight="1" x14ac:dyDescent="0.25">
      <c r="A630" s="12"/>
      <c r="B630" s="4"/>
      <c r="C630" s="4" t="s">
        <v>153</v>
      </c>
      <c r="D630" s="4" t="s">
        <v>286</v>
      </c>
      <c r="E630" s="5">
        <v>1</v>
      </c>
    </row>
    <row r="631" spans="1:5" x14ac:dyDescent="0.25">
      <c r="A631" s="12"/>
      <c r="B631" s="4"/>
      <c r="C631" s="4"/>
      <c r="D631" s="4" t="s">
        <v>291</v>
      </c>
      <c r="E631" s="5">
        <v>1</v>
      </c>
    </row>
    <row r="632" spans="1:5" x14ac:dyDescent="0.25">
      <c r="A632" s="12"/>
      <c r="B632" s="4"/>
      <c r="C632" s="4"/>
      <c r="D632" s="4" t="s">
        <v>287</v>
      </c>
      <c r="E632" s="5">
        <v>32</v>
      </c>
    </row>
    <row r="633" spans="1:5" ht="105" customHeight="1" x14ac:dyDescent="0.25">
      <c r="A633" s="12"/>
      <c r="B633" s="4"/>
      <c r="C633" s="4" t="s">
        <v>161</v>
      </c>
      <c r="D633" s="4" t="s">
        <v>269</v>
      </c>
      <c r="E633" s="5">
        <v>24</v>
      </c>
    </row>
    <row r="634" spans="1:5" x14ac:dyDescent="0.25">
      <c r="A634" s="12"/>
      <c r="B634" s="4" t="s">
        <v>249</v>
      </c>
      <c r="C634" s="4"/>
      <c r="D634" s="4"/>
      <c r="E634" s="5">
        <v>66</v>
      </c>
    </row>
    <row r="635" spans="1:5" ht="105" customHeight="1" x14ac:dyDescent="0.25">
      <c r="A635" s="12"/>
      <c r="B635" s="4" t="s">
        <v>139</v>
      </c>
      <c r="C635" s="4" t="s">
        <v>179</v>
      </c>
      <c r="D635" s="4" t="s">
        <v>277</v>
      </c>
      <c r="E635" s="5">
        <v>1</v>
      </c>
    </row>
    <row r="636" spans="1:5" x14ac:dyDescent="0.25">
      <c r="A636" s="12"/>
      <c r="B636" s="4"/>
      <c r="C636" s="4"/>
      <c r="D636" s="4" t="s">
        <v>278</v>
      </c>
      <c r="E636" s="5">
        <v>1</v>
      </c>
    </row>
    <row r="637" spans="1:5" x14ac:dyDescent="0.25">
      <c r="A637" s="12"/>
      <c r="B637" s="4"/>
      <c r="C637" s="4"/>
      <c r="D637" s="4" t="s">
        <v>279</v>
      </c>
      <c r="E637" s="5">
        <v>1</v>
      </c>
    </row>
    <row r="638" spans="1:5" x14ac:dyDescent="0.25">
      <c r="A638" s="12"/>
      <c r="B638" s="4"/>
      <c r="C638" s="4"/>
      <c r="D638" s="4" t="s">
        <v>283</v>
      </c>
      <c r="E638" s="5">
        <v>1</v>
      </c>
    </row>
    <row r="639" spans="1:5" x14ac:dyDescent="0.25">
      <c r="A639" s="12"/>
      <c r="B639" s="4"/>
      <c r="C639" s="4"/>
      <c r="D639" s="4" t="s">
        <v>270</v>
      </c>
      <c r="E639" s="5">
        <v>1</v>
      </c>
    </row>
    <row r="640" spans="1:5" x14ac:dyDescent="0.25">
      <c r="A640" s="12"/>
      <c r="B640" s="4"/>
      <c r="C640" s="4"/>
      <c r="D640" s="4" t="s">
        <v>271</v>
      </c>
      <c r="E640" s="5">
        <v>1</v>
      </c>
    </row>
    <row r="641" spans="1:5" x14ac:dyDescent="0.25">
      <c r="A641" s="12"/>
      <c r="B641" s="4"/>
      <c r="C641" s="4"/>
      <c r="D641" s="4" t="s">
        <v>272</v>
      </c>
      <c r="E641" s="5">
        <v>1</v>
      </c>
    </row>
    <row r="642" spans="1:5" x14ac:dyDescent="0.25">
      <c r="A642" s="12"/>
      <c r="B642" s="4"/>
      <c r="C642" s="4"/>
      <c r="D642" s="4" t="s">
        <v>274</v>
      </c>
      <c r="E642" s="5">
        <v>1</v>
      </c>
    </row>
    <row r="643" spans="1:5" x14ac:dyDescent="0.25">
      <c r="A643" s="12"/>
      <c r="B643" s="4" t="s">
        <v>250</v>
      </c>
      <c r="C643" s="4"/>
      <c r="D643" s="4"/>
      <c r="E643" s="5">
        <v>8</v>
      </c>
    </row>
    <row r="644" spans="1:5" ht="105" customHeight="1" x14ac:dyDescent="0.25">
      <c r="A644" s="12"/>
      <c r="B644" s="4" t="s">
        <v>140</v>
      </c>
      <c r="C644" s="4" t="s">
        <v>179</v>
      </c>
      <c r="D644" s="4" t="s">
        <v>285</v>
      </c>
      <c r="E644" s="5">
        <v>12</v>
      </c>
    </row>
    <row r="645" spans="1:5" x14ac:dyDescent="0.25">
      <c r="A645" s="12"/>
      <c r="B645" s="4" t="s">
        <v>251</v>
      </c>
      <c r="C645" s="4"/>
      <c r="D645" s="4"/>
      <c r="E645" s="5">
        <v>12</v>
      </c>
    </row>
    <row r="646" spans="1:5" x14ac:dyDescent="0.25">
      <c r="A646" s="12"/>
      <c r="B646" s="4" t="s">
        <v>141</v>
      </c>
      <c r="C646" s="4" t="s">
        <v>158</v>
      </c>
      <c r="D646" s="4" t="s">
        <v>270</v>
      </c>
      <c r="E646" s="5">
        <v>1</v>
      </c>
    </row>
    <row r="647" spans="1:5" x14ac:dyDescent="0.25">
      <c r="A647" s="12"/>
      <c r="B647" s="4"/>
      <c r="C647" s="4"/>
      <c r="D647" s="4" t="s">
        <v>271</v>
      </c>
      <c r="E647" s="5">
        <v>1</v>
      </c>
    </row>
    <row r="648" spans="1:5" x14ac:dyDescent="0.25">
      <c r="A648" s="12"/>
      <c r="B648" s="4"/>
      <c r="C648" s="4"/>
      <c r="D648" s="4" t="s">
        <v>274</v>
      </c>
      <c r="E648" s="5">
        <v>1</v>
      </c>
    </row>
    <row r="649" spans="1:5" x14ac:dyDescent="0.25">
      <c r="A649" s="12"/>
      <c r="B649" s="4"/>
      <c r="C649" s="4"/>
      <c r="D649" s="4" t="s">
        <v>275</v>
      </c>
      <c r="E649" s="5">
        <v>1</v>
      </c>
    </row>
    <row r="650" spans="1:5" x14ac:dyDescent="0.25">
      <c r="A650" s="12"/>
      <c r="B650" s="4"/>
      <c r="C650" s="4"/>
      <c r="D650" s="4" t="s">
        <v>276</v>
      </c>
      <c r="E650" s="5">
        <v>1</v>
      </c>
    </row>
    <row r="651" spans="1:5" x14ac:dyDescent="0.25">
      <c r="A651" s="12"/>
      <c r="B651" s="4"/>
      <c r="C651" s="4"/>
      <c r="D651" s="4" t="s">
        <v>268</v>
      </c>
      <c r="E651" s="5">
        <v>12</v>
      </c>
    </row>
    <row r="652" spans="1:5" x14ac:dyDescent="0.25">
      <c r="A652" s="12"/>
      <c r="B652" s="4"/>
      <c r="C652" s="4" t="s">
        <v>159</v>
      </c>
      <c r="D652" s="4" t="s">
        <v>270</v>
      </c>
      <c r="E652" s="5">
        <v>2</v>
      </c>
    </row>
    <row r="653" spans="1:5" x14ac:dyDescent="0.25">
      <c r="A653" s="12"/>
      <c r="B653" s="4"/>
      <c r="C653" s="4"/>
      <c r="D653" s="4" t="s">
        <v>271</v>
      </c>
      <c r="E653" s="5">
        <v>6</v>
      </c>
    </row>
    <row r="654" spans="1:5" x14ac:dyDescent="0.25">
      <c r="A654" s="12"/>
      <c r="B654" s="4"/>
      <c r="C654" s="4"/>
      <c r="D654" s="4" t="s">
        <v>272</v>
      </c>
      <c r="E654" s="5">
        <v>5</v>
      </c>
    </row>
    <row r="655" spans="1:5" x14ac:dyDescent="0.25">
      <c r="A655" s="12"/>
      <c r="B655" s="4"/>
      <c r="C655" s="4"/>
      <c r="D655" s="4" t="s">
        <v>274</v>
      </c>
      <c r="E655" s="5">
        <v>1</v>
      </c>
    </row>
    <row r="656" spans="1:5" x14ac:dyDescent="0.25">
      <c r="A656" s="12"/>
      <c r="B656" s="4"/>
      <c r="C656" s="4" t="s">
        <v>161</v>
      </c>
      <c r="D656" s="4" t="s">
        <v>273</v>
      </c>
      <c r="E656" s="5">
        <v>24</v>
      </c>
    </row>
    <row r="657" spans="1:5" x14ac:dyDescent="0.25">
      <c r="A657" s="12"/>
      <c r="B657" s="4" t="s">
        <v>252</v>
      </c>
      <c r="C657" s="4"/>
      <c r="D657" s="4"/>
      <c r="E657" s="5">
        <v>55</v>
      </c>
    </row>
    <row r="658" spans="1:5" x14ac:dyDescent="0.25">
      <c r="A658" s="12"/>
      <c r="B658" s="4" t="s">
        <v>142</v>
      </c>
      <c r="C658" s="4" t="s">
        <v>175</v>
      </c>
      <c r="D658" s="4" t="s">
        <v>269</v>
      </c>
      <c r="E658" s="5">
        <v>24</v>
      </c>
    </row>
    <row r="659" spans="1:5" x14ac:dyDescent="0.25">
      <c r="A659" s="12"/>
      <c r="B659" s="4" t="s">
        <v>253</v>
      </c>
      <c r="C659" s="4"/>
      <c r="D659" s="4"/>
      <c r="E659" s="5">
        <v>24</v>
      </c>
    </row>
    <row r="660" spans="1:5" ht="105" customHeight="1" x14ac:dyDescent="0.25">
      <c r="A660" s="12"/>
      <c r="B660" s="4" t="s">
        <v>143</v>
      </c>
      <c r="C660" s="4" t="s">
        <v>185</v>
      </c>
      <c r="D660" s="4" t="s">
        <v>287</v>
      </c>
      <c r="E660" s="5">
        <v>160</v>
      </c>
    </row>
    <row r="661" spans="1:5" x14ac:dyDescent="0.25">
      <c r="A661" s="12"/>
      <c r="B661" s="4"/>
      <c r="C661" s="4"/>
      <c r="D661" s="4" t="s">
        <v>269</v>
      </c>
      <c r="E661" s="5">
        <v>48</v>
      </c>
    </row>
    <row r="662" spans="1:5" ht="105" customHeight="1" x14ac:dyDescent="0.25">
      <c r="A662" s="12"/>
      <c r="B662" s="4"/>
      <c r="C662" s="4" t="s">
        <v>254</v>
      </c>
      <c r="D662" s="4" t="s">
        <v>287</v>
      </c>
      <c r="E662" s="5">
        <v>160</v>
      </c>
    </row>
    <row r="663" spans="1:5" x14ac:dyDescent="0.25">
      <c r="A663" s="12"/>
      <c r="B663" s="4"/>
      <c r="C663" s="4"/>
      <c r="D663" s="4" t="s">
        <v>269</v>
      </c>
      <c r="E663" s="5">
        <v>72</v>
      </c>
    </row>
    <row r="664" spans="1:5" x14ac:dyDescent="0.25">
      <c r="A664" s="12"/>
      <c r="B664" s="4" t="s">
        <v>255</v>
      </c>
      <c r="C664" s="4"/>
      <c r="D664" s="4"/>
      <c r="E664" s="5">
        <v>440</v>
      </c>
    </row>
    <row r="665" spans="1:5" x14ac:dyDescent="0.25">
      <c r="A665" s="12"/>
      <c r="B665" s="4" t="s">
        <v>144</v>
      </c>
      <c r="C665" s="4" t="s">
        <v>256</v>
      </c>
      <c r="D665" s="4" t="s">
        <v>273</v>
      </c>
      <c r="E665" s="5">
        <v>48</v>
      </c>
    </row>
    <row r="666" spans="1:5" x14ac:dyDescent="0.25">
      <c r="A666" s="12"/>
      <c r="B666" s="4" t="s">
        <v>257</v>
      </c>
      <c r="C666" s="4"/>
      <c r="D666" s="4"/>
      <c r="E666" s="5">
        <v>48</v>
      </c>
    </row>
    <row r="667" spans="1:5" x14ac:dyDescent="0.25">
      <c r="A667" s="12"/>
      <c r="B667" s="4" t="s">
        <v>145</v>
      </c>
      <c r="C667" s="4" t="s">
        <v>258</v>
      </c>
      <c r="D667" s="4" t="s">
        <v>273</v>
      </c>
      <c r="E667" s="5">
        <v>12</v>
      </c>
    </row>
    <row r="668" spans="1:5" x14ac:dyDescent="0.25">
      <c r="A668" s="12"/>
      <c r="B668" s="4" t="s">
        <v>259</v>
      </c>
      <c r="C668" s="4"/>
      <c r="D668" s="4"/>
      <c r="E668" s="5">
        <v>12</v>
      </c>
    </row>
    <row r="669" spans="1:5" x14ac:dyDescent="0.25">
      <c r="A669" s="12"/>
      <c r="B669" s="4" t="s">
        <v>146</v>
      </c>
      <c r="C669" s="4" t="s">
        <v>159</v>
      </c>
      <c r="D669" s="4" t="s">
        <v>288</v>
      </c>
      <c r="E669" s="5">
        <v>8</v>
      </c>
    </row>
    <row r="670" spans="1:5" x14ac:dyDescent="0.25">
      <c r="A670" s="12"/>
      <c r="B670" s="4"/>
      <c r="C670" s="4" t="s">
        <v>254</v>
      </c>
      <c r="D670" s="4" t="s">
        <v>288</v>
      </c>
      <c r="E670" s="5">
        <v>32</v>
      </c>
    </row>
    <row r="671" spans="1:5" x14ac:dyDescent="0.25">
      <c r="A671" s="12"/>
      <c r="B671" s="4" t="s">
        <v>260</v>
      </c>
      <c r="C671" s="4"/>
      <c r="D671" s="4"/>
      <c r="E671" s="5">
        <v>40</v>
      </c>
    </row>
    <row r="672" spans="1:5" ht="105" customHeight="1" x14ac:dyDescent="0.25">
      <c r="A672" s="12"/>
      <c r="B672" s="4" t="s">
        <v>147</v>
      </c>
      <c r="C672" s="4" t="s">
        <v>158</v>
      </c>
      <c r="D672" s="4" t="s">
        <v>288</v>
      </c>
      <c r="E672" s="5">
        <v>8</v>
      </c>
    </row>
    <row r="673" spans="1:5" ht="105" customHeight="1" x14ac:dyDescent="0.25">
      <c r="A673" s="12"/>
      <c r="B673" s="4"/>
      <c r="C673" s="4" t="s">
        <v>161</v>
      </c>
      <c r="D673" s="4" t="s">
        <v>270</v>
      </c>
      <c r="E673" s="5">
        <v>1</v>
      </c>
    </row>
    <row r="674" spans="1:5" x14ac:dyDescent="0.25">
      <c r="A674" s="12"/>
      <c r="B674" s="4"/>
      <c r="C674" s="4"/>
      <c r="D674" s="4" t="s">
        <v>271</v>
      </c>
      <c r="E674" s="5">
        <v>1</v>
      </c>
    </row>
    <row r="675" spans="1:5" x14ac:dyDescent="0.25">
      <c r="A675" s="12"/>
      <c r="B675" s="4"/>
      <c r="C675" s="4"/>
      <c r="D675" s="4" t="s">
        <v>272</v>
      </c>
      <c r="E675" s="5">
        <v>2</v>
      </c>
    </row>
    <row r="676" spans="1:5" x14ac:dyDescent="0.25">
      <c r="A676" s="12"/>
      <c r="B676" s="4"/>
      <c r="C676" s="4"/>
      <c r="D676" s="4" t="s">
        <v>274</v>
      </c>
      <c r="E676" s="5">
        <v>3</v>
      </c>
    </row>
    <row r="677" spans="1:5" x14ac:dyDescent="0.25">
      <c r="A677" s="12"/>
      <c r="B677" s="4"/>
      <c r="C677" s="4"/>
      <c r="D677" s="4" t="s">
        <v>275</v>
      </c>
      <c r="E677" s="5">
        <v>2</v>
      </c>
    </row>
    <row r="678" spans="1:5" x14ac:dyDescent="0.25">
      <c r="A678" s="12"/>
      <c r="B678" s="4"/>
      <c r="C678" s="4"/>
      <c r="D678" s="4" t="s">
        <v>273</v>
      </c>
      <c r="E678" s="5">
        <v>60</v>
      </c>
    </row>
    <row r="679" spans="1:5" x14ac:dyDescent="0.25">
      <c r="A679" s="12"/>
      <c r="B679" s="4" t="s">
        <v>261</v>
      </c>
      <c r="C679" s="4"/>
      <c r="D679" s="4"/>
      <c r="E679" s="5">
        <v>77</v>
      </c>
    </row>
    <row r="680" spans="1:5" ht="105" customHeight="1" x14ac:dyDescent="0.25">
      <c r="A680" s="12"/>
      <c r="B680" s="4" t="s">
        <v>148</v>
      </c>
      <c r="C680" s="4" t="s">
        <v>159</v>
      </c>
      <c r="D680" s="4" t="s">
        <v>277</v>
      </c>
      <c r="E680" s="5">
        <v>1</v>
      </c>
    </row>
    <row r="681" spans="1:5" x14ac:dyDescent="0.25">
      <c r="A681" s="12"/>
      <c r="B681" s="4"/>
      <c r="C681" s="4"/>
      <c r="D681" s="4" t="s">
        <v>281</v>
      </c>
      <c r="E681" s="5">
        <v>1</v>
      </c>
    </row>
    <row r="682" spans="1:5" x14ac:dyDescent="0.25">
      <c r="A682" s="12"/>
      <c r="B682" s="4"/>
      <c r="C682" s="4"/>
      <c r="D682" s="4" t="s">
        <v>284</v>
      </c>
      <c r="E682" s="5">
        <v>1</v>
      </c>
    </row>
    <row r="683" spans="1:5" x14ac:dyDescent="0.25">
      <c r="A683" s="12"/>
      <c r="B683" s="4"/>
      <c r="C683" s="4"/>
      <c r="D683" s="4" t="s">
        <v>274</v>
      </c>
      <c r="E683" s="5">
        <v>1</v>
      </c>
    </row>
    <row r="684" spans="1:5" ht="105" customHeight="1" x14ac:dyDescent="0.25">
      <c r="A684" s="12"/>
      <c r="B684" s="4"/>
      <c r="C684" s="4" t="s">
        <v>153</v>
      </c>
      <c r="D684" s="4" t="s">
        <v>278</v>
      </c>
      <c r="E684" s="5">
        <v>8</v>
      </c>
    </row>
    <row r="685" spans="1:5" x14ac:dyDescent="0.25">
      <c r="A685" s="12"/>
      <c r="B685" s="4"/>
      <c r="C685" s="4"/>
      <c r="D685" s="4" t="s">
        <v>279</v>
      </c>
      <c r="E685" s="5">
        <v>1</v>
      </c>
    </row>
    <row r="686" spans="1:5" x14ac:dyDescent="0.25">
      <c r="A686" s="12"/>
      <c r="B686" s="4"/>
      <c r="C686" s="4"/>
      <c r="D686" s="4" t="s">
        <v>280</v>
      </c>
      <c r="E686" s="5">
        <v>3</v>
      </c>
    </row>
    <row r="687" spans="1:5" x14ac:dyDescent="0.25">
      <c r="A687" s="12"/>
      <c r="B687" s="4"/>
      <c r="C687" s="4"/>
      <c r="D687" s="4" t="s">
        <v>281</v>
      </c>
      <c r="E687" s="5">
        <v>2</v>
      </c>
    </row>
    <row r="688" spans="1:5" x14ac:dyDescent="0.25">
      <c r="A688" s="12"/>
      <c r="B688" s="4"/>
      <c r="C688" s="4"/>
      <c r="D688" s="4" t="s">
        <v>282</v>
      </c>
      <c r="E688" s="5">
        <v>3</v>
      </c>
    </row>
    <row r="689" spans="1:5" x14ac:dyDescent="0.25">
      <c r="A689" s="12"/>
      <c r="B689" s="4"/>
      <c r="C689" s="4"/>
      <c r="D689" s="4" t="s">
        <v>270</v>
      </c>
      <c r="E689" s="5">
        <v>5</v>
      </c>
    </row>
    <row r="690" spans="1:5" ht="105" customHeight="1" x14ac:dyDescent="0.25">
      <c r="A690" s="12"/>
      <c r="B690" s="4"/>
      <c r="C690" s="4" t="s">
        <v>171</v>
      </c>
      <c r="D690" s="4" t="s">
        <v>278</v>
      </c>
      <c r="E690" s="5">
        <v>1</v>
      </c>
    </row>
    <row r="691" spans="1:5" x14ac:dyDescent="0.25">
      <c r="A691" s="12"/>
      <c r="B691" s="4"/>
      <c r="C691" s="4"/>
      <c r="D691" s="4" t="s">
        <v>279</v>
      </c>
      <c r="E691" s="5">
        <v>1</v>
      </c>
    </row>
    <row r="692" spans="1:5" x14ac:dyDescent="0.25">
      <c r="A692" s="12"/>
      <c r="B692" s="4"/>
      <c r="C692" s="4"/>
      <c r="D692" s="4" t="s">
        <v>280</v>
      </c>
      <c r="E692" s="5">
        <v>1</v>
      </c>
    </row>
    <row r="693" spans="1:5" x14ac:dyDescent="0.25">
      <c r="A693" s="12"/>
      <c r="B693" s="4"/>
      <c r="C693" s="4"/>
      <c r="D693" s="4" t="s">
        <v>281</v>
      </c>
      <c r="E693" s="5">
        <v>1</v>
      </c>
    </row>
    <row r="694" spans="1:5" x14ac:dyDescent="0.25">
      <c r="A694" s="12"/>
      <c r="B694" s="4"/>
      <c r="C694" s="4"/>
      <c r="D694" s="4" t="s">
        <v>272</v>
      </c>
      <c r="E694" s="5">
        <v>2</v>
      </c>
    </row>
    <row r="695" spans="1:5" x14ac:dyDescent="0.25">
      <c r="A695" s="12"/>
      <c r="B695" s="4" t="s">
        <v>262</v>
      </c>
      <c r="C695" s="4"/>
      <c r="D695" s="4"/>
      <c r="E695" s="5">
        <v>32</v>
      </c>
    </row>
    <row r="696" spans="1:5" ht="105" customHeight="1" x14ac:dyDescent="0.25">
      <c r="A696" s="12"/>
      <c r="B696" s="4" t="s">
        <v>149</v>
      </c>
      <c r="C696" s="4" t="s">
        <v>159</v>
      </c>
      <c r="D696" s="4" t="s">
        <v>287</v>
      </c>
      <c r="E696" s="5">
        <v>120</v>
      </c>
    </row>
    <row r="697" spans="1:5" x14ac:dyDescent="0.25">
      <c r="A697" s="12"/>
      <c r="B697" s="4"/>
      <c r="C697" s="4"/>
      <c r="D697" s="4" t="s">
        <v>269</v>
      </c>
      <c r="E697" s="5">
        <v>12</v>
      </c>
    </row>
    <row r="698" spans="1:5" ht="105" customHeight="1" x14ac:dyDescent="0.25">
      <c r="A698" s="12"/>
      <c r="B698" s="4"/>
      <c r="C698" s="4" t="s">
        <v>263</v>
      </c>
      <c r="D698" s="4" t="s">
        <v>275</v>
      </c>
      <c r="E698" s="5">
        <v>1</v>
      </c>
    </row>
    <row r="699" spans="1:5" x14ac:dyDescent="0.25">
      <c r="A699" s="12"/>
      <c r="B699" s="4"/>
      <c r="C699" s="4"/>
      <c r="D699" s="4" t="s">
        <v>276</v>
      </c>
      <c r="E699" s="5">
        <v>4</v>
      </c>
    </row>
    <row r="700" spans="1:5" x14ac:dyDescent="0.25">
      <c r="A700" s="12"/>
      <c r="B700" s="4"/>
      <c r="C700" s="4"/>
      <c r="D700" s="4" t="s">
        <v>290</v>
      </c>
      <c r="E700" s="5">
        <v>16</v>
      </c>
    </row>
    <row r="701" spans="1:5" x14ac:dyDescent="0.25">
      <c r="A701" s="12"/>
      <c r="B701" s="4"/>
      <c r="C701" s="4"/>
      <c r="D701" s="4" t="s">
        <v>286</v>
      </c>
      <c r="E701" s="5">
        <v>36</v>
      </c>
    </row>
    <row r="702" spans="1:5" x14ac:dyDescent="0.25">
      <c r="A702" s="12"/>
      <c r="B702" s="4"/>
      <c r="C702" s="4"/>
      <c r="D702" s="4" t="s">
        <v>291</v>
      </c>
      <c r="E702" s="5">
        <v>2</v>
      </c>
    </row>
    <row r="703" spans="1:5" x14ac:dyDescent="0.25">
      <c r="A703" s="12"/>
      <c r="B703" s="4"/>
      <c r="C703" s="4"/>
      <c r="D703" s="4" t="s">
        <v>292</v>
      </c>
      <c r="E703" s="5">
        <v>25</v>
      </c>
    </row>
    <row r="704" spans="1:5" x14ac:dyDescent="0.25">
      <c r="A704" s="12"/>
      <c r="B704" s="4"/>
      <c r="C704" s="4"/>
      <c r="D704" s="4" t="s">
        <v>294</v>
      </c>
      <c r="E704" s="5">
        <v>4</v>
      </c>
    </row>
    <row r="705" spans="1:5" x14ac:dyDescent="0.25">
      <c r="A705" s="12"/>
      <c r="B705" s="4" t="s">
        <v>264</v>
      </c>
      <c r="C705" s="4"/>
      <c r="D705" s="4"/>
      <c r="E705" s="5">
        <v>220</v>
      </c>
    </row>
    <row r="706" spans="1:5" ht="105" customHeight="1" x14ac:dyDescent="0.25">
      <c r="A706" s="12"/>
      <c r="B706" s="4" t="s">
        <v>150</v>
      </c>
      <c r="C706" s="4" t="s">
        <v>159</v>
      </c>
      <c r="D706" s="4" t="s">
        <v>284</v>
      </c>
      <c r="E706" s="5">
        <v>1</v>
      </c>
    </row>
    <row r="707" spans="1:5" x14ac:dyDescent="0.25">
      <c r="A707" s="12"/>
      <c r="B707" s="4"/>
      <c r="C707" s="4"/>
      <c r="D707" s="4" t="s">
        <v>270</v>
      </c>
      <c r="E707" s="5">
        <v>41</v>
      </c>
    </row>
    <row r="708" spans="1:5" x14ac:dyDescent="0.25">
      <c r="A708" s="12"/>
      <c r="B708" s="4"/>
      <c r="C708" s="4"/>
      <c r="D708" s="4" t="s">
        <v>271</v>
      </c>
      <c r="E708" s="5">
        <v>66</v>
      </c>
    </row>
    <row r="709" spans="1:5" x14ac:dyDescent="0.25">
      <c r="A709" s="12"/>
      <c r="B709" s="4"/>
      <c r="C709" s="4"/>
      <c r="D709" s="4" t="s">
        <v>272</v>
      </c>
      <c r="E709" s="5">
        <v>99</v>
      </c>
    </row>
    <row r="710" spans="1:5" x14ac:dyDescent="0.25">
      <c r="A710" s="12"/>
      <c r="B710" s="4"/>
      <c r="C710" s="4"/>
      <c r="D710" s="4" t="s">
        <v>274</v>
      </c>
      <c r="E710" s="5">
        <v>66</v>
      </c>
    </row>
    <row r="711" spans="1:5" x14ac:dyDescent="0.25">
      <c r="A711" s="12"/>
      <c r="B711" s="4"/>
      <c r="C711" s="4"/>
      <c r="D711" s="4" t="s">
        <v>275</v>
      </c>
      <c r="E711" s="5">
        <v>61</v>
      </c>
    </row>
    <row r="712" spans="1:5" x14ac:dyDescent="0.25">
      <c r="A712" s="12"/>
      <c r="B712" s="4"/>
      <c r="C712" s="4"/>
      <c r="D712" s="4" t="s">
        <v>276</v>
      </c>
      <c r="E712" s="5">
        <v>35</v>
      </c>
    </row>
    <row r="713" spans="1:5" x14ac:dyDescent="0.25">
      <c r="A713" s="12"/>
      <c r="B713" s="4"/>
      <c r="C713" s="4"/>
      <c r="D713" s="4" t="s">
        <v>290</v>
      </c>
      <c r="E713" s="5">
        <v>28</v>
      </c>
    </row>
    <row r="714" spans="1:5" x14ac:dyDescent="0.25">
      <c r="A714" s="12"/>
      <c r="B714" s="4"/>
      <c r="C714" s="4"/>
      <c r="D714" s="4" t="s">
        <v>286</v>
      </c>
      <c r="E714" s="5">
        <v>52</v>
      </c>
    </row>
    <row r="715" spans="1:5" x14ac:dyDescent="0.25">
      <c r="A715" s="12"/>
      <c r="B715" s="4"/>
      <c r="C715" s="4"/>
      <c r="D715" s="4" t="s">
        <v>291</v>
      </c>
      <c r="E715" s="5">
        <v>18</v>
      </c>
    </row>
    <row r="716" spans="1:5" x14ac:dyDescent="0.25">
      <c r="A716" s="12"/>
      <c r="B716" s="4"/>
      <c r="C716" s="4"/>
      <c r="D716" s="4" t="s">
        <v>292</v>
      </c>
      <c r="E716" s="5">
        <v>5</v>
      </c>
    </row>
    <row r="717" spans="1:5" ht="105" customHeight="1" x14ac:dyDescent="0.25">
      <c r="A717" s="12"/>
      <c r="B717" s="4"/>
      <c r="C717" s="4" t="s">
        <v>182</v>
      </c>
      <c r="D717" s="4" t="s">
        <v>270</v>
      </c>
      <c r="E717" s="5">
        <v>2</v>
      </c>
    </row>
    <row r="718" spans="1:5" x14ac:dyDescent="0.25">
      <c r="A718" s="12"/>
      <c r="B718" s="4"/>
      <c r="C718" s="4"/>
      <c r="D718" s="4" t="s">
        <v>271</v>
      </c>
      <c r="E718" s="5">
        <v>2</v>
      </c>
    </row>
    <row r="719" spans="1:5" x14ac:dyDescent="0.25">
      <c r="A719" s="12"/>
      <c r="B719" s="4"/>
      <c r="C719" s="4"/>
      <c r="D719" s="4" t="s">
        <v>272</v>
      </c>
      <c r="E719" s="5">
        <v>3</v>
      </c>
    </row>
    <row r="720" spans="1:5" x14ac:dyDescent="0.25">
      <c r="A720" s="12"/>
      <c r="B720" s="4"/>
      <c r="C720" s="4"/>
      <c r="D720" s="4" t="s">
        <v>274</v>
      </c>
      <c r="E720" s="5">
        <v>5</v>
      </c>
    </row>
    <row r="721" spans="1:5" x14ac:dyDescent="0.25">
      <c r="A721" s="12"/>
      <c r="B721" s="4"/>
      <c r="C721" s="4"/>
      <c r="D721" s="4" t="s">
        <v>275</v>
      </c>
      <c r="E721" s="5">
        <v>13</v>
      </c>
    </row>
    <row r="722" spans="1:5" x14ac:dyDescent="0.25">
      <c r="A722" s="12"/>
      <c r="B722" s="4"/>
      <c r="C722" s="4"/>
      <c r="D722" s="4" t="s">
        <v>290</v>
      </c>
      <c r="E722" s="5">
        <v>1</v>
      </c>
    </row>
    <row r="723" spans="1:5" x14ac:dyDescent="0.25">
      <c r="A723" s="12"/>
      <c r="B723" s="4"/>
      <c r="C723" s="4"/>
      <c r="D723" s="4" t="s">
        <v>286</v>
      </c>
      <c r="E723" s="5">
        <v>8</v>
      </c>
    </row>
    <row r="724" spans="1:5" x14ac:dyDescent="0.25">
      <c r="A724" s="12"/>
      <c r="B724" s="4"/>
      <c r="C724" s="4"/>
      <c r="D724" s="4" t="s">
        <v>291</v>
      </c>
      <c r="E724" s="5">
        <v>13</v>
      </c>
    </row>
    <row r="725" spans="1:5" x14ac:dyDescent="0.25">
      <c r="A725" s="12"/>
      <c r="B725" s="4"/>
      <c r="C725" s="4"/>
      <c r="D725" s="4" t="s">
        <v>292</v>
      </c>
      <c r="E725" s="5">
        <v>2</v>
      </c>
    </row>
    <row r="726" spans="1:5" x14ac:dyDescent="0.25">
      <c r="A726" s="12"/>
      <c r="B726" s="4"/>
      <c r="C726" s="4"/>
      <c r="D726" s="4" t="s">
        <v>294</v>
      </c>
      <c r="E726" s="5">
        <v>2</v>
      </c>
    </row>
    <row r="727" spans="1:5" ht="105" customHeight="1" x14ac:dyDescent="0.25">
      <c r="A727" s="12"/>
      <c r="B727" s="4"/>
      <c r="C727" s="4" t="s">
        <v>153</v>
      </c>
      <c r="D727" s="4" t="s">
        <v>270</v>
      </c>
      <c r="E727" s="5">
        <v>6</v>
      </c>
    </row>
    <row r="728" spans="1:5" x14ac:dyDescent="0.25">
      <c r="A728" s="12"/>
      <c r="B728" s="4"/>
      <c r="C728" s="4"/>
      <c r="D728" s="4" t="s">
        <v>274</v>
      </c>
      <c r="E728" s="5">
        <v>1</v>
      </c>
    </row>
    <row r="729" spans="1:5" x14ac:dyDescent="0.25">
      <c r="A729" s="12"/>
      <c r="B729" s="4"/>
      <c r="C729" s="4"/>
      <c r="D729" s="4" t="s">
        <v>275</v>
      </c>
      <c r="E729" s="5">
        <v>6</v>
      </c>
    </row>
    <row r="730" spans="1:5" x14ac:dyDescent="0.25">
      <c r="A730" s="12"/>
      <c r="B730" s="4"/>
      <c r="C730" s="4"/>
      <c r="D730" s="4" t="s">
        <v>290</v>
      </c>
      <c r="E730" s="5">
        <v>1</v>
      </c>
    </row>
    <row r="731" spans="1:5" x14ac:dyDescent="0.25">
      <c r="A731" s="12"/>
      <c r="B731" s="4"/>
      <c r="C731" s="4"/>
      <c r="D731" s="4" t="s">
        <v>286</v>
      </c>
      <c r="E731" s="5">
        <v>2</v>
      </c>
    </row>
    <row r="732" spans="1:5" x14ac:dyDescent="0.25">
      <c r="A732" s="12"/>
      <c r="B732" s="4"/>
      <c r="C732" s="4"/>
      <c r="D732" s="4" t="s">
        <v>291</v>
      </c>
      <c r="E732" s="5">
        <v>27</v>
      </c>
    </row>
    <row r="733" spans="1:5" x14ac:dyDescent="0.25">
      <c r="A733" s="12"/>
      <c r="B733" s="4"/>
      <c r="C733" s="4"/>
      <c r="D733" s="4" t="s">
        <v>292</v>
      </c>
      <c r="E733" s="5">
        <v>1</v>
      </c>
    </row>
    <row r="734" spans="1:5" x14ac:dyDescent="0.25">
      <c r="A734" s="12"/>
      <c r="B734" s="4"/>
      <c r="C734" s="4"/>
      <c r="D734" s="4" t="s">
        <v>294</v>
      </c>
      <c r="E734" s="5">
        <v>1</v>
      </c>
    </row>
    <row r="735" spans="1:5" ht="105" customHeight="1" x14ac:dyDescent="0.25">
      <c r="A735" s="12"/>
      <c r="B735" s="4"/>
      <c r="C735" s="4" t="s">
        <v>171</v>
      </c>
      <c r="D735" s="4" t="s">
        <v>272</v>
      </c>
      <c r="E735" s="5">
        <v>3</v>
      </c>
    </row>
    <row r="736" spans="1:5" x14ac:dyDescent="0.25">
      <c r="A736" s="12"/>
      <c r="B736" s="4"/>
      <c r="C736" s="4"/>
      <c r="D736" s="4" t="s">
        <v>274</v>
      </c>
      <c r="E736" s="5">
        <v>2</v>
      </c>
    </row>
    <row r="737" spans="1:5" x14ac:dyDescent="0.25">
      <c r="A737" s="12"/>
      <c r="B737" s="4"/>
      <c r="C737" s="4"/>
      <c r="D737" s="4" t="s">
        <v>275</v>
      </c>
      <c r="E737" s="5">
        <v>13</v>
      </c>
    </row>
    <row r="738" spans="1:5" x14ac:dyDescent="0.25">
      <c r="A738" s="12"/>
      <c r="B738" s="4"/>
      <c r="C738" s="4"/>
      <c r="D738" s="4" t="s">
        <v>290</v>
      </c>
      <c r="E738" s="5">
        <v>3</v>
      </c>
    </row>
    <row r="739" spans="1:5" x14ac:dyDescent="0.25">
      <c r="A739" s="12"/>
      <c r="B739" s="4"/>
      <c r="C739" s="4"/>
      <c r="D739" s="4" t="s">
        <v>286</v>
      </c>
      <c r="E739" s="5">
        <v>1</v>
      </c>
    </row>
    <row r="740" spans="1:5" x14ac:dyDescent="0.25">
      <c r="A740" s="12"/>
      <c r="B740" s="4"/>
      <c r="C740" s="4"/>
      <c r="D740" s="4" t="s">
        <v>269</v>
      </c>
      <c r="E740" s="5">
        <v>12</v>
      </c>
    </row>
    <row r="741" spans="1:5" ht="105" customHeight="1" x14ac:dyDescent="0.25">
      <c r="A741" s="12"/>
      <c r="B741" s="4"/>
      <c r="C741" s="4" t="s">
        <v>161</v>
      </c>
      <c r="D741" s="4" t="s">
        <v>270</v>
      </c>
      <c r="E741" s="5">
        <v>1</v>
      </c>
    </row>
    <row r="742" spans="1:5" x14ac:dyDescent="0.25">
      <c r="A742" s="12"/>
      <c r="B742" s="4"/>
      <c r="C742" s="4"/>
      <c r="D742" s="4" t="s">
        <v>271</v>
      </c>
      <c r="E742" s="5">
        <v>3</v>
      </c>
    </row>
    <row r="743" spans="1:5" x14ac:dyDescent="0.25">
      <c r="A743" s="12"/>
      <c r="B743" s="4"/>
      <c r="C743" s="4"/>
      <c r="D743" s="4" t="s">
        <v>272</v>
      </c>
      <c r="E743" s="5">
        <v>3</v>
      </c>
    </row>
    <row r="744" spans="1:5" ht="105" customHeight="1" x14ac:dyDescent="0.25">
      <c r="A744" s="12"/>
      <c r="B744" s="4"/>
      <c r="C744" s="4" t="s">
        <v>265</v>
      </c>
      <c r="D744" s="4" t="s">
        <v>271</v>
      </c>
      <c r="E744" s="5">
        <v>1</v>
      </c>
    </row>
    <row r="745" spans="1:5" x14ac:dyDescent="0.25">
      <c r="A745" s="12"/>
      <c r="B745" s="4"/>
      <c r="C745" s="4"/>
      <c r="D745" s="4" t="s">
        <v>272</v>
      </c>
      <c r="E745" s="5">
        <v>1</v>
      </c>
    </row>
    <row r="746" spans="1:5" x14ac:dyDescent="0.25">
      <c r="A746" s="12"/>
      <c r="B746" s="4"/>
      <c r="C746" s="4"/>
      <c r="D746" s="4" t="s">
        <v>275</v>
      </c>
      <c r="E746" s="5">
        <v>6</v>
      </c>
    </row>
    <row r="747" spans="1:5" x14ac:dyDescent="0.25">
      <c r="A747" s="12"/>
      <c r="B747" s="4"/>
      <c r="C747" s="4"/>
      <c r="D747" s="4" t="s">
        <v>276</v>
      </c>
      <c r="E747" s="5">
        <v>1</v>
      </c>
    </row>
    <row r="748" spans="1:5" x14ac:dyDescent="0.25">
      <c r="A748" s="12"/>
      <c r="B748" s="4"/>
      <c r="C748" s="4"/>
      <c r="D748" s="4" t="s">
        <v>286</v>
      </c>
      <c r="E748" s="5">
        <v>6</v>
      </c>
    </row>
    <row r="749" spans="1:5" x14ac:dyDescent="0.25">
      <c r="A749" s="12"/>
      <c r="B749" s="4"/>
      <c r="C749" s="4"/>
      <c r="D749" s="4" t="s">
        <v>291</v>
      </c>
      <c r="E749" s="5">
        <v>3</v>
      </c>
    </row>
    <row r="750" spans="1:5" x14ac:dyDescent="0.25">
      <c r="A750" s="12"/>
      <c r="B750" s="4" t="s">
        <v>266</v>
      </c>
      <c r="C750" s="4"/>
      <c r="D750" s="4"/>
      <c r="E750" s="5">
        <v>627</v>
      </c>
    </row>
    <row r="751" spans="1:5" ht="105" customHeight="1" x14ac:dyDescent="0.25">
      <c r="A751" s="12"/>
      <c r="B751" s="4" t="s">
        <v>151</v>
      </c>
      <c r="C751" s="4" t="s">
        <v>161</v>
      </c>
      <c r="D751" s="4" t="s">
        <v>275</v>
      </c>
      <c r="E751" s="5">
        <v>3</v>
      </c>
    </row>
    <row r="752" spans="1:5" x14ac:dyDescent="0.25">
      <c r="A752" s="12"/>
      <c r="B752" s="4"/>
      <c r="C752" s="4"/>
      <c r="D752" s="4" t="s">
        <v>276</v>
      </c>
      <c r="E752" s="5">
        <v>2</v>
      </c>
    </row>
    <row r="753" spans="1:5" x14ac:dyDescent="0.25">
      <c r="A753" s="12"/>
      <c r="B753" s="4"/>
      <c r="C753" s="4"/>
      <c r="D753" s="4" t="s">
        <v>290</v>
      </c>
      <c r="E753" s="5">
        <v>4</v>
      </c>
    </row>
    <row r="754" spans="1:5" x14ac:dyDescent="0.25">
      <c r="A754" s="12"/>
      <c r="B754" s="4"/>
      <c r="C754" s="4"/>
      <c r="D754" s="4" t="s">
        <v>286</v>
      </c>
      <c r="E754" s="5">
        <v>35</v>
      </c>
    </row>
    <row r="755" spans="1:5" x14ac:dyDescent="0.25">
      <c r="A755" s="12"/>
      <c r="B755" s="4"/>
      <c r="C755" s="4"/>
      <c r="D755" s="4" t="s">
        <v>291</v>
      </c>
      <c r="E755" s="5">
        <v>1</v>
      </c>
    </row>
    <row r="756" spans="1:5" x14ac:dyDescent="0.25">
      <c r="A756" s="12"/>
      <c r="B756" s="4"/>
      <c r="C756" s="4"/>
      <c r="D756" s="4" t="s">
        <v>292</v>
      </c>
      <c r="E756" s="5">
        <v>16</v>
      </c>
    </row>
    <row r="757" spans="1:5" x14ac:dyDescent="0.25">
      <c r="A757" s="12"/>
      <c r="B757" s="4"/>
      <c r="C757" s="4"/>
      <c r="D757" s="4" t="s">
        <v>294</v>
      </c>
      <c r="E757" s="5">
        <v>12</v>
      </c>
    </row>
    <row r="758" spans="1:5" x14ac:dyDescent="0.25">
      <c r="A758" s="12"/>
      <c r="B758" s="4"/>
      <c r="C758" s="4"/>
      <c r="D758" s="4" t="s">
        <v>287</v>
      </c>
      <c r="E758" s="5">
        <v>80</v>
      </c>
    </row>
    <row r="759" spans="1:5" x14ac:dyDescent="0.25">
      <c r="A759" s="12"/>
      <c r="B759" s="4"/>
      <c r="C759" s="4"/>
      <c r="D759" s="4" t="s">
        <v>269</v>
      </c>
      <c r="E759" s="5">
        <v>36</v>
      </c>
    </row>
    <row r="760" spans="1:5" x14ac:dyDescent="0.25">
      <c r="A760" s="13"/>
      <c r="B760" s="6" t="s">
        <v>267</v>
      </c>
      <c r="C760" s="6"/>
      <c r="D760" s="6"/>
      <c r="E760" s="7">
        <v>189</v>
      </c>
    </row>
    <row r="761" spans="1:5" x14ac:dyDescent="0.25">
      <c r="A761" s="8"/>
      <c r="B761" s="9" t="s">
        <v>152</v>
      </c>
      <c r="C761" s="9"/>
      <c r="D761" s="9"/>
      <c r="E761" s="10">
        <v>9746</v>
      </c>
    </row>
  </sheetData>
  <mergeCells count="1">
    <mergeCell ref="A1:E1"/>
  </mergeCell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159"/>
  <sheetViews>
    <sheetView workbookViewId="0">
      <selection activeCell="E7" sqref="E7"/>
    </sheetView>
  </sheetViews>
  <sheetFormatPr defaultRowHeight="15" x14ac:dyDescent="0.25"/>
  <cols>
    <col min="1" max="16384" width="9.140625" style="1"/>
  </cols>
  <sheetData>
    <row r="1" spans="1:7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68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7</v>
      </c>
      <c r="BO1" s="1" t="s">
        <v>64</v>
      </c>
      <c r="BP1" s="1" t="s">
        <v>65</v>
      </c>
      <c r="BQ1" s="1" t="s">
        <v>66</v>
      </c>
      <c r="BR1" s="1" t="s">
        <v>67</v>
      </c>
    </row>
    <row r="2" spans="1:70" x14ac:dyDescent="0.25">
      <c r="B2" s="1">
        <v>1743</v>
      </c>
      <c r="C2" s="1" t="str">
        <f>"SOLAN4189S7/C1"</f>
        <v>SOLAN4189S7/C1</v>
      </c>
      <c r="D2" s="1" t="str">
        <f>"ODA16N00177-1575"</f>
        <v>ODA16N00177-1575</v>
      </c>
      <c r="E2" s="1" t="str">
        <f>"C12 USPA"</f>
        <v>C12 USPA</v>
      </c>
      <c r="F2" s="1" t="str">
        <f t="shared" ref="F2:F65" si="0">"BONIS SPA"</f>
        <v>BONIS SPA</v>
      </c>
      <c r="G2" s="1" t="str">
        <f t="shared" ref="G2:G65" si="1">"STOCK TERRA MP"</f>
        <v>STOCK TERRA MP</v>
      </c>
      <c r="H2" s="1" t="str">
        <f>"BEI"</f>
        <v>BEI</v>
      </c>
      <c r="J2" s="1">
        <v>1</v>
      </c>
      <c r="K2" s="1">
        <f>12*J2</f>
        <v>12</v>
      </c>
      <c r="L2" s="1" t="str">
        <f t="shared" ref="L2:L65" si="2">"01"</f>
        <v>01</v>
      </c>
      <c r="M2" s="1" t="str">
        <f t="shared" ref="M2:M65" si="3">"101"</f>
        <v>101</v>
      </c>
      <c r="N2" s="1" t="str">
        <f>"012"</f>
        <v>012</v>
      </c>
      <c r="O2" s="1" t="str">
        <f t="shared" ref="O2:O65" si="4">"00"</f>
        <v>00</v>
      </c>
      <c r="P2" s="1" t="str">
        <f t="shared" ref="P2:P65" si="5">"S"</f>
        <v>S</v>
      </c>
      <c r="Q2" s="1" t="str">
        <f t="shared" ref="Q2:Q65" si="6">"P"</f>
        <v>P</v>
      </c>
      <c r="R2" s="1" t="str">
        <f t="shared" ref="R2:R65" si="7">"01"</f>
        <v>01</v>
      </c>
      <c r="S2" s="1" t="str">
        <f t="shared" ref="S2:S65" si="8">"03"</f>
        <v>03</v>
      </c>
      <c r="T2" s="1" t="str">
        <f t="shared" ref="T2:T65" si="9">"False"</f>
        <v>False</v>
      </c>
      <c r="U2" s="1" t="str">
        <f t="shared" ref="U2:U65" si="10">"True"</f>
        <v>True</v>
      </c>
      <c r="V2" s="1" t="str">
        <f>"U0031318"</f>
        <v>U0031318</v>
      </c>
      <c r="W2" s="1">
        <v>1</v>
      </c>
      <c r="Y2" s="1">
        <v>0</v>
      </c>
      <c r="Z2" s="1">
        <v>0</v>
      </c>
      <c r="AB2" s="1" t="str">
        <f>"SMU"</f>
        <v>SMU</v>
      </c>
      <c r="AD2" s="1" t="str">
        <f>"4520107"</f>
        <v>4520107</v>
      </c>
      <c r="AE2" s="1" t="str">
        <f>"DONG HUNG IND. JOINT COMPANY"</f>
        <v>DONG HUNG IND. JOINT COMPANY</v>
      </c>
      <c r="AG2" s="1">
        <v>0</v>
      </c>
      <c r="AH2" s="1">
        <v>0</v>
      </c>
      <c r="AI2" s="1" t="str">
        <f t="shared" ref="AI2:AI65" si="11">"F06"</f>
        <v>F06</v>
      </c>
      <c r="AJ2" s="1" t="str">
        <f>"MAN"</f>
        <v>MAN</v>
      </c>
      <c r="AK2" s="1" t="str">
        <f t="shared" ref="AK2:AK65" si="12">"PA"</f>
        <v>PA</v>
      </c>
      <c r="AP2" s="1" t="str">
        <f t="shared" ref="AP2:AP65" si="13">"False"</f>
        <v>False</v>
      </c>
      <c r="AR2" s="1" t="str">
        <f>"SOLAN"</f>
        <v>SOLAN</v>
      </c>
      <c r="AY2" s="1" t="str">
        <f t="shared" ref="AY2:AY65" si="14">"PF"</f>
        <v>PF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 t="str">
        <f>"S.CADET GOMMA  TWILL CANVAS"</f>
        <v>S.CADET GOMMA  TWILL CANVAS</v>
      </c>
      <c r="BF2" s="1" t="str">
        <f t="shared" ref="BF2:BF65" si="15">"Bonis SpA"</f>
        <v>Bonis SpA</v>
      </c>
      <c r="BO2" s="1">
        <v>0</v>
      </c>
      <c r="BP2" s="1">
        <v>0</v>
      </c>
      <c r="BQ2" s="1">
        <v>0</v>
      </c>
    </row>
    <row r="3" spans="1:70" x14ac:dyDescent="0.25">
      <c r="B3" s="1">
        <v>1735</v>
      </c>
      <c r="C3" s="1" t="str">
        <f>"NOBIW4193S7/CH1"</f>
        <v>NOBIW4193S7/CH1</v>
      </c>
      <c r="D3" s="1" t="str">
        <f>"ODA16N00178-646"</f>
        <v>ODA16N00178-646</v>
      </c>
      <c r="E3" s="1" t="str">
        <f>"D12 USPA"</f>
        <v>D12 USPA</v>
      </c>
      <c r="F3" s="1" t="str">
        <f t="shared" si="0"/>
        <v>BONIS SPA</v>
      </c>
      <c r="G3" s="1" t="str">
        <f t="shared" si="1"/>
        <v>STOCK TERRA MP</v>
      </c>
      <c r="H3" s="1" t="str">
        <f>"AVIO"</f>
        <v>AVIO</v>
      </c>
      <c r="J3" s="1">
        <v>1</v>
      </c>
      <c r="K3" s="1">
        <f t="shared" ref="K3:K28" si="16">12*J3</f>
        <v>12</v>
      </c>
      <c r="L3" s="1" t="str">
        <f t="shared" si="2"/>
        <v>01</v>
      </c>
      <c r="M3" s="1" t="str">
        <f t="shared" si="3"/>
        <v>101</v>
      </c>
      <c r="N3" s="1" t="str">
        <f>"004"</f>
        <v>004</v>
      </c>
      <c r="O3" s="1" t="str">
        <f t="shared" si="4"/>
        <v>00</v>
      </c>
      <c r="P3" s="1" t="str">
        <f t="shared" si="5"/>
        <v>S</v>
      </c>
      <c r="Q3" s="1" t="str">
        <f t="shared" si="6"/>
        <v>P</v>
      </c>
      <c r="R3" s="1" t="str">
        <f t="shared" si="7"/>
        <v>01</v>
      </c>
      <c r="S3" s="1" t="str">
        <f t="shared" si="8"/>
        <v>03</v>
      </c>
      <c r="T3" s="1" t="str">
        <f t="shared" si="9"/>
        <v>False</v>
      </c>
      <c r="U3" s="1" t="str">
        <f t="shared" si="10"/>
        <v>True</v>
      </c>
      <c r="V3" s="1" t="str">
        <f>"U0028015"</f>
        <v>U0028015</v>
      </c>
      <c r="W3" s="1">
        <v>1</v>
      </c>
      <c r="Y3" s="1">
        <v>0</v>
      </c>
      <c r="Z3" s="1">
        <v>0</v>
      </c>
      <c r="AB3" s="1" t="str">
        <f>"SMU"</f>
        <v>SMU</v>
      </c>
      <c r="AD3" s="1" t="str">
        <f>"4520182"</f>
        <v>4520182</v>
      </c>
      <c r="AE3" s="1" t="str">
        <f>"32 Joint Stock Company (Aseco)"</f>
        <v>32 Joint Stock Company (Aseco)</v>
      </c>
      <c r="AG3" s="1">
        <v>0</v>
      </c>
      <c r="AH3" s="1">
        <v>0</v>
      </c>
      <c r="AI3" s="1" t="str">
        <f t="shared" si="11"/>
        <v>F06</v>
      </c>
      <c r="AJ3" s="1" t="str">
        <f>"WOMAN"</f>
        <v>WOMAN</v>
      </c>
      <c r="AK3" s="1" t="str">
        <f t="shared" si="12"/>
        <v>PA</v>
      </c>
      <c r="AP3" s="1" t="str">
        <f t="shared" si="13"/>
        <v>False</v>
      </c>
      <c r="AR3" s="1" t="str">
        <f>"NOBIW"</f>
        <v>NOBIW</v>
      </c>
      <c r="AY3" s="1" t="str">
        <f t="shared" si="14"/>
        <v>PF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 t="str">
        <f>"UBBER FLAT MOL.CANVAS+MICROSUE"</f>
        <v>UBBER FLAT MOL.CANVAS+MICROSUE</v>
      </c>
      <c r="BF3" s="1" t="str">
        <f t="shared" si="15"/>
        <v>Bonis SpA</v>
      </c>
      <c r="BO3" s="1">
        <v>0</v>
      </c>
      <c r="BP3" s="1">
        <v>0</v>
      </c>
      <c r="BQ3" s="1">
        <v>0</v>
      </c>
    </row>
    <row r="4" spans="1:70" x14ac:dyDescent="0.25">
      <c r="B4" s="1">
        <v>1739</v>
      </c>
      <c r="C4" s="1" t="str">
        <f>"GALAN4108S7/TY1"</f>
        <v>GALAN4108S7/TY1</v>
      </c>
      <c r="D4" s="1" t="str">
        <f>"ODA16N00240-1322"</f>
        <v>ODA16N00240-1322</v>
      </c>
      <c r="E4" s="1" t="str">
        <f t="shared" ref="E4:E18" si="17">"C12 USPA"</f>
        <v>C12 USPA</v>
      </c>
      <c r="F4" s="1" t="str">
        <f t="shared" si="0"/>
        <v>BONIS SPA</v>
      </c>
      <c r="G4" s="1" t="str">
        <f t="shared" si="1"/>
        <v>STOCK TERRA MP</v>
      </c>
      <c r="H4" s="1" t="str">
        <f>"BLK"</f>
        <v>BLK</v>
      </c>
      <c r="J4" s="1">
        <v>1</v>
      </c>
      <c r="K4" s="1">
        <f t="shared" si="16"/>
        <v>12</v>
      </c>
      <c r="L4" s="1" t="str">
        <f t="shared" si="2"/>
        <v>01</v>
      </c>
      <c r="M4" s="1" t="str">
        <f t="shared" si="3"/>
        <v>101</v>
      </c>
      <c r="N4" s="1" t="str">
        <f>"008"</f>
        <v>008</v>
      </c>
      <c r="O4" s="1" t="str">
        <f t="shared" si="4"/>
        <v>00</v>
      </c>
      <c r="P4" s="1" t="str">
        <f t="shared" si="5"/>
        <v>S</v>
      </c>
      <c r="Q4" s="1" t="str">
        <f t="shared" si="6"/>
        <v>P</v>
      </c>
      <c r="R4" s="1" t="str">
        <f t="shared" si="7"/>
        <v>01</v>
      </c>
      <c r="S4" s="1" t="str">
        <f t="shared" si="8"/>
        <v>03</v>
      </c>
      <c r="T4" s="1" t="str">
        <f t="shared" si="9"/>
        <v>False</v>
      </c>
      <c r="U4" s="1" t="str">
        <f t="shared" si="10"/>
        <v>True</v>
      </c>
      <c r="V4" s="1" t="str">
        <f>"U0023984"</f>
        <v>U0023984</v>
      </c>
      <c r="W4" s="1">
        <v>1</v>
      </c>
      <c r="Y4" s="1">
        <v>0</v>
      </c>
      <c r="Z4" s="1">
        <v>0</v>
      </c>
      <c r="AD4" s="1" t="str">
        <f t="shared" ref="AD4:AD26" si="18">"4520107"</f>
        <v>4520107</v>
      </c>
      <c r="AE4" s="1" t="str">
        <f t="shared" ref="AE4:AE26" si="19">"DONG HUNG IND. JOINT COMPANY"</f>
        <v>DONG HUNG IND. JOINT COMPANY</v>
      </c>
      <c r="AG4" s="1">
        <v>0</v>
      </c>
      <c r="AH4" s="1">
        <v>0</v>
      </c>
      <c r="AI4" s="1" t="str">
        <f t="shared" si="11"/>
        <v>F06</v>
      </c>
      <c r="AJ4" s="1" t="str">
        <f t="shared" ref="AJ4:AJ18" si="20">"MAN"</f>
        <v>MAN</v>
      </c>
      <c r="AK4" s="1" t="str">
        <f t="shared" si="12"/>
        <v>PA</v>
      </c>
      <c r="AP4" s="1" t="str">
        <f t="shared" si="13"/>
        <v>False</v>
      </c>
      <c r="AR4" s="1" t="str">
        <f t="shared" ref="AR4:AR18" si="21">"GALAN"</f>
        <v>GALAN</v>
      </c>
      <c r="AY4" s="1" t="str">
        <f t="shared" si="14"/>
        <v>PF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 t="str">
        <f>"LAN TEXTILE+ ECO LEATHE"</f>
        <v>LAN TEXTILE+ ECO LEATHE</v>
      </c>
      <c r="BF4" s="1" t="str">
        <f t="shared" si="15"/>
        <v>Bonis SpA</v>
      </c>
      <c r="BO4" s="1">
        <v>0</v>
      </c>
      <c r="BP4" s="1">
        <v>0</v>
      </c>
      <c r="BQ4" s="1">
        <v>0</v>
      </c>
    </row>
    <row r="5" spans="1:70" x14ac:dyDescent="0.25">
      <c r="B5" s="1">
        <v>1739</v>
      </c>
      <c r="C5" s="1" t="str">
        <f>"GALAN4108S7/TY1"</f>
        <v>GALAN4108S7/TY1</v>
      </c>
      <c r="D5" s="1" t="str">
        <f>"ODA16N00240-1330"</f>
        <v>ODA16N00240-1330</v>
      </c>
      <c r="E5" s="1" t="str">
        <f t="shared" si="17"/>
        <v>C12 USPA</v>
      </c>
      <c r="F5" s="1" t="str">
        <f t="shared" si="0"/>
        <v>BONIS SPA</v>
      </c>
      <c r="G5" s="1" t="str">
        <f t="shared" si="1"/>
        <v>STOCK TERRA MP</v>
      </c>
      <c r="H5" s="1" t="str">
        <f>"BLK"</f>
        <v>BLK</v>
      </c>
      <c r="J5" s="1">
        <v>1</v>
      </c>
      <c r="K5" s="1">
        <f t="shared" si="16"/>
        <v>12</v>
      </c>
      <c r="L5" s="1" t="str">
        <f t="shared" si="2"/>
        <v>01</v>
      </c>
      <c r="M5" s="1" t="str">
        <f t="shared" si="3"/>
        <v>101</v>
      </c>
      <c r="N5" s="1" t="str">
        <f>"008"</f>
        <v>008</v>
      </c>
      <c r="O5" s="1" t="str">
        <f t="shared" si="4"/>
        <v>00</v>
      </c>
      <c r="P5" s="1" t="str">
        <f t="shared" si="5"/>
        <v>S</v>
      </c>
      <c r="Q5" s="1" t="str">
        <f t="shared" si="6"/>
        <v>P</v>
      </c>
      <c r="R5" s="1" t="str">
        <f t="shared" si="7"/>
        <v>01</v>
      </c>
      <c r="S5" s="1" t="str">
        <f t="shared" si="8"/>
        <v>03</v>
      </c>
      <c r="T5" s="1" t="str">
        <f t="shared" si="9"/>
        <v>False</v>
      </c>
      <c r="U5" s="1" t="str">
        <f t="shared" si="10"/>
        <v>True</v>
      </c>
      <c r="V5" s="1" t="str">
        <f>"U0023984"</f>
        <v>U0023984</v>
      </c>
      <c r="W5" s="1">
        <v>1</v>
      </c>
      <c r="Y5" s="1">
        <v>0</v>
      </c>
      <c r="Z5" s="1">
        <v>0</v>
      </c>
      <c r="AD5" s="1" t="str">
        <f t="shared" si="18"/>
        <v>4520107</v>
      </c>
      <c r="AE5" s="1" t="str">
        <f t="shared" si="19"/>
        <v>DONG HUNG IND. JOINT COMPANY</v>
      </c>
      <c r="AG5" s="1">
        <v>0</v>
      </c>
      <c r="AH5" s="1">
        <v>0</v>
      </c>
      <c r="AI5" s="1" t="str">
        <f t="shared" si="11"/>
        <v>F06</v>
      </c>
      <c r="AJ5" s="1" t="str">
        <f t="shared" si="20"/>
        <v>MAN</v>
      </c>
      <c r="AK5" s="1" t="str">
        <f t="shared" si="12"/>
        <v>PA</v>
      </c>
      <c r="AP5" s="1" t="str">
        <f t="shared" si="13"/>
        <v>False</v>
      </c>
      <c r="AR5" s="1" t="str">
        <f t="shared" si="21"/>
        <v>GALAN</v>
      </c>
      <c r="AY5" s="1" t="str">
        <f t="shared" si="14"/>
        <v>PF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 t="str">
        <f>"LAN TEXTILE+ ECO LEATHE"</f>
        <v>LAN TEXTILE+ ECO LEATHE</v>
      </c>
      <c r="BF5" s="1" t="str">
        <f t="shared" si="15"/>
        <v>Bonis SpA</v>
      </c>
      <c r="BO5" s="1">
        <v>0</v>
      </c>
      <c r="BP5" s="1">
        <v>0</v>
      </c>
      <c r="BQ5" s="1">
        <v>0</v>
      </c>
    </row>
    <row r="6" spans="1:70" x14ac:dyDescent="0.25">
      <c r="B6" s="1">
        <v>1739</v>
      </c>
      <c r="C6" s="1" t="str">
        <f>"GALAN4108S7/TY1"</f>
        <v>GALAN4108S7/TY1</v>
      </c>
      <c r="D6" s="1" t="str">
        <f>"ODA16N00240-1333"</f>
        <v>ODA16N00240-1333</v>
      </c>
      <c r="E6" s="1" t="str">
        <f t="shared" si="17"/>
        <v>C12 USPA</v>
      </c>
      <c r="F6" s="1" t="str">
        <f t="shared" si="0"/>
        <v>BONIS SPA</v>
      </c>
      <c r="G6" s="1" t="str">
        <f t="shared" si="1"/>
        <v>STOCK TERRA MP</v>
      </c>
      <c r="H6" s="1" t="str">
        <f>"BLK"</f>
        <v>BLK</v>
      </c>
      <c r="J6" s="1">
        <v>1</v>
      </c>
      <c r="K6" s="1">
        <f t="shared" si="16"/>
        <v>12</v>
      </c>
      <c r="L6" s="1" t="str">
        <f t="shared" si="2"/>
        <v>01</v>
      </c>
      <c r="M6" s="1" t="str">
        <f t="shared" si="3"/>
        <v>101</v>
      </c>
      <c r="N6" s="1" t="str">
        <f>"008"</f>
        <v>008</v>
      </c>
      <c r="O6" s="1" t="str">
        <f t="shared" si="4"/>
        <v>00</v>
      </c>
      <c r="P6" s="1" t="str">
        <f t="shared" si="5"/>
        <v>S</v>
      </c>
      <c r="Q6" s="1" t="str">
        <f t="shared" si="6"/>
        <v>P</v>
      </c>
      <c r="R6" s="1" t="str">
        <f t="shared" si="7"/>
        <v>01</v>
      </c>
      <c r="S6" s="1" t="str">
        <f t="shared" si="8"/>
        <v>03</v>
      </c>
      <c r="T6" s="1" t="str">
        <f t="shared" si="9"/>
        <v>False</v>
      </c>
      <c r="U6" s="1" t="str">
        <f t="shared" si="10"/>
        <v>True</v>
      </c>
      <c r="V6" s="1" t="str">
        <f>"U0023984"</f>
        <v>U0023984</v>
      </c>
      <c r="W6" s="1">
        <v>1</v>
      </c>
      <c r="Y6" s="1">
        <v>0</v>
      </c>
      <c r="Z6" s="1">
        <v>0</v>
      </c>
      <c r="AD6" s="1" t="str">
        <f t="shared" si="18"/>
        <v>4520107</v>
      </c>
      <c r="AE6" s="1" t="str">
        <f t="shared" si="19"/>
        <v>DONG HUNG IND. JOINT COMPANY</v>
      </c>
      <c r="AG6" s="1">
        <v>0</v>
      </c>
      <c r="AH6" s="1">
        <v>0</v>
      </c>
      <c r="AI6" s="1" t="str">
        <f t="shared" si="11"/>
        <v>F06</v>
      </c>
      <c r="AJ6" s="1" t="str">
        <f t="shared" si="20"/>
        <v>MAN</v>
      </c>
      <c r="AK6" s="1" t="str">
        <f t="shared" si="12"/>
        <v>PA</v>
      </c>
      <c r="AP6" s="1" t="str">
        <f t="shared" si="13"/>
        <v>False</v>
      </c>
      <c r="AR6" s="1" t="str">
        <f t="shared" si="21"/>
        <v>GALAN</v>
      </c>
      <c r="AY6" s="1" t="str">
        <f t="shared" si="14"/>
        <v>PF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 t="str">
        <f>"LAN TEXTILE+ ECO LEATHE"</f>
        <v>LAN TEXTILE+ ECO LEATHE</v>
      </c>
      <c r="BF6" s="1" t="str">
        <f t="shared" si="15"/>
        <v>Bonis SpA</v>
      </c>
      <c r="BO6" s="1">
        <v>0</v>
      </c>
      <c r="BP6" s="1">
        <v>0</v>
      </c>
      <c r="BQ6" s="1">
        <v>0</v>
      </c>
    </row>
    <row r="7" spans="1:70" x14ac:dyDescent="0.25">
      <c r="B7" s="1">
        <v>1735</v>
      </c>
      <c r="C7" s="1" t="str">
        <f>"GALAN4108S7/TY1"</f>
        <v>GALAN4108S7/TY1</v>
      </c>
      <c r="D7" s="1" t="str">
        <f>"ODA16N00240-1379"</f>
        <v>ODA16N00240-1379</v>
      </c>
      <c r="E7" s="1" t="str">
        <f t="shared" si="17"/>
        <v>C12 USPA</v>
      </c>
      <c r="F7" s="1" t="str">
        <f t="shared" si="0"/>
        <v>BONIS SPA</v>
      </c>
      <c r="G7" s="1" t="str">
        <f t="shared" si="1"/>
        <v>STOCK TERRA MP</v>
      </c>
      <c r="H7" s="1" t="str">
        <f>"NAVY"</f>
        <v>NAVY</v>
      </c>
      <c r="J7" s="1">
        <v>1</v>
      </c>
      <c r="K7" s="1">
        <f t="shared" si="16"/>
        <v>12</v>
      </c>
      <c r="L7" s="1" t="str">
        <f t="shared" si="2"/>
        <v>01</v>
      </c>
      <c r="M7" s="1" t="str">
        <f t="shared" si="3"/>
        <v>101</v>
      </c>
      <c r="N7" s="1" t="str">
        <f>"004"</f>
        <v>004</v>
      </c>
      <c r="O7" s="1" t="str">
        <f t="shared" si="4"/>
        <v>00</v>
      </c>
      <c r="P7" s="1" t="str">
        <f t="shared" si="5"/>
        <v>S</v>
      </c>
      <c r="Q7" s="1" t="str">
        <f t="shared" si="6"/>
        <v>P</v>
      </c>
      <c r="R7" s="1" t="str">
        <f t="shared" si="7"/>
        <v>01</v>
      </c>
      <c r="S7" s="1" t="str">
        <f t="shared" si="8"/>
        <v>03</v>
      </c>
      <c r="T7" s="1" t="str">
        <f t="shared" si="9"/>
        <v>False</v>
      </c>
      <c r="U7" s="1" t="str">
        <f t="shared" si="10"/>
        <v>True</v>
      </c>
      <c r="V7" s="1" t="str">
        <f>"U0028015"</f>
        <v>U0028015</v>
      </c>
      <c r="W7" s="1">
        <v>1</v>
      </c>
      <c r="Y7" s="1">
        <v>0</v>
      </c>
      <c r="Z7" s="1">
        <v>0</v>
      </c>
      <c r="AD7" s="1" t="str">
        <f t="shared" si="18"/>
        <v>4520107</v>
      </c>
      <c r="AE7" s="1" t="str">
        <f t="shared" si="19"/>
        <v>DONG HUNG IND. JOINT COMPANY</v>
      </c>
      <c r="AG7" s="1">
        <v>0</v>
      </c>
      <c r="AH7" s="1">
        <v>0</v>
      </c>
      <c r="AI7" s="1" t="str">
        <f t="shared" si="11"/>
        <v>F06</v>
      </c>
      <c r="AJ7" s="1" t="str">
        <f t="shared" si="20"/>
        <v>MAN</v>
      </c>
      <c r="AK7" s="1" t="str">
        <f t="shared" si="12"/>
        <v>PA</v>
      </c>
      <c r="AP7" s="1" t="str">
        <f t="shared" si="13"/>
        <v>False</v>
      </c>
      <c r="AR7" s="1" t="str">
        <f t="shared" si="21"/>
        <v>GALAN</v>
      </c>
      <c r="AY7" s="1" t="str">
        <f t="shared" si="14"/>
        <v>PF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 t="str">
        <f>"LAN TEXTILE+ ECO LEATHE"</f>
        <v>LAN TEXTILE+ ECO LEATHE</v>
      </c>
      <c r="BF7" s="1" t="str">
        <f t="shared" si="15"/>
        <v>Bonis SpA</v>
      </c>
      <c r="BO7" s="1">
        <v>0</v>
      </c>
      <c r="BP7" s="1">
        <v>0</v>
      </c>
      <c r="BQ7" s="1">
        <v>0</v>
      </c>
    </row>
    <row r="8" spans="1:70" x14ac:dyDescent="0.25">
      <c r="B8" s="1">
        <v>1739</v>
      </c>
      <c r="C8" s="1" t="str">
        <f>"GALAN4106S7/YT1"</f>
        <v>GALAN4106S7/YT1</v>
      </c>
      <c r="D8" s="1" t="str">
        <f>"ODA16N00240-449"</f>
        <v>ODA16N00240-449</v>
      </c>
      <c r="E8" s="1" t="str">
        <f t="shared" si="17"/>
        <v>C12 USPA</v>
      </c>
      <c r="F8" s="1" t="str">
        <f t="shared" si="0"/>
        <v>BONIS SPA</v>
      </c>
      <c r="G8" s="1" t="str">
        <f t="shared" si="1"/>
        <v>STOCK TERRA MP</v>
      </c>
      <c r="H8" s="1" t="str">
        <f>"BLK"</f>
        <v>BLK</v>
      </c>
      <c r="J8" s="1">
        <v>1</v>
      </c>
      <c r="K8" s="1">
        <f t="shared" si="16"/>
        <v>12</v>
      </c>
      <c r="L8" s="1" t="str">
        <f t="shared" si="2"/>
        <v>01</v>
      </c>
      <c r="M8" s="1" t="str">
        <f t="shared" si="3"/>
        <v>101</v>
      </c>
      <c r="N8" s="1" t="str">
        <f>"008"</f>
        <v>008</v>
      </c>
      <c r="O8" s="1" t="str">
        <f t="shared" si="4"/>
        <v>00</v>
      </c>
      <c r="P8" s="1" t="str">
        <f t="shared" si="5"/>
        <v>S</v>
      </c>
      <c r="Q8" s="1" t="str">
        <f t="shared" si="6"/>
        <v>P</v>
      </c>
      <c r="R8" s="1" t="str">
        <f t="shared" si="7"/>
        <v>01</v>
      </c>
      <c r="S8" s="1" t="str">
        <f t="shared" si="8"/>
        <v>03</v>
      </c>
      <c r="T8" s="1" t="str">
        <f t="shared" si="9"/>
        <v>False</v>
      </c>
      <c r="U8" s="1" t="str">
        <f t="shared" si="10"/>
        <v>True</v>
      </c>
      <c r="V8" s="1" t="str">
        <f>"U0023984"</f>
        <v>U0023984</v>
      </c>
      <c r="W8" s="1">
        <v>1</v>
      </c>
      <c r="Y8" s="1">
        <v>0</v>
      </c>
      <c r="Z8" s="1">
        <v>0</v>
      </c>
      <c r="AD8" s="1" t="str">
        <f t="shared" si="18"/>
        <v>4520107</v>
      </c>
      <c r="AE8" s="1" t="str">
        <f t="shared" si="19"/>
        <v>DONG HUNG IND. JOINT COMPANY</v>
      </c>
      <c r="AG8" s="1">
        <v>0</v>
      </c>
      <c r="AH8" s="1">
        <v>0</v>
      </c>
      <c r="AI8" s="1" t="str">
        <f t="shared" si="11"/>
        <v>F06</v>
      </c>
      <c r="AJ8" s="1" t="str">
        <f t="shared" si="20"/>
        <v>MAN</v>
      </c>
      <c r="AK8" s="1" t="str">
        <f t="shared" si="12"/>
        <v>PA</v>
      </c>
      <c r="AP8" s="1" t="str">
        <f t="shared" si="13"/>
        <v>False</v>
      </c>
      <c r="AR8" s="1" t="str">
        <f t="shared" si="21"/>
        <v>GALAN</v>
      </c>
      <c r="AY8" s="1" t="str">
        <f t="shared" si="14"/>
        <v>PF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 t="str">
        <f>"LAN ECO LEATHER+TEXTILE"</f>
        <v>LAN ECO LEATHER+TEXTILE</v>
      </c>
      <c r="BF8" s="1" t="str">
        <f t="shared" si="15"/>
        <v>Bonis SpA</v>
      </c>
      <c r="BO8" s="1">
        <v>0</v>
      </c>
      <c r="BP8" s="1">
        <v>0</v>
      </c>
      <c r="BQ8" s="1">
        <v>0</v>
      </c>
    </row>
    <row r="9" spans="1:70" x14ac:dyDescent="0.25">
      <c r="B9" s="1">
        <v>1739</v>
      </c>
      <c r="C9" s="1" t="str">
        <f>"GALAN4106S7/YT1"</f>
        <v>GALAN4106S7/YT1</v>
      </c>
      <c r="D9" s="1" t="str">
        <f>"ODA16N00240-461"</f>
        <v>ODA16N00240-461</v>
      </c>
      <c r="E9" s="1" t="str">
        <f t="shared" si="17"/>
        <v>C12 USPA</v>
      </c>
      <c r="F9" s="1" t="str">
        <f t="shared" si="0"/>
        <v>BONIS SPA</v>
      </c>
      <c r="G9" s="1" t="str">
        <f t="shared" si="1"/>
        <v>STOCK TERRA MP</v>
      </c>
      <c r="H9" s="1" t="str">
        <f>"BLK"</f>
        <v>BLK</v>
      </c>
      <c r="J9" s="1">
        <v>1</v>
      </c>
      <c r="K9" s="1">
        <f t="shared" si="16"/>
        <v>12</v>
      </c>
      <c r="L9" s="1" t="str">
        <f t="shared" si="2"/>
        <v>01</v>
      </c>
      <c r="M9" s="1" t="str">
        <f t="shared" si="3"/>
        <v>101</v>
      </c>
      <c r="N9" s="1" t="str">
        <f>"008"</f>
        <v>008</v>
      </c>
      <c r="O9" s="1" t="str">
        <f t="shared" si="4"/>
        <v>00</v>
      </c>
      <c r="P9" s="1" t="str">
        <f t="shared" si="5"/>
        <v>S</v>
      </c>
      <c r="Q9" s="1" t="str">
        <f t="shared" si="6"/>
        <v>P</v>
      </c>
      <c r="R9" s="1" t="str">
        <f t="shared" si="7"/>
        <v>01</v>
      </c>
      <c r="S9" s="1" t="str">
        <f t="shared" si="8"/>
        <v>03</v>
      </c>
      <c r="T9" s="1" t="str">
        <f t="shared" si="9"/>
        <v>False</v>
      </c>
      <c r="U9" s="1" t="str">
        <f t="shared" si="10"/>
        <v>True</v>
      </c>
      <c r="V9" s="1" t="str">
        <f>"U0023984"</f>
        <v>U0023984</v>
      </c>
      <c r="W9" s="1">
        <v>1</v>
      </c>
      <c r="Y9" s="1">
        <v>0</v>
      </c>
      <c r="Z9" s="1">
        <v>0</v>
      </c>
      <c r="AD9" s="1" t="str">
        <f t="shared" si="18"/>
        <v>4520107</v>
      </c>
      <c r="AE9" s="1" t="str">
        <f t="shared" si="19"/>
        <v>DONG HUNG IND. JOINT COMPANY</v>
      </c>
      <c r="AG9" s="1">
        <v>0</v>
      </c>
      <c r="AH9" s="1">
        <v>0</v>
      </c>
      <c r="AI9" s="1" t="str">
        <f t="shared" si="11"/>
        <v>F06</v>
      </c>
      <c r="AJ9" s="1" t="str">
        <f t="shared" si="20"/>
        <v>MAN</v>
      </c>
      <c r="AK9" s="1" t="str">
        <f t="shared" si="12"/>
        <v>PA</v>
      </c>
      <c r="AP9" s="1" t="str">
        <f t="shared" si="13"/>
        <v>False</v>
      </c>
      <c r="AR9" s="1" t="str">
        <f t="shared" si="21"/>
        <v>GALAN</v>
      </c>
      <c r="AY9" s="1" t="str">
        <f t="shared" si="14"/>
        <v>PF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 t="str">
        <f>"LAN ECO LEATHER+TEXTILE"</f>
        <v>LAN ECO LEATHER+TEXTILE</v>
      </c>
      <c r="BF9" s="1" t="str">
        <f t="shared" si="15"/>
        <v>Bonis SpA</v>
      </c>
      <c r="BO9" s="1">
        <v>0</v>
      </c>
      <c r="BP9" s="1">
        <v>0</v>
      </c>
      <c r="BQ9" s="1">
        <v>0</v>
      </c>
    </row>
    <row r="10" spans="1:70" x14ac:dyDescent="0.25">
      <c r="B10" s="1">
        <v>1739</v>
      </c>
      <c r="C10" s="1" t="str">
        <f>"GALAN4106S7/YT1"</f>
        <v>GALAN4106S7/YT1</v>
      </c>
      <c r="D10" s="1" t="str">
        <f>"ODA16N00240-464"</f>
        <v>ODA16N00240-464</v>
      </c>
      <c r="E10" s="1" t="str">
        <f t="shared" si="17"/>
        <v>C12 USPA</v>
      </c>
      <c r="F10" s="1" t="str">
        <f t="shared" si="0"/>
        <v>BONIS SPA</v>
      </c>
      <c r="G10" s="1" t="str">
        <f t="shared" si="1"/>
        <v>STOCK TERRA MP</v>
      </c>
      <c r="H10" s="1" t="str">
        <f>"BLK"</f>
        <v>BLK</v>
      </c>
      <c r="J10" s="1">
        <v>1</v>
      </c>
      <c r="K10" s="1">
        <f t="shared" si="16"/>
        <v>12</v>
      </c>
      <c r="L10" s="1" t="str">
        <f t="shared" si="2"/>
        <v>01</v>
      </c>
      <c r="M10" s="1" t="str">
        <f t="shared" si="3"/>
        <v>101</v>
      </c>
      <c r="N10" s="1" t="str">
        <f>"008"</f>
        <v>008</v>
      </c>
      <c r="O10" s="1" t="str">
        <f t="shared" si="4"/>
        <v>00</v>
      </c>
      <c r="P10" s="1" t="str">
        <f t="shared" si="5"/>
        <v>S</v>
      </c>
      <c r="Q10" s="1" t="str">
        <f t="shared" si="6"/>
        <v>P</v>
      </c>
      <c r="R10" s="1" t="str">
        <f t="shared" si="7"/>
        <v>01</v>
      </c>
      <c r="S10" s="1" t="str">
        <f t="shared" si="8"/>
        <v>03</v>
      </c>
      <c r="T10" s="1" t="str">
        <f t="shared" si="9"/>
        <v>False</v>
      </c>
      <c r="U10" s="1" t="str">
        <f t="shared" si="10"/>
        <v>True</v>
      </c>
      <c r="V10" s="1" t="str">
        <f>"U0023984"</f>
        <v>U0023984</v>
      </c>
      <c r="W10" s="1">
        <v>1</v>
      </c>
      <c r="Y10" s="1">
        <v>0</v>
      </c>
      <c r="Z10" s="1">
        <v>0</v>
      </c>
      <c r="AD10" s="1" t="str">
        <f t="shared" si="18"/>
        <v>4520107</v>
      </c>
      <c r="AE10" s="1" t="str">
        <f t="shared" si="19"/>
        <v>DONG HUNG IND. JOINT COMPANY</v>
      </c>
      <c r="AG10" s="1">
        <v>0</v>
      </c>
      <c r="AH10" s="1">
        <v>0</v>
      </c>
      <c r="AI10" s="1" t="str">
        <f t="shared" si="11"/>
        <v>F06</v>
      </c>
      <c r="AJ10" s="1" t="str">
        <f t="shared" si="20"/>
        <v>MAN</v>
      </c>
      <c r="AK10" s="1" t="str">
        <f t="shared" si="12"/>
        <v>PA</v>
      </c>
      <c r="AP10" s="1" t="str">
        <f t="shared" si="13"/>
        <v>False</v>
      </c>
      <c r="AR10" s="1" t="str">
        <f t="shared" si="21"/>
        <v>GALAN</v>
      </c>
      <c r="AY10" s="1" t="str">
        <f t="shared" si="14"/>
        <v>PF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 t="str">
        <f>"LAN ECO LEATHER+TEXTILE"</f>
        <v>LAN ECO LEATHER+TEXTILE</v>
      </c>
      <c r="BF10" s="1" t="str">
        <f t="shared" si="15"/>
        <v>Bonis SpA</v>
      </c>
      <c r="BO10" s="1">
        <v>0</v>
      </c>
      <c r="BP10" s="1">
        <v>0</v>
      </c>
      <c r="BQ10" s="1">
        <v>0</v>
      </c>
    </row>
    <row r="11" spans="1:70" x14ac:dyDescent="0.25">
      <c r="B11" s="1">
        <v>1739</v>
      </c>
      <c r="C11" s="1" t="str">
        <f>"GALAN4106S7/YT1"</f>
        <v>GALAN4106S7/YT1</v>
      </c>
      <c r="D11" s="1" t="str">
        <f>"ODA16N00240-487"</f>
        <v>ODA16N00240-487</v>
      </c>
      <c r="E11" s="1" t="str">
        <f t="shared" si="17"/>
        <v>C12 USPA</v>
      </c>
      <c r="F11" s="1" t="str">
        <f t="shared" si="0"/>
        <v>BONIS SPA</v>
      </c>
      <c r="G11" s="1" t="str">
        <f t="shared" si="1"/>
        <v>STOCK TERRA MP</v>
      </c>
      <c r="H11" s="1" t="str">
        <f>"BLK"</f>
        <v>BLK</v>
      </c>
      <c r="J11" s="1">
        <v>1</v>
      </c>
      <c r="K11" s="1">
        <f t="shared" si="16"/>
        <v>12</v>
      </c>
      <c r="L11" s="1" t="str">
        <f t="shared" si="2"/>
        <v>01</v>
      </c>
      <c r="M11" s="1" t="str">
        <f t="shared" si="3"/>
        <v>101</v>
      </c>
      <c r="N11" s="1" t="str">
        <f>"008"</f>
        <v>008</v>
      </c>
      <c r="O11" s="1" t="str">
        <f t="shared" si="4"/>
        <v>00</v>
      </c>
      <c r="P11" s="1" t="str">
        <f t="shared" si="5"/>
        <v>S</v>
      </c>
      <c r="Q11" s="1" t="str">
        <f t="shared" si="6"/>
        <v>P</v>
      </c>
      <c r="R11" s="1" t="str">
        <f t="shared" si="7"/>
        <v>01</v>
      </c>
      <c r="S11" s="1" t="str">
        <f t="shared" si="8"/>
        <v>03</v>
      </c>
      <c r="T11" s="1" t="str">
        <f t="shared" si="9"/>
        <v>False</v>
      </c>
      <c r="U11" s="1" t="str">
        <f t="shared" si="10"/>
        <v>True</v>
      </c>
      <c r="V11" s="1" t="str">
        <f>"U0023984"</f>
        <v>U0023984</v>
      </c>
      <c r="W11" s="1">
        <v>1</v>
      </c>
      <c r="Y11" s="1">
        <v>0</v>
      </c>
      <c r="Z11" s="1">
        <v>0</v>
      </c>
      <c r="AD11" s="1" t="str">
        <f t="shared" si="18"/>
        <v>4520107</v>
      </c>
      <c r="AE11" s="1" t="str">
        <f t="shared" si="19"/>
        <v>DONG HUNG IND. JOINT COMPANY</v>
      </c>
      <c r="AG11" s="1">
        <v>0</v>
      </c>
      <c r="AH11" s="1">
        <v>0</v>
      </c>
      <c r="AI11" s="1" t="str">
        <f t="shared" si="11"/>
        <v>F06</v>
      </c>
      <c r="AJ11" s="1" t="str">
        <f t="shared" si="20"/>
        <v>MAN</v>
      </c>
      <c r="AK11" s="1" t="str">
        <f t="shared" si="12"/>
        <v>PA</v>
      </c>
      <c r="AP11" s="1" t="str">
        <f t="shared" si="13"/>
        <v>False</v>
      </c>
      <c r="AR11" s="1" t="str">
        <f t="shared" si="21"/>
        <v>GALAN</v>
      </c>
      <c r="AY11" s="1" t="str">
        <f t="shared" si="14"/>
        <v>PF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 t="str">
        <f>"LAN ECO LEATHER+TEXTILE"</f>
        <v>LAN ECO LEATHER+TEXTILE</v>
      </c>
      <c r="BF11" s="1" t="str">
        <f t="shared" si="15"/>
        <v>Bonis SpA</v>
      </c>
      <c r="BO11" s="1">
        <v>0</v>
      </c>
      <c r="BP11" s="1">
        <v>0</v>
      </c>
      <c r="BQ11" s="1">
        <v>0</v>
      </c>
    </row>
    <row r="12" spans="1:70" x14ac:dyDescent="0.25">
      <c r="B12" s="1">
        <v>1738</v>
      </c>
      <c r="C12" s="1" t="str">
        <f t="shared" ref="C12:C18" si="22">"GALAN4107S7/TY1"</f>
        <v>GALAN4107S7/TY1</v>
      </c>
      <c r="D12" s="1" t="str">
        <f>"ODA16N00240-780"</f>
        <v>ODA16N00240-780</v>
      </c>
      <c r="E12" s="1" t="str">
        <f t="shared" si="17"/>
        <v>C12 USPA</v>
      </c>
      <c r="F12" s="1" t="str">
        <f t="shared" si="0"/>
        <v>BONIS SPA</v>
      </c>
      <c r="G12" s="1" t="str">
        <f t="shared" si="1"/>
        <v>STOCK TERRA MP</v>
      </c>
      <c r="H12" s="1" t="str">
        <f t="shared" ref="H12:H26" si="23">"WHI"</f>
        <v>WHI</v>
      </c>
      <c r="J12" s="1">
        <v>1</v>
      </c>
      <c r="K12" s="1">
        <f t="shared" si="16"/>
        <v>12</v>
      </c>
      <c r="L12" s="1" t="str">
        <f t="shared" si="2"/>
        <v>01</v>
      </c>
      <c r="M12" s="1" t="str">
        <f t="shared" si="3"/>
        <v>101</v>
      </c>
      <c r="N12" s="1" t="str">
        <f>"007"</f>
        <v>007</v>
      </c>
      <c r="O12" s="1" t="str">
        <f t="shared" si="4"/>
        <v>00</v>
      </c>
      <c r="P12" s="1" t="str">
        <f t="shared" si="5"/>
        <v>S</v>
      </c>
      <c r="Q12" s="1" t="str">
        <f t="shared" si="6"/>
        <v>P</v>
      </c>
      <c r="R12" s="1" t="str">
        <f t="shared" si="7"/>
        <v>01</v>
      </c>
      <c r="S12" s="1" t="str">
        <f t="shared" si="8"/>
        <v>03</v>
      </c>
      <c r="T12" s="1" t="str">
        <f t="shared" si="9"/>
        <v>False</v>
      </c>
      <c r="U12" s="1" t="str">
        <f t="shared" si="10"/>
        <v>True</v>
      </c>
      <c r="V12" s="1" t="str">
        <f>"U0027905"</f>
        <v>U0027905</v>
      </c>
      <c r="W12" s="1">
        <v>1</v>
      </c>
      <c r="Y12" s="1">
        <v>0</v>
      </c>
      <c r="Z12" s="1">
        <v>0</v>
      </c>
      <c r="AD12" s="1" t="str">
        <f t="shared" si="18"/>
        <v>4520107</v>
      </c>
      <c r="AE12" s="1" t="str">
        <f t="shared" si="19"/>
        <v>DONG HUNG IND. JOINT COMPANY</v>
      </c>
      <c r="AG12" s="1">
        <v>0</v>
      </c>
      <c r="AH12" s="1">
        <v>0</v>
      </c>
      <c r="AI12" s="1" t="str">
        <f t="shared" si="11"/>
        <v>F06</v>
      </c>
      <c r="AJ12" s="1" t="str">
        <f t="shared" si="20"/>
        <v>MAN</v>
      </c>
      <c r="AK12" s="1" t="str">
        <f t="shared" si="12"/>
        <v>PA</v>
      </c>
      <c r="AP12" s="1" t="str">
        <f t="shared" si="13"/>
        <v>False</v>
      </c>
      <c r="AR12" s="1" t="str">
        <f t="shared" si="21"/>
        <v>GALAN</v>
      </c>
      <c r="AY12" s="1" t="str">
        <f t="shared" si="14"/>
        <v>PF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 t="str">
        <f t="shared" ref="BE12:BE18" si="24">"LAN WASHED TEXTILE+ ECO LEATHE"</f>
        <v>LAN WASHED TEXTILE+ ECO LEATHE</v>
      </c>
      <c r="BF12" s="1" t="str">
        <f t="shared" si="15"/>
        <v>Bonis SpA</v>
      </c>
      <c r="BO12" s="1">
        <v>0</v>
      </c>
      <c r="BP12" s="1">
        <v>0</v>
      </c>
      <c r="BQ12" s="1">
        <v>0</v>
      </c>
    </row>
    <row r="13" spans="1:70" x14ac:dyDescent="0.25">
      <c r="B13" s="1">
        <v>1738</v>
      </c>
      <c r="C13" s="1" t="str">
        <f t="shared" si="22"/>
        <v>GALAN4107S7/TY1</v>
      </c>
      <c r="D13" s="1" t="str">
        <f>"ODA16N00240-782"</f>
        <v>ODA16N00240-782</v>
      </c>
      <c r="E13" s="1" t="str">
        <f t="shared" si="17"/>
        <v>C12 USPA</v>
      </c>
      <c r="F13" s="1" t="str">
        <f t="shared" si="0"/>
        <v>BONIS SPA</v>
      </c>
      <c r="G13" s="1" t="str">
        <f t="shared" si="1"/>
        <v>STOCK TERRA MP</v>
      </c>
      <c r="H13" s="1" t="str">
        <f t="shared" si="23"/>
        <v>WHI</v>
      </c>
      <c r="J13" s="1">
        <v>1</v>
      </c>
      <c r="K13" s="1">
        <f t="shared" si="16"/>
        <v>12</v>
      </c>
      <c r="L13" s="1" t="str">
        <f t="shared" si="2"/>
        <v>01</v>
      </c>
      <c r="M13" s="1" t="str">
        <f t="shared" si="3"/>
        <v>101</v>
      </c>
      <c r="N13" s="1" t="str">
        <f>"007"</f>
        <v>007</v>
      </c>
      <c r="O13" s="1" t="str">
        <f t="shared" si="4"/>
        <v>00</v>
      </c>
      <c r="P13" s="1" t="str">
        <f t="shared" si="5"/>
        <v>S</v>
      </c>
      <c r="Q13" s="1" t="str">
        <f t="shared" si="6"/>
        <v>P</v>
      </c>
      <c r="R13" s="1" t="str">
        <f t="shared" si="7"/>
        <v>01</v>
      </c>
      <c r="S13" s="1" t="str">
        <f t="shared" si="8"/>
        <v>03</v>
      </c>
      <c r="T13" s="1" t="str">
        <f t="shared" si="9"/>
        <v>False</v>
      </c>
      <c r="U13" s="1" t="str">
        <f t="shared" si="10"/>
        <v>True</v>
      </c>
      <c r="V13" s="1" t="str">
        <f>"U0027905"</f>
        <v>U0027905</v>
      </c>
      <c r="W13" s="1">
        <v>1</v>
      </c>
      <c r="Y13" s="1">
        <v>0</v>
      </c>
      <c r="Z13" s="1">
        <v>0</v>
      </c>
      <c r="AD13" s="1" t="str">
        <f t="shared" si="18"/>
        <v>4520107</v>
      </c>
      <c r="AE13" s="1" t="str">
        <f t="shared" si="19"/>
        <v>DONG HUNG IND. JOINT COMPANY</v>
      </c>
      <c r="AG13" s="1">
        <v>0</v>
      </c>
      <c r="AH13" s="1">
        <v>0</v>
      </c>
      <c r="AI13" s="1" t="str">
        <f t="shared" si="11"/>
        <v>F06</v>
      </c>
      <c r="AJ13" s="1" t="str">
        <f t="shared" si="20"/>
        <v>MAN</v>
      </c>
      <c r="AK13" s="1" t="str">
        <f t="shared" si="12"/>
        <v>PA</v>
      </c>
      <c r="AP13" s="1" t="str">
        <f t="shared" si="13"/>
        <v>False</v>
      </c>
      <c r="AR13" s="1" t="str">
        <f t="shared" si="21"/>
        <v>GALAN</v>
      </c>
      <c r="AY13" s="1" t="str">
        <f t="shared" si="14"/>
        <v>PF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 t="str">
        <f t="shared" si="24"/>
        <v>LAN WASHED TEXTILE+ ECO LEATHE</v>
      </c>
      <c r="BF13" s="1" t="str">
        <f t="shared" si="15"/>
        <v>Bonis SpA</v>
      </c>
      <c r="BO13" s="1">
        <v>0</v>
      </c>
      <c r="BP13" s="1">
        <v>0</v>
      </c>
      <c r="BQ13" s="1">
        <v>0</v>
      </c>
    </row>
    <row r="14" spans="1:70" x14ac:dyDescent="0.25">
      <c r="B14" s="1">
        <v>1738</v>
      </c>
      <c r="C14" s="1" t="str">
        <f t="shared" si="22"/>
        <v>GALAN4107S7/TY1</v>
      </c>
      <c r="D14" s="1" t="str">
        <f>"ODA16N00240-783"</f>
        <v>ODA16N00240-783</v>
      </c>
      <c r="E14" s="1" t="str">
        <f t="shared" si="17"/>
        <v>C12 USPA</v>
      </c>
      <c r="F14" s="1" t="str">
        <f t="shared" si="0"/>
        <v>BONIS SPA</v>
      </c>
      <c r="G14" s="1" t="str">
        <f t="shared" si="1"/>
        <v>STOCK TERRA MP</v>
      </c>
      <c r="H14" s="1" t="str">
        <f t="shared" si="23"/>
        <v>WHI</v>
      </c>
      <c r="J14" s="1">
        <v>1</v>
      </c>
      <c r="K14" s="1">
        <f t="shared" si="16"/>
        <v>12</v>
      </c>
      <c r="L14" s="1" t="str">
        <f t="shared" si="2"/>
        <v>01</v>
      </c>
      <c r="M14" s="1" t="str">
        <f t="shared" si="3"/>
        <v>101</v>
      </c>
      <c r="N14" s="1" t="str">
        <f>"007"</f>
        <v>007</v>
      </c>
      <c r="O14" s="1" t="str">
        <f t="shared" si="4"/>
        <v>00</v>
      </c>
      <c r="P14" s="1" t="str">
        <f t="shared" si="5"/>
        <v>S</v>
      </c>
      <c r="Q14" s="1" t="str">
        <f t="shared" si="6"/>
        <v>P</v>
      </c>
      <c r="R14" s="1" t="str">
        <f t="shared" si="7"/>
        <v>01</v>
      </c>
      <c r="S14" s="1" t="str">
        <f t="shared" si="8"/>
        <v>03</v>
      </c>
      <c r="T14" s="1" t="str">
        <f t="shared" si="9"/>
        <v>False</v>
      </c>
      <c r="U14" s="1" t="str">
        <f t="shared" si="10"/>
        <v>True</v>
      </c>
      <c r="V14" s="1" t="str">
        <f>"U0027905"</f>
        <v>U0027905</v>
      </c>
      <c r="W14" s="1">
        <v>1</v>
      </c>
      <c r="Y14" s="1">
        <v>0</v>
      </c>
      <c r="Z14" s="1">
        <v>0</v>
      </c>
      <c r="AD14" s="1" t="str">
        <f t="shared" si="18"/>
        <v>4520107</v>
      </c>
      <c r="AE14" s="1" t="str">
        <f t="shared" si="19"/>
        <v>DONG HUNG IND. JOINT COMPANY</v>
      </c>
      <c r="AG14" s="1">
        <v>0</v>
      </c>
      <c r="AH14" s="1">
        <v>0</v>
      </c>
      <c r="AI14" s="1" t="str">
        <f t="shared" si="11"/>
        <v>F06</v>
      </c>
      <c r="AJ14" s="1" t="str">
        <f t="shared" si="20"/>
        <v>MAN</v>
      </c>
      <c r="AK14" s="1" t="str">
        <f t="shared" si="12"/>
        <v>PA</v>
      </c>
      <c r="AP14" s="1" t="str">
        <f t="shared" si="13"/>
        <v>False</v>
      </c>
      <c r="AR14" s="1" t="str">
        <f t="shared" si="21"/>
        <v>GALAN</v>
      </c>
      <c r="AY14" s="1" t="str">
        <f t="shared" si="14"/>
        <v>PF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 t="str">
        <f t="shared" si="24"/>
        <v>LAN WASHED TEXTILE+ ECO LEATHE</v>
      </c>
      <c r="BF14" s="1" t="str">
        <f t="shared" si="15"/>
        <v>Bonis SpA</v>
      </c>
      <c r="BO14" s="1">
        <v>0</v>
      </c>
      <c r="BP14" s="1">
        <v>0</v>
      </c>
      <c r="BQ14" s="1">
        <v>0</v>
      </c>
    </row>
    <row r="15" spans="1:70" x14ac:dyDescent="0.25">
      <c r="B15" s="1">
        <v>1737</v>
      </c>
      <c r="C15" s="1" t="str">
        <f t="shared" si="22"/>
        <v>GALAN4107S7/TY1</v>
      </c>
      <c r="D15" s="1" t="str">
        <f>"ODA16N00240-788"</f>
        <v>ODA16N00240-788</v>
      </c>
      <c r="E15" s="1" t="str">
        <f t="shared" si="17"/>
        <v>C12 USPA</v>
      </c>
      <c r="F15" s="1" t="str">
        <f t="shared" si="0"/>
        <v>BONIS SPA</v>
      </c>
      <c r="G15" s="1" t="str">
        <f t="shared" si="1"/>
        <v>STOCK TERRA MP</v>
      </c>
      <c r="H15" s="1" t="str">
        <f t="shared" si="23"/>
        <v>WHI</v>
      </c>
      <c r="J15" s="1">
        <v>1</v>
      </c>
      <c r="K15" s="1">
        <f t="shared" si="16"/>
        <v>12</v>
      </c>
      <c r="L15" s="1" t="str">
        <f t="shared" si="2"/>
        <v>01</v>
      </c>
      <c r="M15" s="1" t="str">
        <f t="shared" si="3"/>
        <v>101</v>
      </c>
      <c r="N15" s="1" t="str">
        <f>"006"</f>
        <v>006</v>
      </c>
      <c r="O15" s="1" t="str">
        <f t="shared" si="4"/>
        <v>00</v>
      </c>
      <c r="P15" s="1" t="str">
        <f t="shared" si="5"/>
        <v>S</v>
      </c>
      <c r="Q15" s="1" t="str">
        <f t="shared" si="6"/>
        <v>P</v>
      </c>
      <c r="R15" s="1" t="str">
        <f t="shared" si="7"/>
        <v>01</v>
      </c>
      <c r="S15" s="1" t="str">
        <f t="shared" si="8"/>
        <v>03</v>
      </c>
      <c r="T15" s="1" t="str">
        <f t="shared" si="9"/>
        <v>False</v>
      </c>
      <c r="U15" s="1" t="str">
        <f t="shared" si="10"/>
        <v>True</v>
      </c>
      <c r="V15" s="1" t="str">
        <f>"U0024638"</f>
        <v>U0024638</v>
      </c>
      <c r="W15" s="1">
        <v>1</v>
      </c>
      <c r="Y15" s="1">
        <v>0</v>
      </c>
      <c r="Z15" s="1">
        <v>0</v>
      </c>
      <c r="AD15" s="1" t="str">
        <f t="shared" si="18"/>
        <v>4520107</v>
      </c>
      <c r="AE15" s="1" t="str">
        <f t="shared" si="19"/>
        <v>DONG HUNG IND. JOINT COMPANY</v>
      </c>
      <c r="AG15" s="1">
        <v>0</v>
      </c>
      <c r="AH15" s="1">
        <v>0</v>
      </c>
      <c r="AI15" s="1" t="str">
        <f t="shared" si="11"/>
        <v>F06</v>
      </c>
      <c r="AJ15" s="1" t="str">
        <f t="shared" si="20"/>
        <v>MAN</v>
      </c>
      <c r="AK15" s="1" t="str">
        <f t="shared" si="12"/>
        <v>PA</v>
      </c>
      <c r="AP15" s="1" t="str">
        <f t="shared" si="13"/>
        <v>False</v>
      </c>
      <c r="AR15" s="1" t="str">
        <f t="shared" si="21"/>
        <v>GALAN</v>
      </c>
      <c r="AY15" s="1" t="str">
        <f t="shared" si="14"/>
        <v>PF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 t="str">
        <f t="shared" si="24"/>
        <v>LAN WASHED TEXTILE+ ECO LEATHE</v>
      </c>
      <c r="BF15" s="1" t="str">
        <f t="shared" si="15"/>
        <v>Bonis SpA</v>
      </c>
      <c r="BO15" s="1">
        <v>0</v>
      </c>
      <c r="BP15" s="1">
        <v>0</v>
      </c>
      <c r="BQ15" s="1">
        <v>0</v>
      </c>
    </row>
    <row r="16" spans="1:70" x14ac:dyDescent="0.25">
      <c r="B16" s="1">
        <v>1738</v>
      </c>
      <c r="C16" s="1" t="str">
        <f t="shared" si="22"/>
        <v>GALAN4107S7/TY1</v>
      </c>
      <c r="D16" s="1" t="str">
        <f>"ODA16N00240-817"</f>
        <v>ODA16N00240-817</v>
      </c>
      <c r="E16" s="1" t="str">
        <f t="shared" si="17"/>
        <v>C12 USPA</v>
      </c>
      <c r="F16" s="1" t="str">
        <f t="shared" si="0"/>
        <v>BONIS SPA</v>
      </c>
      <c r="G16" s="1" t="str">
        <f t="shared" si="1"/>
        <v>STOCK TERRA MP</v>
      </c>
      <c r="H16" s="1" t="str">
        <f t="shared" si="23"/>
        <v>WHI</v>
      </c>
      <c r="J16" s="1">
        <v>1</v>
      </c>
      <c r="K16" s="1">
        <f t="shared" si="16"/>
        <v>12</v>
      </c>
      <c r="L16" s="1" t="str">
        <f t="shared" si="2"/>
        <v>01</v>
      </c>
      <c r="M16" s="1" t="str">
        <f t="shared" si="3"/>
        <v>101</v>
      </c>
      <c r="N16" s="1" t="str">
        <f>"007"</f>
        <v>007</v>
      </c>
      <c r="O16" s="1" t="str">
        <f t="shared" si="4"/>
        <v>00</v>
      </c>
      <c r="P16" s="1" t="str">
        <f t="shared" si="5"/>
        <v>S</v>
      </c>
      <c r="Q16" s="1" t="str">
        <f t="shared" si="6"/>
        <v>P</v>
      </c>
      <c r="R16" s="1" t="str">
        <f t="shared" si="7"/>
        <v>01</v>
      </c>
      <c r="S16" s="1" t="str">
        <f t="shared" si="8"/>
        <v>03</v>
      </c>
      <c r="T16" s="1" t="str">
        <f t="shared" si="9"/>
        <v>False</v>
      </c>
      <c r="U16" s="1" t="str">
        <f t="shared" si="10"/>
        <v>True</v>
      </c>
      <c r="V16" s="1" t="str">
        <f>"U0027905"</f>
        <v>U0027905</v>
      </c>
      <c r="W16" s="1">
        <v>1</v>
      </c>
      <c r="Y16" s="1">
        <v>0</v>
      </c>
      <c r="Z16" s="1">
        <v>0</v>
      </c>
      <c r="AD16" s="1" t="str">
        <f t="shared" si="18"/>
        <v>4520107</v>
      </c>
      <c r="AE16" s="1" t="str">
        <f t="shared" si="19"/>
        <v>DONG HUNG IND. JOINT COMPANY</v>
      </c>
      <c r="AG16" s="1">
        <v>0</v>
      </c>
      <c r="AH16" s="1">
        <v>0</v>
      </c>
      <c r="AI16" s="1" t="str">
        <f t="shared" si="11"/>
        <v>F06</v>
      </c>
      <c r="AJ16" s="1" t="str">
        <f t="shared" si="20"/>
        <v>MAN</v>
      </c>
      <c r="AK16" s="1" t="str">
        <f t="shared" si="12"/>
        <v>PA</v>
      </c>
      <c r="AP16" s="1" t="str">
        <f t="shared" si="13"/>
        <v>False</v>
      </c>
      <c r="AR16" s="1" t="str">
        <f t="shared" si="21"/>
        <v>GALAN</v>
      </c>
      <c r="AY16" s="1" t="str">
        <f t="shared" si="14"/>
        <v>PF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 t="str">
        <f t="shared" si="24"/>
        <v>LAN WASHED TEXTILE+ ECO LEATHE</v>
      </c>
      <c r="BF16" s="1" t="str">
        <f t="shared" si="15"/>
        <v>Bonis SpA</v>
      </c>
      <c r="BO16" s="1">
        <v>0</v>
      </c>
      <c r="BP16" s="1">
        <v>0</v>
      </c>
      <c r="BQ16" s="1">
        <v>0</v>
      </c>
    </row>
    <row r="17" spans="2:69" x14ac:dyDescent="0.25">
      <c r="B17" s="1">
        <v>1736</v>
      </c>
      <c r="C17" s="1" t="str">
        <f t="shared" si="22"/>
        <v>GALAN4107S7/TY1</v>
      </c>
      <c r="D17" s="1" t="str">
        <f>"ODA16N00240-822"</f>
        <v>ODA16N00240-822</v>
      </c>
      <c r="E17" s="1" t="str">
        <f t="shared" si="17"/>
        <v>C12 USPA</v>
      </c>
      <c r="F17" s="1" t="str">
        <f t="shared" si="0"/>
        <v>BONIS SPA</v>
      </c>
      <c r="G17" s="1" t="str">
        <f t="shared" si="1"/>
        <v>STOCK TERRA MP</v>
      </c>
      <c r="H17" s="1" t="str">
        <f t="shared" si="23"/>
        <v>WHI</v>
      </c>
      <c r="J17" s="1">
        <v>1</v>
      </c>
      <c r="K17" s="1">
        <f t="shared" si="16"/>
        <v>12</v>
      </c>
      <c r="L17" s="1" t="str">
        <f t="shared" si="2"/>
        <v>01</v>
      </c>
      <c r="M17" s="1" t="str">
        <f t="shared" si="3"/>
        <v>101</v>
      </c>
      <c r="N17" s="1" t="str">
        <f>"005"</f>
        <v>005</v>
      </c>
      <c r="O17" s="1" t="str">
        <f t="shared" si="4"/>
        <v>00</v>
      </c>
      <c r="P17" s="1" t="str">
        <f t="shared" si="5"/>
        <v>S</v>
      </c>
      <c r="Q17" s="1" t="str">
        <f t="shared" si="6"/>
        <v>P</v>
      </c>
      <c r="R17" s="1" t="str">
        <f t="shared" si="7"/>
        <v>01</v>
      </c>
      <c r="S17" s="1" t="str">
        <f t="shared" si="8"/>
        <v>03</v>
      </c>
      <c r="T17" s="1" t="str">
        <f t="shared" si="9"/>
        <v>False</v>
      </c>
      <c r="U17" s="1" t="str">
        <f t="shared" si="10"/>
        <v>True</v>
      </c>
      <c r="V17" s="1" t="str">
        <f>"U0024335"</f>
        <v>U0024335</v>
      </c>
      <c r="W17" s="1">
        <v>1</v>
      </c>
      <c r="Y17" s="1">
        <v>0</v>
      </c>
      <c r="Z17" s="1">
        <v>0</v>
      </c>
      <c r="AD17" s="1" t="str">
        <f t="shared" si="18"/>
        <v>4520107</v>
      </c>
      <c r="AE17" s="1" t="str">
        <f t="shared" si="19"/>
        <v>DONG HUNG IND. JOINT COMPANY</v>
      </c>
      <c r="AG17" s="1">
        <v>0</v>
      </c>
      <c r="AH17" s="1">
        <v>0</v>
      </c>
      <c r="AI17" s="1" t="str">
        <f t="shared" si="11"/>
        <v>F06</v>
      </c>
      <c r="AJ17" s="1" t="str">
        <f t="shared" si="20"/>
        <v>MAN</v>
      </c>
      <c r="AK17" s="1" t="str">
        <f t="shared" si="12"/>
        <v>PA</v>
      </c>
      <c r="AP17" s="1" t="str">
        <f t="shared" si="13"/>
        <v>False</v>
      </c>
      <c r="AR17" s="1" t="str">
        <f t="shared" si="21"/>
        <v>GALAN</v>
      </c>
      <c r="AY17" s="1" t="str">
        <f t="shared" si="14"/>
        <v>PF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 t="str">
        <f t="shared" si="24"/>
        <v>LAN WASHED TEXTILE+ ECO LEATHE</v>
      </c>
      <c r="BF17" s="1" t="str">
        <f t="shared" si="15"/>
        <v>Bonis SpA</v>
      </c>
      <c r="BO17" s="1">
        <v>0</v>
      </c>
      <c r="BP17" s="1">
        <v>0</v>
      </c>
      <c r="BQ17" s="1">
        <v>0</v>
      </c>
    </row>
    <row r="18" spans="2:69" x14ac:dyDescent="0.25">
      <c r="B18" s="1">
        <v>1737</v>
      </c>
      <c r="C18" s="1" t="str">
        <f t="shared" si="22"/>
        <v>GALAN4107S7/TY1</v>
      </c>
      <c r="D18" s="1" t="str">
        <f>"ODA16N00240-823"</f>
        <v>ODA16N00240-823</v>
      </c>
      <c r="E18" s="1" t="str">
        <f t="shared" si="17"/>
        <v>C12 USPA</v>
      </c>
      <c r="F18" s="1" t="str">
        <f t="shared" si="0"/>
        <v>BONIS SPA</v>
      </c>
      <c r="G18" s="1" t="str">
        <f t="shared" si="1"/>
        <v>STOCK TERRA MP</v>
      </c>
      <c r="H18" s="1" t="str">
        <f t="shared" si="23"/>
        <v>WHI</v>
      </c>
      <c r="J18" s="1">
        <v>1</v>
      </c>
      <c r="K18" s="1">
        <f t="shared" si="16"/>
        <v>12</v>
      </c>
      <c r="L18" s="1" t="str">
        <f t="shared" si="2"/>
        <v>01</v>
      </c>
      <c r="M18" s="1" t="str">
        <f t="shared" si="3"/>
        <v>101</v>
      </c>
      <c r="N18" s="1" t="str">
        <f>"006"</f>
        <v>006</v>
      </c>
      <c r="O18" s="1" t="str">
        <f t="shared" si="4"/>
        <v>00</v>
      </c>
      <c r="P18" s="1" t="str">
        <f t="shared" si="5"/>
        <v>S</v>
      </c>
      <c r="Q18" s="1" t="str">
        <f t="shared" si="6"/>
        <v>P</v>
      </c>
      <c r="R18" s="1" t="str">
        <f t="shared" si="7"/>
        <v>01</v>
      </c>
      <c r="S18" s="1" t="str">
        <f t="shared" si="8"/>
        <v>03</v>
      </c>
      <c r="T18" s="1" t="str">
        <f t="shared" si="9"/>
        <v>False</v>
      </c>
      <c r="U18" s="1" t="str">
        <f t="shared" si="10"/>
        <v>True</v>
      </c>
      <c r="V18" s="1" t="str">
        <f>"U0024638"</f>
        <v>U0024638</v>
      </c>
      <c r="W18" s="1">
        <v>1</v>
      </c>
      <c r="Y18" s="1">
        <v>0</v>
      </c>
      <c r="Z18" s="1">
        <v>0</v>
      </c>
      <c r="AD18" s="1" t="str">
        <f t="shared" si="18"/>
        <v>4520107</v>
      </c>
      <c r="AE18" s="1" t="str">
        <f t="shared" si="19"/>
        <v>DONG HUNG IND. JOINT COMPANY</v>
      </c>
      <c r="AG18" s="1">
        <v>0</v>
      </c>
      <c r="AH18" s="1">
        <v>0</v>
      </c>
      <c r="AI18" s="1" t="str">
        <f t="shared" si="11"/>
        <v>F06</v>
      </c>
      <c r="AJ18" s="1" t="str">
        <f t="shared" si="20"/>
        <v>MAN</v>
      </c>
      <c r="AK18" s="1" t="str">
        <f t="shared" si="12"/>
        <v>PA</v>
      </c>
      <c r="AP18" s="1" t="str">
        <f t="shared" si="13"/>
        <v>False</v>
      </c>
      <c r="AR18" s="1" t="str">
        <f t="shared" si="21"/>
        <v>GALAN</v>
      </c>
      <c r="AY18" s="1" t="str">
        <f t="shared" si="14"/>
        <v>PF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 t="str">
        <f t="shared" si="24"/>
        <v>LAN WASHED TEXTILE+ ECO LEATHE</v>
      </c>
      <c r="BF18" s="1" t="str">
        <f t="shared" si="15"/>
        <v>Bonis SpA</v>
      </c>
      <c r="BO18" s="1">
        <v>0</v>
      </c>
      <c r="BP18" s="1">
        <v>0</v>
      </c>
      <c r="BQ18" s="1">
        <v>0</v>
      </c>
    </row>
    <row r="19" spans="2:69" x14ac:dyDescent="0.25">
      <c r="B19" s="1">
        <v>1738</v>
      </c>
      <c r="C19" s="1" t="str">
        <f>"GALAD4123S7/CY1"</f>
        <v>GALAD4123S7/CY1</v>
      </c>
      <c r="D19" s="1" t="str">
        <f>"ODA16N00241-730"</f>
        <v>ODA16N00241-730</v>
      </c>
      <c r="E19" s="1" t="str">
        <f>"R12 USPA"</f>
        <v>R12 USPA</v>
      </c>
      <c r="F19" s="1" t="str">
        <f t="shared" si="0"/>
        <v>BONIS SPA</v>
      </c>
      <c r="G19" s="1" t="str">
        <f t="shared" si="1"/>
        <v>STOCK TERRA MP</v>
      </c>
      <c r="H19" s="1" t="str">
        <f t="shared" si="23"/>
        <v>WHI</v>
      </c>
      <c r="J19" s="1">
        <v>1</v>
      </c>
      <c r="K19" s="1">
        <f t="shared" si="16"/>
        <v>12</v>
      </c>
      <c r="L19" s="1" t="str">
        <f t="shared" si="2"/>
        <v>01</v>
      </c>
      <c r="M19" s="1" t="str">
        <f t="shared" si="3"/>
        <v>101</v>
      </c>
      <c r="N19" s="1" t="str">
        <f>"007"</f>
        <v>007</v>
      </c>
      <c r="O19" s="1" t="str">
        <f t="shared" si="4"/>
        <v>00</v>
      </c>
      <c r="P19" s="1" t="str">
        <f t="shared" si="5"/>
        <v>S</v>
      </c>
      <c r="Q19" s="1" t="str">
        <f t="shared" si="6"/>
        <v>P</v>
      </c>
      <c r="R19" s="1" t="str">
        <f t="shared" si="7"/>
        <v>01</v>
      </c>
      <c r="S19" s="1" t="str">
        <f t="shared" si="8"/>
        <v>03</v>
      </c>
      <c r="T19" s="1" t="str">
        <f t="shared" si="9"/>
        <v>False</v>
      </c>
      <c r="U19" s="1" t="str">
        <f t="shared" si="10"/>
        <v>True</v>
      </c>
      <c r="V19" s="1" t="str">
        <f>"U0027905"</f>
        <v>U0027905</v>
      </c>
      <c r="W19" s="1">
        <v>1</v>
      </c>
      <c r="Y19" s="1">
        <v>0</v>
      </c>
      <c r="Z19" s="1">
        <v>0</v>
      </c>
      <c r="AD19" s="1" t="str">
        <f t="shared" si="18"/>
        <v>4520107</v>
      </c>
      <c r="AE19" s="1" t="str">
        <f t="shared" si="19"/>
        <v>DONG HUNG IND. JOINT COMPANY</v>
      </c>
      <c r="AG19" s="1">
        <v>0</v>
      </c>
      <c r="AH19" s="1">
        <v>0</v>
      </c>
      <c r="AI19" s="1" t="str">
        <f t="shared" si="11"/>
        <v>F06</v>
      </c>
      <c r="AJ19" s="1" t="str">
        <f t="shared" ref="AJ19:AJ26" si="25">"WOMAN"</f>
        <v>WOMAN</v>
      </c>
      <c r="AK19" s="1" t="str">
        <f t="shared" si="12"/>
        <v>PA</v>
      </c>
      <c r="AP19" s="1" t="str">
        <f t="shared" si="13"/>
        <v>False</v>
      </c>
      <c r="AR19" s="1" t="str">
        <f>"GALAD"</f>
        <v>GALAD</v>
      </c>
      <c r="AY19" s="1" t="str">
        <f t="shared" si="14"/>
        <v>PF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 t="str">
        <f>"D GOMMA TEXTILE+SYNTHETIC LEAT"</f>
        <v>D GOMMA TEXTILE+SYNTHETIC LEAT</v>
      </c>
      <c r="BF19" s="1" t="str">
        <f t="shared" si="15"/>
        <v>Bonis SpA</v>
      </c>
      <c r="BO19" s="1">
        <v>0</v>
      </c>
      <c r="BP19" s="1">
        <v>0</v>
      </c>
      <c r="BQ19" s="1">
        <v>0</v>
      </c>
    </row>
    <row r="20" spans="2:69" x14ac:dyDescent="0.25">
      <c r="B20" s="1">
        <v>1738</v>
      </c>
      <c r="C20" s="1" t="str">
        <f>"GALAD4123S7/CY1"</f>
        <v>GALAD4123S7/CY1</v>
      </c>
      <c r="D20" s="1" t="str">
        <f>"ODA16N00241-735"</f>
        <v>ODA16N00241-735</v>
      </c>
      <c r="E20" s="1" t="str">
        <f>"R12 USPA"</f>
        <v>R12 USPA</v>
      </c>
      <c r="F20" s="1" t="str">
        <f t="shared" si="0"/>
        <v>BONIS SPA</v>
      </c>
      <c r="G20" s="1" t="str">
        <f t="shared" si="1"/>
        <v>STOCK TERRA MP</v>
      </c>
      <c r="H20" s="1" t="str">
        <f t="shared" si="23"/>
        <v>WHI</v>
      </c>
      <c r="J20" s="1">
        <v>1</v>
      </c>
      <c r="K20" s="1">
        <f t="shared" si="16"/>
        <v>12</v>
      </c>
      <c r="L20" s="1" t="str">
        <f t="shared" si="2"/>
        <v>01</v>
      </c>
      <c r="M20" s="1" t="str">
        <f t="shared" si="3"/>
        <v>101</v>
      </c>
      <c r="N20" s="1" t="str">
        <f>"007"</f>
        <v>007</v>
      </c>
      <c r="O20" s="1" t="str">
        <f t="shared" si="4"/>
        <v>00</v>
      </c>
      <c r="P20" s="1" t="str">
        <f t="shared" si="5"/>
        <v>S</v>
      </c>
      <c r="Q20" s="1" t="str">
        <f t="shared" si="6"/>
        <v>P</v>
      </c>
      <c r="R20" s="1" t="str">
        <f t="shared" si="7"/>
        <v>01</v>
      </c>
      <c r="S20" s="1" t="str">
        <f t="shared" si="8"/>
        <v>03</v>
      </c>
      <c r="T20" s="1" t="str">
        <f t="shared" si="9"/>
        <v>False</v>
      </c>
      <c r="U20" s="1" t="str">
        <f t="shared" si="10"/>
        <v>True</v>
      </c>
      <c r="V20" s="1" t="str">
        <f>"U0027905"</f>
        <v>U0027905</v>
      </c>
      <c r="W20" s="1">
        <v>1</v>
      </c>
      <c r="Y20" s="1">
        <v>0</v>
      </c>
      <c r="Z20" s="1">
        <v>0</v>
      </c>
      <c r="AD20" s="1" t="str">
        <f t="shared" si="18"/>
        <v>4520107</v>
      </c>
      <c r="AE20" s="1" t="str">
        <f t="shared" si="19"/>
        <v>DONG HUNG IND. JOINT COMPANY</v>
      </c>
      <c r="AG20" s="1">
        <v>0</v>
      </c>
      <c r="AH20" s="1">
        <v>0</v>
      </c>
      <c r="AI20" s="1" t="str">
        <f t="shared" si="11"/>
        <v>F06</v>
      </c>
      <c r="AJ20" s="1" t="str">
        <f t="shared" si="25"/>
        <v>WOMAN</v>
      </c>
      <c r="AK20" s="1" t="str">
        <f t="shared" si="12"/>
        <v>PA</v>
      </c>
      <c r="AP20" s="1" t="str">
        <f t="shared" si="13"/>
        <v>False</v>
      </c>
      <c r="AR20" s="1" t="str">
        <f>"GALAD"</f>
        <v>GALAD</v>
      </c>
      <c r="AY20" s="1" t="str">
        <f t="shared" si="14"/>
        <v>PF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 t="str">
        <f>"D GOMMA TEXTILE+SYNTHETIC LEAT"</f>
        <v>D GOMMA TEXTILE+SYNTHETIC LEAT</v>
      </c>
      <c r="BF20" s="1" t="str">
        <f t="shared" si="15"/>
        <v>Bonis SpA</v>
      </c>
      <c r="BO20" s="1">
        <v>0</v>
      </c>
      <c r="BP20" s="1">
        <v>0</v>
      </c>
      <c r="BQ20" s="1">
        <v>0</v>
      </c>
    </row>
    <row r="21" spans="2:69" x14ac:dyDescent="0.25">
      <c r="B21" s="1">
        <v>1738</v>
      </c>
      <c r="C21" s="1" t="str">
        <f>"GALAD4123S7/CY1"</f>
        <v>GALAD4123S7/CY1</v>
      </c>
      <c r="D21" s="1" t="str">
        <f>"ODA16N00241-742"</f>
        <v>ODA16N00241-742</v>
      </c>
      <c r="E21" s="1" t="str">
        <f>"R12 USPA"</f>
        <v>R12 USPA</v>
      </c>
      <c r="F21" s="1" t="str">
        <f t="shared" si="0"/>
        <v>BONIS SPA</v>
      </c>
      <c r="G21" s="1" t="str">
        <f t="shared" si="1"/>
        <v>STOCK TERRA MP</v>
      </c>
      <c r="H21" s="1" t="str">
        <f t="shared" si="23"/>
        <v>WHI</v>
      </c>
      <c r="J21" s="1">
        <v>1</v>
      </c>
      <c r="K21" s="1">
        <f t="shared" si="16"/>
        <v>12</v>
      </c>
      <c r="L21" s="1" t="str">
        <f t="shared" si="2"/>
        <v>01</v>
      </c>
      <c r="M21" s="1" t="str">
        <f t="shared" si="3"/>
        <v>101</v>
      </c>
      <c r="N21" s="1" t="str">
        <f>"007"</f>
        <v>007</v>
      </c>
      <c r="O21" s="1" t="str">
        <f t="shared" si="4"/>
        <v>00</v>
      </c>
      <c r="P21" s="1" t="str">
        <f t="shared" si="5"/>
        <v>S</v>
      </c>
      <c r="Q21" s="1" t="str">
        <f t="shared" si="6"/>
        <v>P</v>
      </c>
      <c r="R21" s="1" t="str">
        <f t="shared" si="7"/>
        <v>01</v>
      </c>
      <c r="S21" s="1" t="str">
        <f t="shared" si="8"/>
        <v>03</v>
      </c>
      <c r="T21" s="1" t="str">
        <f t="shared" si="9"/>
        <v>False</v>
      </c>
      <c r="U21" s="1" t="str">
        <f t="shared" si="10"/>
        <v>True</v>
      </c>
      <c r="V21" s="1" t="str">
        <f>"U0027905"</f>
        <v>U0027905</v>
      </c>
      <c r="W21" s="1">
        <v>1</v>
      </c>
      <c r="Y21" s="1">
        <v>0</v>
      </c>
      <c r="Z21" s="1">
        <v>0</v>
      </c>
      <c r="AD21" s="1" t="str">
        <f t="shared" si="18"/>
        <v>4520107</v>
      </c>
      <c r="AE21" s="1" t="str">
        <f t="shared" si="19"/>
        <v>DONG HUNG IND. JOINT COMPANY</v>
      </c>
      <c r="AG21" s="1">
        <v>0</v>
      </c>
      <c r="AH21" s="1">
        <v>0</v>
      </c>
      <c r="AI21" s="1" t="str">
        <f t="shared" si="11"/>
        <v>F06</v>
      </c>
      <c r="AJ21" s="1" t="str">
        <f t="shared" si="25"/>
        <v>WOMAN</v>
      </c>
      <c r="AK21" s="1" t="str">
        <f t="shared" si="12"/>
        <v>PA</v>
      </c>
      <c r="AP21" s="1" t="str">
        <f t="shared" si="13"/>
        <v>False</v>
      </c>
      <c r="AR21" s="1" t="str">
        <f>"GALAD"</f>
        <v>GALAD</v>
      </c>
      <c r="AY21" s="1" t="str">
        <f t="shared" si="14"/>
        <v>PF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 t="str">
        <f>"D GOMMA TEXTILE+SYNTHETIC LEAT"</f>
        <v>D GOMMA TEXTILE+SYNTHETIC LEAT</v>
      </c>
      <c r="BF21" s="1" t="str">
        <f t="shared" si="15"/>
        <v>Bonis SpA</v>
      </c>
      <c r="BO21" s="1">
        <v>0</v>
      </c>
      <c r="BP21" s="1">
        <v>0</v>
      </c>
      <c r="BQ21" s="1">
        <v>0</v>
      </c>
    </row>
    <row r="22" spans="2:69" x14ac:dyDescent="0.25">
      <c r="B22" s="1">
        <v>1744</v>
      </c>
      <c r="C22" s="1" t="str">
        <f>"TRIXY4155S7/YL1"</f>
        <v>TRIXY4155S7/YL1</v>
      </c>
      <c r="D22" s="1" t="str">
        <f>"ODA16N00242-388"</f>
        <v>ODA16N00242-388</v>
      </c>
      <c r="E22" s="1" t="str">
        <f>"D12 USPA"</f>
        <v>D12 USPA</v>
      </c>
      <c r="F22" s="1" t="str">
        <f t="shared" si="0"/>
        <v>BONIS SPA</v>
      </c>
      <c r="G22" s="1" t="str">
        <f t="shared" si="1"/>
        <v>STOCK TERRA MP</v>
      </c>
      <c r="H22" s="1" t="str">
        <f t="shared" si="23"/>
        <v>WHI</v>
      </c>
      <c r="J22" s="1">
        <v>1</v>
      </c>
      <c r="K22" s="1">
        <f t="shared" si="16"/>
        <v>12</v>
      </c>
      <c r="L22" s="1" t="str">
        <f t="shared" si="2"/>
        <v>01</v>
      </c>
      <c r="M22" s="1" t="str">
        <f t="shared" si="3"/>
        <v>101</v>
      </c>
      <c r="N22" s="1" t="str">
        <f>"013"</f>
        <v>013</v>
      </c>
      <c r="O22" s="1" t="str">
        <f t="shared" si="4"/>
        <v>00</v>
      </c>
      <c r="P22" s="1" t="str">
        <f t="shared" si="5"/>
        <v>S</v>
      </c>
      <c r="Q22" s="1" t="str">
        <f t="shared" si="6"/>
        <v>P</v>
      </c>
      <c r="R22" s="1" t="str">
        <f t="shared" si="7"/>
        <v>01</v>
      </c>
      <c r="S22" s="1" t="str">
        <f t="shared" si="8"/>
        <v>03</v>
      </c>
      <c r="T22" s="1" t="str">
        <f t="shared" si="9"/>
        <v>False</v>
      </c>
      <c r="U22" s="1" t="str">
        <f t="shared" si="10"/>
        <v>True</v>
      </c>
      <c r="V22" s="1" t="str">
        <f>"U0023677"</f>
        <v>U0023677</v>
      </c>
      <c r="W22" s="1">
        <v>1</v>
      </c>
      <c r="Y22" s="1">
        <v>0</v>
      </c>
      <c r="Z22" s="1">
        <v>0</v>
      </c>
      <c r="AD22" s="1" t="str">
        <f t="shared" si="18"/>
        <v>4520107</v>
      </c>
      <c r="AE22" s="1" t="str">
        <f t="shared" si="19"/>
        <v>DONG HUNG IND. JOINT COMPANY</v>
      </c>
      <c r="AG22" s="1">
        <v>0</v>
      </c>
      <c r="AH22" s="1">
        <v>0</v>
      </c>
      <c r="AI22" s="1" t="str">
        <f t="shared" si="11"/>
        <v>F06</v>
      </c>
      <c r="AJ22" s="1" t="str">
        <f t="shared" si="25"/>
        <v>WOMAN</v>
      </c>
      <c r="AK22" s="1" t="str">
        <f t="shared" si="12"/>
        <v>PA</v>
      </c>
      <c r="AP22" s="1" t="str">
        <f t="shared" si="13"/>
        <v>False</v>
      </c>
      <c r="AR22" s="1" t="str">
        <f>"TRIXY"</f>
        <v>TRIXY</v>
      </c>
      <c r="AY22" s="1" t="str">
        <f t="shared" si="14"/>
        <v>PF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 t="str">
        <f>"Y GOMMA SYNTHETIC WOVEN LEATHE"</f>
        <v>Y GOMMA SYNTHETIC WOVEN LEATHE</v>
      </c>
      <c r="BF22" s="1" t="str">
        <f t="shared" si="15"/>
        <v>Bonis SpA</v>
      </c>
      <c r="BO22" s="1">
        <v>0</v>
      </c>
      <c r="BP22" s="1">
        <v>0</v>
      </c>
      <c r="BQ22" s="1">
        <v>0</v>
      </c>
    </row>
    <row r="23" spans="2:69" x14ac:dyDescent="0.25">
      <c r="B23" s="1">
        <v>1744</v>
      </c>
      <c r="C23" s="1" t="str">
        <f>"TRIXY4155S7/YL1"</f>
        <v>TRIXY4155S7/YL1</v>
      </c>
      <c r="D23" s="1" t="str">
        <f>"ODA16N00242-407"</f>
        <v>ODA16N00242-407</v>
      </c>
      <c r="E23" s="1" t="str">
        <f>"D12 USPA"</f>
        <v>D12 USPA</v>
      </c>
      <c r="F23" s="1" t="str">
        <f t="shared" si="0"/>
        <v>BONIS SPA</v>
      </c>
      <c r="G23" s="1" t="str">
        <f t="shared" si="1"/>
        <v>STOCK TERRA MP</v>
      </c>
      <c r="H23" s="1" t="str">
        <f t="shared" si="23"/>
        <v>WHI</v>
      </c>
      <c r="J23" s="1">
        <v>1</v>
      </c>
      <c r="K23" s="1">
        <f t="shared" si="16"/>
        <v>12</v>
      </c>
      <c r="L23" s="1" t="str">
        <f t="shared" si="2"/>
        <v>01</v>
      </c>
      <c r="M23" s="1" t="str">
        <f t="shared" si="3"/>
        <v>101</v>
      </c>
      <c r="N23" s="1" t="str">
        <f>"013"</f>
        <v>013</v>
      </c>
      <c r="O23" s="1" t="str">
        <f t="shared" si="4"/>
        <v>00</v>
      </c>
      <c r="P23" s="1" t="str">
        <f t="shared" si="5"/>
        <v>S</v>
      </c>
      <c r="Q23" s="1" t="str">
        <f t="shared" si="6"/>
        <v>P</v>
      </c>
      <c r="R23" s="1" t="str">
        <f t="shared" si="7"/>
        <v>01</v>
      </c>
      <c r="S23" s="1" t="str">
        <f t="shared" si="8"/>
        <v>03</v>
      </c>
      <c r="T23" s="1" t="str">
        <f t="shared" si="9"/>
        <v>False</v>
      </c>
      <c r="U23" s="1" t="str">
        <f t="shared" si="10"/>
        <v>True</v>
      </c>
      <c r="V23" s="1" t="str">
        <f>"U0023677"</f>
        <v>U0023677</v>
      </c>
      <c r="W23" s="1">
        <v>1</v>
      </c>
      <c r="Y23" s="1">
        <v>0</v>
      </c>
      <c r="Z23" s="1">
        <v>0</v>
      </c>
      <c r="AD23" s="1" t="str">
        <f t="shared" si="18"/>
        <v>4520107</v>
      </c>
      <c r="AE23" s="1" t="str">
        <f t="shared" si="19"/>
        <v>DONG HUNG IND. JOINT COMPANY</v>
      </c>
      <c r="AG23" s="1">
        <v>0</v>
      </c>
      <c r="AH23" s="1">
        <v>0</v>
      </c>
      <c r="AI23" s="1" t="str">
        <f t="shared" si="11"/>
        <v>F06</v>
      </c>
      <c r="AJ23" s="1" t="str">
        <f t="shared" si="25"/>
        <v>WOMAN</v>
      </c>
      <c r="AK23" s="1" t="str">
        <f t="shared" si="12"/>
        <v>PA</v>
      </c>
      <c r="AP23" s="1" t="str">
        <f t="shared" si="13"/>
        <v>False</v>
      </c>
      <c r="AR23" s="1" t="str">
        <f>"TRIXY"</f>
        <v>TRIXY</v>
      </c>
      <c r="AY23" s="1" t="str">
        <f t="shared" si="14"/>
        <v>PF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 t="str">
        <f>"Y GOMMA SYNTHETIC WOVEN LEATHE"</f>
        <v>Y GOMMA SYNTHETIC WOVEN LEATHE</v>
      </c>
      <c r="BF23" s="1" t="str">
        <f t="shared" si="15"/>
        <v>Bonis SpA</v>
      </c>
      <c r="BO23" s="1">
        <v>0</v>
      </c>
      <c r="BP23" s="1">
        <v>0</v>
      </c>
      <c r="BQ23" s="1">
        <v>0</v>
      </c>
    </row>
    <row r="24" spans="2:69" x14ac:dyDescent="0.25">
      <c r="B24" s="1">
        <v>1744</v>
      </c>
      <c r="C24" s="1" t="str">
        <f>"TRIXY4155S7/YL1"</f>
        <v>TRIXY4155S7/YL1</v>
      </c>
      <c r="D24" s="1" t="str">
        <f>"ODA16N00242-411"</f>
        <v>ODA16N00242-411</v>
      </c>
      <c r="E24" s="1" t="str">
        <f>"D12 USPA"</f>
        <v>D12 USPA</v>
      </c>
      <c r="F24" s="1" t="str">
        <f t="shared" si="0"/>
        <v>BONIS SPA</v>
      </c>
      <c r="G24" s="1" t="str">
        <f t="shared" si="1"/>
        <v>STOCK TERRA MP</v>
      </c>
      <c r="H24" s="1" t="str">
        <f t="shared" si="23"/>
        <v>WHI</v>
      </c>
      <c r="J24" s="1">
        <v>1</v>
      </c>
      <c r="K24" s="1">
        <f t="shared" si="16"/>
        <v>12</v>
      </c>
      <c r="L24" s="1" t="str">
        <f t="shared" si="2"/>
        <v>01</v>
      </c>
      <c r="M24" s="1" t="str">
        <f t="shared" si="3"/>
        <v>101</v>
      </c>
      <c r="N24" s="1" t="str">
        <f>"013"</f>
        <v>013</v>
      </c>
      <c r="O24" s="1" t="str">
        <f t="shared" si="4"/>
        <v>00</v>
      </c>
      <c r="P24" s="1" t="str">
        <f t="shared" si="5"/>
        <v>S</v>
      </c>
      <c r="Q24" s="1" t="str">
        <f t="shared" si="6"/>
        <v>P</v>
      </c>
      <c r="R24" s="1" t="str">
        <f t="shared" si="7"/>
        <v>01</v>
      </c>
      <c r="S24" s="1" t="str">
        <f t="shared" si="8"/>
        <v>03</v>
      </c>
      <c r="T24" s="1" t="str">
        <f t="shared" si="9"/>
        <v>False</v>
      </c>
      <c r="U24" s="1" t="str">
        <f t="shared" si="10"/>
        <v>True</v>
      </c>
      <c r="V24" s="1" t="str">
        <f>"U0023677"</f>
        <v>U0023677</v>
      </c>
      <c r="W24" s="1">
        <v>1</v>
      </c>
      <c r="Y24" s="1">
        <v>0</v>
      </c>
      <c r="Z24" s="1">
        <v>0</v>
      </c>
      <c r="AD24" s="1" t="str">
        <f t="shared" si="18"/>
        <v>4520107</v>
      </c>
      <c r="AE24" s="1" t="str">
        <f t="shared" si="19"/>
        <v>DONG HUNG IND. JOINT COMPANY</v>
      </c>
      <c r="AG24" s="1">
        <v>0</v>
      </c>
      <c r="AH24" s="1">
        <v>0</v>
      </c>
      <c r="AI24" s="1" t="str">
        <f t="shared" si="11"/>
        <v>F06</v>
      </c>
      <c r="AJ24" s="1" t="str">
        <f t="shared" si="25"/>
        <v>WOMAN</v>
      </c>
      <c r="AK24" s="1" t="str">
        <f t="shared" si="12"/>
        <v>PA</v>
      </c>
      <c r="AP24" s="1" t="str">
        <f t="shared" si="13"/>
        <v>False</v>
      </c>
      <c r="AR24" s="1" t="str">
        <f>"TRIXY"</f>
        <v>TRIXY</v>
      </c>
      <c r="AY24" s="1" t="str">
        <f t="shared" si="14"/>
        <v>PF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 t="str">
        <f>"Y GOMMA SYNTHETIC WOVEN LEATHE"</f>
        <v>Y GOMMA SYNTHETIC WOVEN LEATHE</v>
      </c>
      <c r="BF24" s="1" t="str">
        <f t="shared" si="15"/>
        <v>Bonis SpA</v>
      </c>
      <c r="BO24" s="1">
        <v>0</v>
      </c>
      <c r="BP24" s="1">
        <v>0</v>
      </c>
      <c r="BQ24" s="1">
        <v>0</v>
      </c>
    </row>
    <row r="25" spans="2:69" x14ac:dyDescent="0.25">
      <c r="B25" s="1">
        <v>1744</v>
      </c>
      <c r="C25" s="1" t="str">
        <f>"TRIXY4155S7/YL1"</f>
        <v>TRIXY4155S7/YL1</v>
      </c>
      <c r="D25" s="1" t="str">
        <f>"ODA16N00242-412"</f>
        <v>ODA16N00242-412</v>
      </c>
      <c r="E25" s="1" t="str">
        <f>"D12 USPA"</f>
        <v>D12 USPA</v>
      </c>
      <c r="F25" s="1" t="str">
        <f t="shared" si="0"/>
        <v>BONIS SPA</v>
      </c>
      <c r="G25" s="1" t="str">
        <f t="shared" si="1"/>
        <v>STOCK TERRA MP</v>
      </c>
      <c r="H25" s="1" t="str">
        <f t="shared" si="23"/>
        <v>WHI</v>
      </c>
      <c r="J25" s="1">
        <v>1</v>
      </c>
      <c r="K25" s="1">
        <f t="shared" si="16"/>
        <v>12</v>
      </c>
      <c r="L25" s="1" t="str">
        <f t="shared" si="2"/>
        <v>01</v>
      </c>
      <c r="M25" s="1" t="str">
        <f t="shared" si="3"/>
        <v>101</v>
      </c>
      <c r="N25" s="1" t="str">
        <f>"013"</f>
        <v>013</v>
      </c>
      <c r="O25" s="1" t="str">
        <f t="shared" si="4"/>
        <v>00</v>
      </c>
      <c r="P25" s="1" t="str">
        <f t="shared" si="5"/>
        <v>S</v>
      </c>
      <c r="Q25" s="1" t="str">
        <f t="shared" si="6"/>
        <v>P</v>
      </c>
      <c r="R25" s="1" t="str">
        <f t="shared" si="7"/>
        <v>01</v>
      </c>
      <c r="S25" s="1" t="str">
        <f t="shared" si="8"/>
        <v>03</v>
      </c>
      <c r="T25" s="1" t="str">
        <f t="shared" si="9"/>
        <v>False</v>
      </c>
      <c r="U25" s="1" t="str">
        <f t="shared" si="10"/>
        <v>True</v>
      </c>
      <c r="V25" s="1" t="str">
        <f>"U0023677"</f>
        <v>U0023677</v>
      </c>
      <c r="W25" s="1">
        <v>1</v>
      </c>
      <c r="Y25" s="1">
        <v>0</v>
      </c>
      <c r="Z25" s="1">
        <v>0</v>
      </c>
      <c r="AD25" s="1" t="str">
        <f t="shared" si="18"/>
        <v>4520107</v>
      </c>
      <c r="AE25" s="1" t="str">
        <f t="shared" si="19"/>
        <v>DONG HUNG IND. JOINT COMPANY</v>
      </c>
      <c r="AG25" s="1">
        <v>0</v>
      </c>
      <c r="AH25" s="1">
        <v>0</v>
      </c>
      <c r="AI25" s="1" t="str">
        <f t="shared" si="11"/>
        <v>F06</v>
      </c>
      <c r="AJ25" s="1" t="str">
        <f t="shared" si="25"/>
        <v>WOMAN</v>
      </c>
      <c r="AK25" s="1" t="str">
        <f t="shared" si="12"/>
        <v>PA</v>
      </c>
      <c r="AP25" s="1" t="str">
        <f t="shared" si="13"/>
        <v>False</v>
      </c>
      <c r="AR25" s="1" t="str">
        <f>"TRIXY"</f>
        <v>TRIXY</v>
      </c>
      <c r="AY25" s="1" t="str">
        <f t="shared" si="14"/>
        <v>PF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 t="str">
        <f>"Y GOMMA SYNTHETIC WOVEN LEATHE"</f>
        <v>Y GOMMA SYNTHETIC WOVEN LEATHE</v>
      </c>
      <c r="BF25" s="1" t="str">
        <f t="shared" si="15"/>
        <v>Bonis SpA</v>
      </c>
      <c r="BO25" s="1">
        <v>0</v>
      </c>
      <c r="BP25" s="1">
        <v>0</v>
      </c>
      <c r="BQ25" s="1">
        <v>0</v>
      </c>
    </row>
    <row r="26" spans="2:69" x14ac:dyDescent="0.25">
      <c r="B26" s="1">
        <v>1744</v>
      </c>
      <c r="C26" s="1" t="str">
        <f>"TRIXY4155S7/YL1"</f>
        <v>TRIXY4155S7/YL1</v>
      </c>
      <c r="D26" s="1" t="str">
        <f>"ODA16N00242-414"</f>
        <v>ODA16N00242-414</v>
      </c>
      <c r="E26" s="1" t="str">
        <f>"D12 USPA"</f>
        <v>D12 USPA</v>
      </c>
      <c r="F26" s="1" t="str">
        <f t="shared" si="0"/>
        <v>BONIS SPA</v>
      </c>
      <c r="G26" s="1" t="str">
        <f t="shared" si="1"/>
        <v>STOCK TERRA MP</v>
      </c>
      <c r="H26" s="1" t="str">
        <f t="shared" si="23"/>
        <v>WHI</v>
      </c>
      <c r="J26" s="1">
        <v>1</v>
      </c>
      <c r="K26" s="1">
        <f t="shared" si="16"/>
        <v>12</v>
      </c>
      <c r="L26" s="1" t="str">
        <f t="shared" si="2"/>
        <v>01</v>
      </c>
      <c r="M26" s="1" t="str">
        <f t="shared" si="3"/>
        <v>101</v>
      </c>
      <c r="N26" s="1" t="str">
        <f>"013"</f>
        <v>013</v>
      </c>
      <c r="O26" s="1" t="str">
        <f t="shared" si="4"/>
        <v>00</v>
      </c>
      <c r="P26" s="1" t="str">
        <f t="shared" si="5"/>
        <v>S</v>
      </c>
      <c r="Q26" s="1" t="str">
        <f t="shared" si="6"/>
        <v>P</v>
      </c>
      <c r="R26" s="1" t="str">
        <f t="shared" si="7"/>
        <v>01</v>
      </c>
      <c r="S26" s="1" t="str">
        <f t="shared" si="8"/>
        <v>03</v>
      </c>
      <c r="T26" s="1" t="str">
        <f t="shared" si="9"/>
        <v>False</v>
      </c>
      <c r="U26" s="1" t="str">
        <f t="shared" si="10"/>
        <v>True</v>
      </c>
      <c r="V26" s="1" t="str">
        <f>"U0023677"</f>
        <v>U0023677</v>
      </c>
      <c r="W26" s="1">
        <v>1</v>
      </c>
      <c r="Y26" s="1">
        <v>0</v>
      </c>
      <c r="Z26" s="1">
        <v>0</v>
      </c>
      <c r="AD26" s="1" t="str">
        <f t="shared" si="18"/>
        <v>4520107</v>
      </c>
      <c r="AE26" s="1" t="str">
        <f t="shared" si="19"/>
        <v>DONG HUNG IND. JOINT COMPANY</v>
      </c>
      <c r="AG26" s="1">
        <v>0</v>
      </c>
      <c r="AH26" s="1">
        <v>0</v>
      </c>
      <c r="AI26" s="1" t="str">
        <f t="shared" si="11"/>
        <v>F06</v>
      </c>
      <c r="AJ26" s="1" t="str">
        <f t="shared" si="25"/>
        <v>WOMAN</v>
      </c>
      <c r="AK26" s="1" t="str">
        <f t="shared" si="12"/>
        <v>PA</v>
      </c>
      <c r="AP26" s="1" t="str">
        <f t="shared" si="13"/>
        <v>False</v>
      </c>
      <c r="AR26" s="1" t="str">
        <f>"TRIXY"</f>
        <v>TRIXY</v>
      </c>
      <c r="AY26" s="1" t="str">
        <f t="shared" si="14"/>
        <v>PF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 t="str">
        <f>"Y GOMMA SYNTHETIC WOVEN LEATHE"</f>
        <v>Y GOMMA SYNTHETIC WOVEN LEATHE</v>
      </c>
      <c r="BF26" s="1" t="str">
        <f t="shared" si="15"/>
        <v>Bonis SpA</v>
      </c>
      <c r="BO26" s="1">
        <v>0</v>
      </c>
      <c r="BP26" s="1">
        <v>0</v>
      </c>
      <c r="BQ26" s="1">
        <v>0</v>
      </c>
    </row>
    <row r="27" spans="2:69" x14ac:dyDescent="0.25">
      <c r="B27" s="1">
        <v>1737</v>
      </c>
      <c r="C27" s="1" t="str">
        <f>"NOBIK4210S6/MH2"</f>
        <v>NOBIK4210S6/MH2</v>
      </c>
      <c r="D27" s="1" t="str">
        <f>"ODA16N00243-268"</f>
        <v>ODA16N00243-268</v>
      </c>
      <c r="E27" s="1" t="str">
        <f>"Q12 USPA"</f>
        <v>Q12 USPA</v>
      </c>
      <c r="F27" s="1" t="str">
        <f t="shared" si="0"/>
        <v>BONIS SPA</v>
      </c>
      <c r="G27" s="1" t="str">
        <f t="shared" si="1"/>
        <v>STOCK TERRA MP</v>
      </c>
      <c r="H27" s="1" t="str">
        <f>"WHI-BLU"</f>
        <v>WHI-BLU</v>
      </c>
      <c r="J27" s="1">
        <v>1</v>
      </c>
      <c r="K27" s="1">
        <f t="shared" si="16"/>
        <v>12</v>
      </c>
      <c r="L27" s="1" t="str">
        <f t="shared" si="2"/>
        <v>01</v>
      </c>
      <c r="M27" s="1" t="str">
        <f t="shared" si="3"/>
        <v>101</v>
      </c>
      <c r="N27" s="1" t="str">
        <f>"006"</f>
        <v>006</v>
      </c>
      <c r="O27" s="1" t="str">
        <f t="shared" si="4"/>
        <v>00</v>
      </c>
      <c r="P27" s="1" t="str">
        <f t="shared" si="5"/>
        <v>S</v>
      </c>
      <c r="Q27" s="1" t="str">
        <f t="shared" si="6"/>
        <v>P</v>
      </c>
      <c r="R27" s="1" t="str">
        <f t="shared" si="7"/>
        <v>01</v>
      </c>
      <c r="S27" s="1" t="str">
        <f t="shared" si="8"/>
        <v>03</v>
      </c>
      <c r="T27" s="1" t="str">
        <f t="shared" si="9"/>
        <v>False</v>
      </c>
      <c r="U27" s="1" t="str">
        <f t="shared" si="10"/>
        <v>True</v>
      </c>
      <c r="V27" s="1" t="str">
        <f>"U0024638"</f>
        <v>U0024638</v>
      </c>
      <c r="W27" s="1">
        <v>1</v>
      </c>
      <c r="Y27" s="1">
        <v>0</v>
      </c>
      <c r="Z27" s="1">
        <v>0</v>
      </c>
      <c r="AG27" s="1">
        <v>0</v>
      </c>
      <c r="AH27" s="1">
        <v>0</v>
      </c>
      <c r="AI27" s="1" t="str">
        <f t="shared" si="11"/>
        <v>F06</v>
      </c>
      <c r="AJ27" s="1" t="str">
        <f>"KID"</f>
        <v>KID</v>
      </c>
      <c r="AK27" s="1" t="str">
        <f t="shared" si="12"/>
        <v>PA</v>
      </c>
      <c r="AP27" s="1" t="str">
        <f t="shared" si="13"/>
        <v>False</v>
      </c>
      <c r="AR27" s="1" t="str">
        <f>"NOBIK"</f>
        <v>NOBIK</v>
      </c>
      <c r="AY27" s="1" t="str">
        <f t="shared" si="14"/>
        <v>PF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 t="str">
        <f>"UBBER FLAT MOL.MESH+MICROSUE"</f>
        <v>UBBER FLAT MOL.MESH+MICROSUE</v>
      </c>
      <c r="BF27" s="1" t="str">
        <f t="shared" si="15"/>
        <v>Bonis SpA</v>
      </c>
      <c r="BO27" s="1">
        <v>0</v>
      </c>
      <c r="BP27" s="1">
        <v>0</v>
      </c>
      <c r="BQ27" s="1">
        <v>0</v>
      </c>
    </row>
    <row r="28" spans="2:69" x14ac:dyDescent="0.25">
      <c r="B28" s="1">
        <v>1735</v>
      </c>
      <c r="C28" s="1" t="str">
        <f>"MARCS4137S7/C1"</f>
        <v>MARCS4137S7/C1</v>
      </c>
      <c r="D28" s="1" t="str">
        <f>"ODA16N00245-306"</f>
        <v>ODA16N00245-306</v>
      </c>
      <c r="E28" s="1" t="str">
        <f>"C12 USPA"</f>
        <v>C12 USPA</v>
      </c>
      <c r="F28" s="1" t="str">
        <f t="shared" si="0"/>
        <v>BONIS SPA</v>
      </c>
      <c r="G28" s="1" t="str">
        <f t="shared" si="1"/>
        <v>STOCK TERRA MP</v>
      </c>
      <c r="H28" s="1" t="str">
        <f>"GREY"</f>
        <v>GREY</v>
      </c>
      <c r="J28" s="1">
        <v>1</v>
      </c>
      <c r="K28" s="1">
        <f t="shared" si="16"/>
        <v>12</v>
      </c>
      <c r="L28" s="1" t="str">
        <f t="shared" si="2"/>
        <v>01</v>
      </c>
      <c r="M28" s="1" t="str">
        <f t="shared" si="3"/>
        <v>101</v>
      </c>
      <c r="N28" s="1" t="str">
        <f>"004"</f>
        <v>004</v>
      </c>
      <c r="O28" s="1" t="str">
        <f t="shared" si="4"/>
        <v>00</v>
      </c>
      <c r="P28" s="1" t="str">
        <f t="shared" si="5"/>
        <v>S</v>
      </c>
      <c r="Q28" s="1" t="str">
        <f t="shared" si="6"/>
        <v>P</v>
      </c>
      <c r="R28" s="1" t="str">
        <f t="shared" si="7"/>
        <v>01</v>
      </c>
      <c r="S28" s="1" t="str">
        <f t="shared" si="8"/>
        <v>03</v>
      </c>
      <c r="T28" s="1" t="str">
        <f t="shared" si="9"/>
        <v>False</v>
      </c>
      <c r="U28" s="1" t="str">
        <f t="shared" si="10"/>
        <v>True</v>
      </c>
      <c r="V28" s="1" t="str">
        <f>"U0028015"</f>
        <v>U0028015</v>
      </c>
      <c r="W28" s="1">
        <v>1</v>
      </c>
      <c r="Y28" s="1">
        <v>0</v>
      </c>
      <c r="Z28" s="1">
        <v>0</v>
      </c>
      <c r="AD28" s="1" t="str">
        <f>"4520182"</f>
        <v>4520182</v>
      </c>
      <c r="AE28" s="1" t="str">
        <f>"32 Joint Stock Company (Aseco)"</f>
        <v>32 Joint Stock Company (Aseco)</v>
      </c>
      <c r="AG28" s="1">
        <v>0</v>
      </c>
      <c r="AH28" s="1">
        <v>0</v>
      </c>
      <c r="AI28" s="1" t="str">
        <f t="shared" si="11"/>
        <v>F06</v>
      </c>
      <c r="AJ28" s="1" t="str">
        <f t="shared" ref="AJ28:AJ67" si="26">"MAN"</f>
        <v>MAN</v>
      </c>
      <c r="AK28" s="1" t="str">
        <f t="shared" si="12"/>
        <v>PA</v>
      </c>
      <c r="AP28" s="1" t="str">
        <f t="shared" si="13"/>
        <v>False</v>
      </c>
      <c r="AR28" s="1" t="str">
        <f>"MARCS"</f>
        <v>MARCS</v>
      </c>
      <c r="AY28" s="1" t="str">
        <f t="shared" si="14"/>
        <v>PF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 t="str">
        <f>"RCS GOMMA TWILL CANVAS+PU LEAT"</f>
        <v>RCS GOMMA TWILL CANVAS+PU LEAT</v>
      </c>
      <c r="BF28" s="1" t="str">
        <f t="shared" si="15"/>
        <v>Bonis SpA</v>
      </c>
      <c r="BO28" s="1">
        <v>0</v>
      </c>
      <c r="BP28" s="1">
        <v>0</v>
      </c>
      <c r="BQ28" s="1">
        <v>0</v>
      </c>
    </row>
    <row r="29" spans="2:69" x14ac:dyDescent="0.25">
      <c r="B29" s="1">
        <v>1735</v>
      </c>
      <c r="C29" s="1" t="str">
        <f>"ELCOR4059S7/TH1"</f>
        <v>ELCOR4059S7/TH1</v>
      </c>
      <c r="D29" s="1" t="str">
        <f>"ODA16N00249-102"</f>
        <v>ODA16N00249-102</v>
      </c>
      <c r="E29" s="1" t="str">
        <f t="shared" ref="E29:E34" si="27">"A8 USPA"</f>
        <v>A8 USPA</v>
      </c>
      <c r="F29" s="1" t="str">
        <f t="shared" si="0"/>
        <v>BONIS SPA</v>
      </c>
      <c r="G29" s="1" t="str">
        <f t="shared" si="1"/>
        <v>STOCK TERRA MP</v>
      </c>
      <c r="H29" s="1" t="str">
        <f>"BLU"</f>
        <v>BLU</v>
      </c>
      <c r="J29" s="1">
        <v>1</v>
      </c>
      <c r="K29" s="1">
        <f>8*J29</f>
        <v>8</v>
      </c>
      <c r="L29" s="1" t="str">
        <f t="shared" si="2"/>
        <v>01</v>
      </c>
      <c r="M29" s="1" t="str">
        <f t="shared" si="3"/>
        <v>101</v>
      </c>
      <c r="N29" s="1" t="str">
        <f>"004"</f>
        <v>004</v>
      </c>
      <c r="O29" s="1" t="str">
        <f t="shared" si="4"/>
        <v>00</v>
      </c>
      <c r="P29" s="1" t="str">
        <f t="shared" si="5"/>
        <v>S</v>
      </c>
      <c r="Q29" s="1" t="str">
        <f t="shared" si="6"/>
        <v>P</v>
      </c>
      <c r="R29" s="1" t="str">
        <f t="shared" si="7"/>
        <v>01</v>
      </c>
      <c r="S29" s="1" t="str">
        <f t="shared" si="8"/>
        <v>03</v>
      </c>
      <c r="T29" s="1" t="str">
        <f t="shared" si="9"/>
        <v>False</v>
      </c>
      <c r="U29" s="1" t="str">
        <f t="shared" si="10"/>
        <v>True</v>
      </c>
      <c r="V29" s="1" t="str">
        <f>"U0028015"</f>
        <v>U0028015</v>
      </c>
      <c r="W29" s="1">
        <v>1</v>
      </c>
      <c r="Y29" s="1">
        <v>0</v>
      </c>
      <c r="Z29" s="1">
        <v>0</v>
      </c>
      <c r="AD29" s="1" t="str">
        <f>"4520243"</f>
        <v>4520243</v>
      </c>
      <c r="AE29" s="1" t="str">
        <f>"XIAMEN UNIBEST IMP. EXP. CO."</f>
        <v>XIAMEN UNIBEST IMP. EXP. CO.</v>
      </c>
      <c r="AG29" s="1">
        <v>0</v>
      </c>
      <c r="AH29" s="1">
        <v>0</v>
      </c>
      <c r="AI29" s="1" t="str">
        <f t="shared" si="11"/>
        <v>F06</v>
      </c>
      <c r="AJ29" s="1" t="str">
        <f t="shared" si="26"/>
        <v>MAN</v>
      </c>
      <c r="AK29" s="1" t="str">
        <f t="shared" si="12"/>
        <v>PA</v>
      </c>
      <c r="AP29" s="1" t="str">
        <f t="shared" si="13"/>
        <v>False</v>
      </c>
      <c r="AR29" s="1" t="str">
        <f>"ELCOR"</f>
        <v>ELCOR</v>
      </c>
      <c r="AY29" s="1" t="str">
        <f t="shared" si="14"/>
        <v>PF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 t="str">
        <f>"BBER CUTING (ELCOR) TEXTILE+MI"</f>
        <v>BBER CUTING (ELCOR) TEXTILE+MI</v>
      </c>
      <c r="BF29" s="1" t="str">
        <f t="shared" si="15"/>
        <v>Bonis SpA</v>
      </c>
      <c r="BO29" s="1">
        <v>0</v>
      </c>
      <c r="BP29" s="1">
        <v>0</v>
      </c>
      <c r="BQ29" s="1">
        <v>0</v>
      </c>
    </row>
    <row r="30" spans="2:69" x14ac:dyDescent="0.25">
      <c r="B30" s="1">
        <v>1743</v>
      </c>
      <c r="C30" s="1" t="str">
        <f>"TABRY4145S7/MY1"</f>
        <v>TABRY4145S7/MY1</v>
      </c>
      <c r="D30" s="1" t="str">
        <f>"ODA16N00250-127"</f>
        <v>ODA16N00250-127</v>
      </c>
      <c r="E30" s="1" t="str">
        <f t="shared" si="27"/>
        <v>A8 USPA</v>
      </c>
      <c r="F30" s="1" t="str">
        <f t="shared" si="0"/>
        <v>BONIS SPA</v>
      </c>
      <c r="G30" s="1" t="str">
        <f t="shared" si="1"/>
        <v>STOCK TERRA MP</v>
      </c>
      <c r="H30" s="1" t="str">
        <f>"RED"</f>
        <v>RED</v>
      </c>
      <c r="J30" s="1">
        <v>1</v>
      </c>
      <c r="K30" s="1">
        <f t="shared" ref="K30:K34" si="28">8*J30</f>
        <v>8</v>
      </c>
      <c r="L30" s="1" t="str">
        <f t="shared" si="2"/>
        <v>01</v>
      </c>
      <c r="M30" s="1" t="str">
        <f t="shared" si="3"/>
        <v>101</v>
      </c>
      <c r="N30" s="1" t="str">
        <f>"012"</f>
        <v>012</v>
      </c>
      <c r="O30" s="1" t="str">
        <f t="shared" si="4"/>
        <v>00</v>
      </c>
      <c r="P30" s="1" t="str">
        <f t="shared" si="5"/>
        <v>S</v>
      </c>
      <c r="Q30" s="1" t="str">
        <f t="shared" si="6"/>
        <v>P</v>
      </c>
      <c r="R30" s="1" t="str">
        <f t="shared" si="7"/>
        <v>01</v>
      </c>
      <c r="S30" s="1" t="str">
        <f t="shared" si="8"/>
        <v>03</v>
      </c>
      <c r="T30" s="1" t="str">
        <f t="shared" si="9"/>
        <v>False</v>
      </c>
      <c r="U30" s="1" t="str">
        <f t="shared" si="10"/>
        <v>True</v>
      </c>
      <c r="V30" s="1" t="str">
        <f>"U0031318"</f>
        <v>U0031318</v>
      </c>
      <c r="W30" s="1">
        <v>1</v>
      </c>
      <c r="Y30" s="1">
        <v>0</v>
      </c>
      <c r="Z30" s="1">
        <v>0</v>
      </c>
      <c r="AD30" s="1" t="str">
        <f>"4520243"</f>
        <v>4520243</v>
      </c>
      <c r="AE30" s="1" t="str">
        <f>"XIAMEN UNIBEST IMP. EXP. CO."</f>
        <v>XIAMEN UNIBEST IMP. EXP. CO.</v>
      </c>
      <c r="AG30" s="1">
        <v>0</v>
      </c>
      <c r="AH30" s="1">
        <v>0</v>
      </c>
      <c r="AI30" s="1" t="str">
        <f t="shared" si="11"/>
        <v>F06</v>
      </c>
      <c r="AJ30" s="1" t="str">
        <f t="shared" si="26"/>
        <v>MAN</v>
      </c>
      <c r="AK30" s="1" t="str">
        <f t="shared" si="12"/>
        <v>PA</v>
      </c>
      <c r="AP30" s="1" t="str">
        <f t="shared" si="13"/>
        <v>False</v>
      </c>
      <c r="AR30" s="1" t="str">
        <f>"TABRY"</f>
        <v>TABRY</v>
      </c>
      <c r="AY30" s="1" t="str">
        <f t="shared" si="14"/>
        <v>PF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 t="str">
        <f>"GOMMA-EVA MESH+PU+REAL SUEDE"</f>
        <v>GOMMA-EVA MESH+PU+REAL SUEDE</v>
      </c>
      <c r="BF30" s="1" t="str">
        <f t="shared" si="15"/>
        <v>Bonis SpA</v>
      </c>
      <c r="BO30" s="1">
        <v>0</v>
      </c>
      <c r="BP30" s="1">
        <v>0</v>
      </c>
      <c r="BQ30" s="1">
        <v>0</v>
      </c>
    </row>
    <row r="31" spans="2:69" x14ac:dyDescent="0.25">
      <c r="B31" s="1">
        <v>1743</v>
      </c>
      <c r="C31" s="1" t="str">
        <f>"TABRY4145S7/MY1"</f>
        <v>TABRY4145S7/MY1</v>
      </c>
      <c r="D31" s="1" t="str">
        <f>"ODA16N00250-134"</f>
        <v>ODA16N00250-134</v>
      </c>
      <c r="E31" s="1" t="str">
        <f t="shared" si="27"/>
        <v>A8 USPA</v>
      </c>
      <c r="F31" s="1" t="str">
        <f t="shared" si="0"/>
        <v>BONIS SPA</v>
      </c>
      <c r="G31" s="1" t="str">
        <f t="shared" si="1"/>
        <v>STOCK TERRA MP</v>
      </c>
      <c r="H31" s="1" t="str">
        <f>"RED"</f>
        <v>RED</v>
      </c>
      <c r="J31" s="1">
        <v>1</v>
      </c>
      <c r="K31" s="1">
        <f t="shared" si="28"/>
        <v>8</v>
      </c>
      <c r="L31" s="1" t="str">
        <f t="shared" si="2"/>
        <v>01</v>
      </c>
      <c r="M31" s="1" t="str">
        <f t="shared" si="3"/>
        <v>101</v>
      </c>
      <c r="N31" s="1" t="str">
        <f>"012"</f>
        <v>012</v>
      </c>
      <c r="O31" s="1" t="str">
        <f t="shared" si="4"/>
        <v>00</v>
      </c>
      <c r="P31" s="1" t="str">
        <f t="shared" si="5"/>
        <v>S</v>
      </c>
      <c r="Q31" s="1" t="str">
        <f t="shared" si="6"/>
        <v>P</v>
      </c>
      <c r="R31" s="1" t="str">
        <f t="shared" si="7"/>
        <v>01</v>
      </c>
      <c r="S31" s="1" t="str">
        <f t="shared" si="8"/>
        <v>03</v>
      </c>
      <c r="T31" s="1" t="str">
        <f t="shared" si="9"/>
        <v>False</v>
      </c>
      <c r="U31" s="1" t="str">
        <f t="shared" si="10"/>
        <v>True</v>
      </c>
      <c r="V31" s="1" t="str">
        <f>"U0031318"</f>
        <v>U0031318</v>
      </c>
      <c r="W31" s="1">
        <v>1</v>
      </c>
      <c r="Y31" s="1">
        <v>0</v>
      </c>
      <c r="Z31" s="1">
        <v>0</v>
      </c>
      <c r="AD31" s="1" t="str">
        <f>"4520243"</f>
        <v>4520243</v>
      </c>
      <c r="AE31" s="1" t="str">
        <f>"XIAMEN UNIBEST IMP. EXP. CO."</f>
        <v>XIAMEN UNIBEST IMP. EXP. CO.</v>
      </c>
      <c r="AG31" s="1">
        <v>0</v>
      </c>
      <c r="AH31" s="1">
        <v>0</v>
      </c>
      <c r="AI31" s="1" t="str">
        <f t="shared" si="11"/>
        <v>F06</v>
      </c>
      <c r="AJ31" s="1" t="str">
        <f t="shared" si="26"/>
        <v>MAN</v>
      </c>
      <c r="AK31" s="1" t="str">
        <f t="shared" si="12"/>
        <v>PA</v>
      </c>
      <c r="AP31" s="1" t="str">
        <f t="shared" si="13"/>
        <v>False</v>
      </c>
      <c r="AR31" s="1" t="str">
        <f>"TABRY"</f>
        <v>TABRY</v>
      </c>
      <c r="AY31" s="1" t="str">
        <f t="shared" si="14"/>
        <v>PF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 t="str">
        <f>"GOMMA-EVA MESH+PU+REAL SUEDE"</f>
        <v>GOMMA-EVA MESH+PU+REAL SUEDE</v>
      </c>
      <c r="BF31" s="1" t="str">
        <f t="shared" si="15"/>
        <v>Bonis SpA</v>
      </c>
      <c r="BO31" s="1">
        <v>0</v>
      </c>
      <c r="BP31" s="1">
        <v>0</v>
      </c>
      <c r="BQ31" s="1">
        <v>0</v>
      </c>
    </row>
    <row r="32" spans="2:69" x14ac:dyDescent="0.25">
      <c r="B32" s="1">
        <v>1743</v>
      </c>
      <c r="C32" s="1" t="str">
        <f>"TABRY4145S7/MY1"</f>
        <v>TABRY4145S7/MY1</v>
      </c>
      <c r="D32" s="1" t="str">
        <f>"ODA16N00250-136"</f>
        <v>ODA16N00250-136</v>
      </c>
      <c r="E32" s="1" t="str">
        <f t="shared" si="27"/>
        <v>A8 USPA</v>
      </c>
      <c r="F32" s="1" t="str">
        <f t="shared" si="0"/>
        <v>BONIS SPA</v>
      </c>
      <c r="G32" s="1" t="str">
        <f t="shared" si="1"/>
        <v>STOCK TERRA MP</v>
      </c>
      <c r="H32" s="1" t="str">
        <f>"RED"</f>
        <v>RED</v>
      </c>
      <c r="J32" s="1">
        <v>1</v>
      </c>
      <c r="K32" s="1">
        <f t="shared" si="28"/>
        <v>8</v>
      </c>
      <c r="L32" s="1" t="str">
        <f t="shared" si="2"/>
        <v>01</v>
      </c>
      <c r="M32" s="1" t="str">
        <f t="shared" si="3"/>
        <v>101</v>
      </c>
      <c r="N32" s="1" t="str">
        <f>"012"</f>
        <v>012</v>
      </c>
      <c r="O32" s="1" t="str">
        <f t="shared" si="4"/>
        <v>00</v>
      </c>
      <c r="P32" s="1" t="str">
        <f t="shared" si="5"/>
        <v>S</v>
      </c>
      <c r="Q32" s="1" t="str">
        <f t="shared" si="6"/>
        <v>P</v>
      </c>
      <c r="R32" s="1" t="str">
        <f t="shared" si="7"/>
        <v>01</v>
      </c>
      <c r="S32" s="1" t="str">
        <f t="shared" si="8"/>
        <v>03</v>
      </c>
      <c r="T32" s="1" t="str">
        <f t="shared" si="9"/>
        <v>False</v>
      </c>
      <c r="U32" s="1" t="str">
        <f t="shared" si="10"/>
        <v>True</v>
      </c>
      <c r="V32" s="1" t="str">
        <f>"U0031318"</f>
        <v>U0031318</v>
      </c>
      <c r="W32" s="1">
        <v>1</v>
      </c>
      <c r="Y32" s="1">
        <v>0</v>
      </c>
      <c r="Z32" s="1">
        <v>0</v>
      </c>
      <c r="AD32" s="1" t="str">
        <f>"4520243"</f>
        <v>4520243</v>
      </c>
      <c r="AE32" s="1" t="str">
        <f>"XIAMEN UNIBEST IMP. EXP. CO."</f>
        <v>XIAMEN UNIBEST IMP. EXP. CO.</v>
      </c>
      <c r="AG32" s="1">
        <v>0</v>
      </c>
      <c r="AH32" s="1">
        <v>0</v>
      </c>
      <c r="AI32" s="1" t="str">
        <f t="shared" si="11"/>
        <v>F06</v>
      </c>
      <c r="AJ32" s="1" t="str">
        <f t="shared" si="26"/>
        <v>MAN</v>
      </c>
      <c r="AK32" s="1" t="str">
        <f t="shared" si="12"/>
        <v>PA</v>
      </c>
      <c r="AP32" s="1" t="str">
        <f t="shared" si="13"/>
        <v>False</v>
      </c>
      <c r="AR32" s="1" t="str">
        <f>"TABRY"</f>
        <v>TABRY</v>
      </c>
      <c r="AY32" s="1" t="str">
        <f t="shared" si="14"/>
        <v>PF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 t="str">
        <f>"GOMMA-EVA MESH+PU+REAL SUEDE"</f>
        <v>GOMMA-EVA MESH+PU+REAL SUEDE</v>
      </c>
      <c r="BF32" s="1" t="str">
        <f t="shared" si="15"/>
        <v>Bonis SpA</v>
      </c>
      <c r="BO32" s="1">
        <v>0</v>
      </c>
      <c r="BP32" s="1">
        <v>0</v>
      </c>
      <c r="BQ32" s="1">
        <v>0</v>
      </c>
    </row>
    <row r="33" spans="2:69" x14ac:dyDescent="0.25">
      <c r="B33" s="1">
        <v>1737</v>
      </c>
      <c r="C33" s="1" t="str">
        <f>"TABRY4145S7/MY1"</f>
        <v>TABRY4145S7/MY1</v>
      </c>
      <c r="D33" s="1" t="str">
        <f>"ODA16N00250-140"</f>
        <v>ODA16N00250-140</v>
      </c>
      <c r="E33" s="1" t="str">
        <f t="shared" si="27"/>
        <v>A8 USPA</v>
      </c>
      <c r="F33" s="1" t="str">
        <f t="shared" si="0"/>
        <v>BONIS SPA</v>
      </c>
      <c r="G33" s="1" t="str">
        <f t="shared" si="1"/>
        <v>STOCK TERRA MP</v>
      </c>
      <c r="H33" s="1" t="str">
        <f>"RED"</f>
        <v>RED</v>
      </c>
      <c r="J33" s="1">
        <v>1</v>
      </c>
      <c r="K33" s="1">
        <f t="shared" si="28"/>
        <v>8</v>
      </c>
      <c r="L33" s="1" t="str">
        <f t="shared" si="2"/>
        <v>01</v>
      </c>
      <c r="M33" s="1" t="str">
        <f t="shared" si="3"/>
        <v>101</v>
      </c>
      <c r="N33" s="1" t="str">
        <f>"006"</f>
        <v>006</v>
      </c>
      <c r="O33" s="1" t="str">
        <f t="shared" si="4"/>
        <v>00</v>
      </c>
      <c r="P33" s="1" t="str">
        <f t="shared" si="5"/>
        <v>S</v>
      </c>
      <c r="Q33" s="1" t="str">
        <f t="shared" si="6"/>
        <v>P</v>
      </c>
      <c r="R33" s="1" t="str">
        <f t="shared" si="7"/>
        <v>01</v>
      </c>
      <c r="S33" s="1" t="str">
        <f t="shared" si="8"/>
        <v>03</v>
      </c>
      <c r="T33" s="1" t="str">
        <f t="shared" si="9"/>
        <v>False</v>
      </c>
      <c r="U33" s="1" t="str">
        <f t="shared" si="10"/>
        <v>True</v>
      </c>
      <c r="V33" s="1" t="str">
        <f>"U0024638"</f>
        <v>U0024638</v>
      </c>
      <c r="W33" s="1">
        <v>1</v>
      </c>
      <c r="Y33" s="1">
        <v>0</v>
      </c>
      <c r="Z33" s="1">
        <v>0</v>
      </c>
      <c r="AD33" s="1" t="str">
        <f>"4520243"</f>
        <v>4520243</v>
      </c>
      <c r="AE33" s="1" t="str">
        <f>"XIAMEN UNIBEST IMP. EXP. CO."</f>
        <v>XIAMEN UNIBEST IMP. EXP. CO.</v>
      </c>
      <c r="AG33" s="1">
        <v>0</v>
      </c>
      <c r="AH33" s="1">
        <v>0</v>
      </c>
      <c r="AI33" s="1" t="str">
        <f t="shared" si="11"/>
        <v>F06</v>
      </c>
      <c r="AJ33" s="1" t="str">
        <f t="shared" si="26"/>
        <v>MAN</v>
      </c>
      <c r="AK33" s="1" t="str">
        <f t="shared" si="12"/>
        <v>PA</v>
      </c>
      <c r="AP33" s="1" t="str">
        <f t="shared" si="13"/>
        <v>False</v>
      </c>
      <c r="AR33" s="1" t="str">
        <f>"TABRY"</f>
        <v>TABRY</v>
      </c>
      <c r="AY33" s="1" t="str">
        <f t="shared" si="14"/>
        <v>PF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 t="str">
        <f>"GOMMA-EVA MESH+PU+REAL SUEDE"</f>
        <v>GOMMA-EVA MESH+PU+REAL SUEDE</v>
      </c>
      <c r="BF33" s="1" t="str">
        <f t="shared" si="15"/>
        <v>Bonis SpA</v>
      </c>
      <c r="BO33" s="1">
        <v>0</v>
      </c>
      <c r="BP33" s="1">
        <v>0</v>
      </c>
      <c r="BQ33" s="1">
        <v>0</v>
      </c>
    </row>
    <row r="34" spans="2:69" x14ac:dyDescent="0.25">
      <c r="B34" s="1">
        <v>1734</v>
      </c>
      <c r="C34" s="1" t="str">
        <f>"GALAN4107S7/TY1"</f>
        <v>GALAN4107S7/TY1</v>
      </c>
      <c r="D34" s="1" t="str">
        <f>"ODA16N00255-011"</f>
        <v>ODA16N00255-011</v>
      </c>
      <c r="E34" s="1" t="str">
        <f t="shared" si="27"/>
        <v>A8 USPA</v>
      </c>
      <c r="F34" s="1" t="str">
        <f t="shared" si="0"/>
        <v>BONIS SPA</v>
      </c>
      <c r="G34" s="1" t="str">
        <f t="shared" si="1"/>
        <v>STOCK TERRA MP</v>
      </c>
      <c r="H34" s="1" t="str">
        <f>"JEANS"</f>
        <v>JEANS</v>
      </c>
      <c r="J34" s="1">
        <v>1</v>
      </c>
      <c r="K34" s="1">
        <f t="shared" si="28"/>
        <v>8</v>
      </c>
      <c r="L34" s="1" t="str">
        <f t="shared" si="2"/>
        <v>01</v>
      </c>
      <c r="M34" s="1" t="str">
        <f t="shared" si="3"/>
        <v>101</v>
      </c>
      <c r="N34" s="1" t="str">
        <f>"003"</f>
        <v>003</v>
      </c>
      <c r="O34" s="1" t="str">
        <f t="shared" si="4"/>
        <v>00</v>
      </c>
      <c r="P34" s="1" t="str">
        <f t="shared" si="5"/>
        <v>S</v>
      </c>
      <c r="Q34" s="1" t="str">
        <f t="shared" si="6"/>
        <v>P</v>
      </c>
      <c r="R34" s="1" t="str">
        <f t="shared" si="7"/>
        <v>01</v>
      </c>
      <c r="S34" s="1" t="str">
        <f t="shared" si="8"/>
        <v>03</v>
      </c>
      <c r="T34" s="1" t="str">
        <f t="shared" si="9"/>
        <v>False</v>
      </c>
      <c r="U34" s="1" t="str">
        <f t="shared" si="10"/>
        <v>True</v>
      </c>
      <c r="V34" s="1" t="str">
        <f>"U0023945"</f>
        <v>U0023945</v>
      </c>
      <c r="W34" s="1">
        <v>1</v>
      </c>
      <c r="Y34" s="1">
        <v>0</v>
      </c>
      <c r="Z34" s="1">
        <v>0</v>
      </c>
      <c r="AD34" s="1" t="str">
        <f>"4520107"</f>
        <v>4520107</v>
      </c>
      <c r="AE34" s="1" t="str">
        <f>"DONG HUNG IND. JOINT COMPANY"</f>
        <v>DONG HUNG IND. JOINT COMPANY</v>
      </c>
      <c r="AG34" s="1">
        <v>0</v>
      </c>
      <c r="AH34" s="1">
        <v>0</v>
      </c>
      <c r="AI34" s="1" t="str">
        <f t="shared" si="11"/>
        <v>F06</v>
      </c>
      <c r="AJ34" s="1" t="str">
        <f t="shared" si="26"/>
        <v>MAN</v>
      </c>
      <c r="AK34" s="1" t="str">
        <f t="shared" si="12"/>
        <v>PA</v>
      </c>
      <c r="AP34" s="1" t="str">
        <f t="shared" si="13"/>
        <v>False</v>
      </c>
      <c r="AR34" s="1" t="str">
        <f>"GALAN"</f>
        <v>GALAN</v>
      </c>
      <c r="AY34" s="1" t="str">
        <f t="shared" si="14"/>
        <v>PF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 t="str">
        <f>"LAN WASHED TEXTILE+ ECO LEATHE"</f>
        <v>LAN WASHED TEXTILE+ ECO LEATHE</v>
      </c>
      <c r="BF34" s="1" t="str">
        <f t="shared" si="15"/>
        <v>Bonis SpA</v>
      </c>
      <c r="BO34" s="1">
        <v>0</v>
      </c>
      <c r="BP34" s="1">
        <v>0</v>
      </c>
      <c r="BQ34" s="1">
        <v>0</v>
      </c>
    </row>
    <row r="35" spans="2:69" x14ac:dyDescent="0.25">
      <c r="B35" s="1">
        <v>1739</v>
      </c>
      <c r="C35" s="1" t="str">
        <f>"GALAN4107S7/CL1"</f>
        <v>GALAN4107S7/CL1</v>
      </c>
      <c r="D35" s="1" t="str">
        <f>"ODA16N00263-067"</f>
        <v>ODA16N00263-067</v>
      </c>
      <c r="E35" s="1" t="str">
        <f t="shared" ref="E35:E53" si="29">"C12 USPA"</f>
        <v>C12 USPA</v>
      </c>
      <c r="F35" s="1" t="str">
        <f t="shared" si="0"/>
        <v>BONIS SPA</v>
      </c>
      <c r="G35" s="1" t="str">
        <f t="shared" si="1"/>
        <v>STOCK TERRA MP</v>
      </c>
      <c r="H35" s="1" t="str">
        <f>"RED"</f>
        <v>RED</v>
      </c>
      <c r="J35" s="1">
        <v>1</v>
      </c>
      <c r="K35" s="1">
        <f t="shared" ref="K35:K71" si="30">12*J35</f>
        <v>12</v>
      </c>
      <c r="L35" s="1" t="str">
        <f t="shared" si="2"/>
        <v>01</v>
      </c>
      <c r="M35" s="1" t="str">
        <f t="shared" si="3"/>
        <v>101</v>
      </c>
      <c r="N35" s="1" t="str">
        <f>"008"</f>
        <v>008</v>
      </c>
      <c r="O35" s="1" t="str">
        <f t="shared" si="4"/>
        <v>00</v>
      </c>
      <c r="P35" s="1" t="str">
        <f t="shared" si="5"/>
        <v>S</v>
      </c>
      <c r="Q35" s="1" t="str">
        <f t="shared" si="6"/>
        <v>P</v>
      </c>
      <c r="R35" s="1" t="str">
        <f t="shared" si="7"/>
        <v>01</v>
      </c>
      <c r="S35" s="1" t="str">
        <f t="shared" si="8"/>
        <v>03</v>
      </c>
      <c r="T35" s="1" t="str">
        <f t="shared" si="9"/>
        <v>False</v>
      </c>
      <c r="U35" s="1" t="str">
        <f t="shared" si="10"/>
        <v>True</v>
      </c>
      <c r="V35" s="1" t="str">
        <f>"U0023984"</f>
        <v>U0023984</v>
      </c>
      <c r="W35" s="1">
        <v>1</v>
      </c>
      <c r="Y35" s="1">
        <v>0</v>
      </c>
      <c r="Z35" s="1">
        <v>0</v>
      </c>
      <c r="AD35" s="1" t="str">
        <f>"4520107"</f>
        <v>4520107</v>
      </c>
      <c r="AE35" s="1" t="str">
        <f>"DONG HUNG IND. JOINT COMPANY"</f>
        <v>DONG HUNG IND. JOINT COMPANY</v>
      </c>
      <c r="AG35" s="1">
        <v>0</v>
      </c>
      <c r="AH35" s="1">
        <v>0</v>
      </c>
      <c r="AI35" s="1" t="str">
        <f t="shared" si="11"/>
        <v>F06</v>
      </c>
      <c r="AJ35" s="1" t="str">
        <f t="shared" si="26"/>
        <v>MAN</v>
      </c>
      <c r="AK35" s="1" t="str">
        <f t="shared" si="12"/>
        <v>PA</v>
      </c>
      <c r="AP35" s="1" t="str">
        <f t="shared" si="13"/>
        <v>False</v>
      </c>
      <c r="AR35" s="1" t="str">
        <f>"GALAN"</f>
        <v>GALAN</v>
      </c>
      <c r="AY35" s="1" t="str">
        <f t="shared" si="14"/>
        <v>PF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 t="str">
        <f>"LAN TEXTILE BATIK+LEATHER"</f>
        <v>LAN TEXTILE BATIK+LEATHER</v>
      </c>
      <c r="BF35" s="1" t="str">
        <f t="shared" si="15"/>
        <v>Bonis SpA</v>
      </c>
      <c r="BO35" s="1">
        <v>0</v>
      </c>
      <c r="BP35" s="1">
        <v>0</v>
      </c>
      <c r="BQ35" s="1">
        <v>0</v>
      </c>
    </row>
    <row r="36" spans="2:69" x14ac:dyDescent="0.25">
      <c r="B36" s="1">
        <v>1739</v>
      </c>
      <c r="C36" s="1" t="str">
        <f>"GALAN4107S7/CL1"</f>
        <v>GALAN4107S7/CL1</v>
      </c>
      <c r="D36" s="1" t="str">
        <f>"ODA16N00263-081"</f>
        <v>ODA16N00263-081</v>
      </c>
      <c r="E36" s="1" t="str">
        <f t="shared" si="29"/>
        <v>C12 USPA</v>
      </c>
      <c r="F36" s="1" t="str">
        <f t="shared" si="0"/>
        <v>BONIS SPA</v>
      </c>
      <c r="G36" s="1" t="str">
        <f t="shared" si="1"/>
        <v>STOCK TERRA MP</v>
      </c>
      <c r="H36" s="1" t="str">
        <f>"RED"</f>
        <v>RED</v>
      </c>
      <c r="J36" s="1">
        <v>1</v>
      </c>
      <c r="K36" s="1">
        <f t="shared" si="30"/>
        <v>12</v>
      </c>
      <c r="L36" s="1" t="str">
        <f t="shared" si="2"/>
        <v>01</v>
      </c>
      <c r="M36" s="1" t="str">
        <f t="shared" si="3"/>
        <v>101</v>
      </c>
      <c r="N36" s="1" t="str">
        <f>"008"</f>
        <v>008</v>
      </c>
      <c r="O36" s="1" t="str">
        <f t="shared" si="4"/>
        <v>00</v>
      </c>
      <c r="P36" s="1" t="str">
        <f t="shared" si="5"/>
        <v>S</v>
      </c>
      <c r="Q36" s="1" t="str">
        <f t="shared" si="6"/>
        <v>P</v>
      </c>
      <c r="R36" s="1" t="str">
        <f t="shared" si="7"/>
        <v>01</v>
      </c>
      <c r="S36" s="1" t="str">
        <f t="shared" si="8"/>
        <v>03</v>
      </c>
      <c r="T36" s="1" t="str">
        <f t="shared" si="9"/>
        <v>False</v>
      </c>
      <c r="U36" s="1" t="str">
        <f t="shared" si="10"/>
        <v>True</v>
      </c>
      <c r="V36" s="1" t="str">
        <f>"U0023984"</f>
        <v>U0023984</v>
      </c>
      <c r="W36" s="1">
        <v>1</v>
      </c>
      <c r="Y36" s="1">
        <v>0</v>
      </c>
      <c r="Z36" s="1">
        <v>0</v>
      </c>
      <c r="AD36" s="1" t="str">
        <f>"4520107"</f>
        <v>4520107</v>
      </c>
      <c r="AE36" s="1" t="str">
        <f>"DONG HUNG IND. JOINT COMPANY"</f>
        <v>DONG HUNG IND. JOINT COMPANY</v>
      </c>
      <c r="AG36" s="1">
        <v>0</v>
      </c>
      <c r="AH36" s="1">
        <v>0</v>
      </c>
      <c r="AI36" s="1" t="str">
        <f t="shared" si="11"/>
        <v>F06</v>
      </c>
      <c r="AJ36" s="1" t="str">
        <f t="shared" si="26"/>
        <v>MAN</v>
      </c>
      <c r="AK36" s="1" t="str">
        <f t="shared" si="12"/>
        <v>PA</v>
      </c>
      <c r="AP36" s="1" t="str">
        <f t="shared" si="13"/>
        <v>False</v>
      </c>
      <c r="AR36" s="1" t="str">
        <f>"GALAN"</f>
        <v>GALAN</v>
      </c>
      <c r="AY36" s="1" t="str">
        <f t="shared" si="14"/>
        <v>PF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 t="str">
        <f>"LAN TEXTILE BATIK+LEATHER"</f>
        <v>LAN TEXTILE BATIK+LEATHER</v>
      </c>
      <c r="BF36" s="1" t="str">
        <f t="shared" si="15"/>
        <v>Bonis SpA</v>
      </c>
      <c r="BO36" s="1">
        <v>0</v>
      </c>
      <c r="BP36" s="1">
        <v>0</v>
      </c>
      <c r="BQ36" s="1">
        <v>0</v>
      </c>
    </row>
    <row r="37" spans="2:69" x14ac:dyDescent="0.25">
      <c r="B37" s="1">
        <v>1736</v>
      </c>
      <c r="C37" s="1" t="str">
        <f t="shared" ref="C37:C53" si="31">"MARCS4137S7E/C2"</f>
        <v>MARCS4137S7E/C2</v>
      </c>
      <c r="D37" s="1" t="str">
        <f>"ODA16N00266-080"</f>
        <v>ODA16N00266-080</v>
      </c>
      <c r="E37" s="1" t="str">
        <f t="shared" si="29"/>
        <v>C12 USPA</v>
      </c>
      <c r="F37" s="1" t="str">
        <f t="shared" si="0"/>
        <v>BONIS SPA</v>
      </c>
      <c r="G37" s="1" t="str">
        <f t="shared" si="1"/>
        <v>STOCK TERRA MP</v>
      </c>
      <c r="H37" s="1" t="str">
        <f t="shared" ref="H37:H45" si="32">"BLK"</f>
        <v>BLK</v>
      </c>
      <c r="J37" s="1">
        <v>1</v>
      </c>
      <c r="K37" s="1">
        <f t="shared" si="30"/>
        <v>12</v>
      </c>
      <c r="L37" s="1" t="str">
        <f t="shared" si="2"/>
        <v>01</v>
      </c>
      <c r="M37" s="1" t="str">
        <f t="shared" si="3"/>
        <v>101</v>
      </c>
      <c r="N37" s="1" t="str">
        <f t="shared" ref="N37:N45" si="33">"005"</f>
        <v>005</v>
      </c>
      <c r="O37" s="1" t="str">
        <f t="shared" si="4"/>
        <v>00</v>
      </c>
      <c r="P37" s="1" t="str">
        <f t="shared" si="5"/>
        <v>S</v>
      </c>
      <c r="Q37" s="1" t="str">
        <f t="shared" si="6"/>
        <v>P</v>
      </c>
      <c r="R37" s="1" t="str">
        <f t="shared" si="7"/>
        <v>01</v>
      </c>
      <c r="S37" s="1" t="str">
        <f t="shared" si="8"/>
        <v>03</v>
      </c>
      <c r="T37" s="1" t="str">
        <f t="shared" si="9"/>
        <v>False</v>
      </c>
      <c r="U37" s="1" t="str">
        <f t="shared" si="10"/>
        <v>True</v>
      </c>
      <c r="V37" s="1" t="str">
        <f t="shared" ref="V37:V45" si="34">"U0024335"</f>
        <v>U0024335</v>
      </c>
      <c r="W37" s="1">
        <v>1</v>
      </c>
      <c r="Y37" s="1">
        <v>0</v>
      </c>
      <c r="Z37" s="1">
        <v>0</v>
      </c>
      <c r="AB37" s="1" t="str">
        <f t="shared" ref="AB37:AB67" si="35">"ECOM"</f>
        <v>ECOM</v>
      </c>
      <c r="AD37" s="1" t="str">
        <f t="shared" ref="AD37:AD67" si="36">"4520182"</f>
        <v>4520182</v>
      </c>
      <c r="AE37" s="1" t="str">
        <f t="shared" ref="AE37:AE67" si="37">"32 Joint Stock Company (Aseco)"</f>
        <v>32 Joint Stock Company (Aseco)</v>
      </c>
      <c r="AG37" s="1">
        <v>0</v>
      </c>
      <c r="AH37" s="1">
        <v>0</v>
      </c>
      <c r="AI37" s="1" t="str">
        <f t="shared" si="11"/>
        <v>F06</v>
      </c>
      <c r="AJ37" s="1" t="str">
        <f t="shared" si="26"/>
        <v>MAN</v>
      </c>
      <c r="AK37" s="1" t="str">
        <f t="shared" si="12"/>
        <v>PA</v>
      </c>
      <c r="AP37" s="1" t="str">
        <f t="shared" si="13"/>
        <v>False</v>
      </c>
      <c r="AR37" s="1" t="str">
        <f t="shared" ref="AR37:AR53" si="38">"MARCS"</f>
        <v>MARCS</v>
      </c>
      <c r="AY37" s="1" t="str">
        <f t="shared" si="14"/>
        <v>PF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 t="str">
        <f t="shared" ref="BE37:BE53" si="39">"RCS GOMMA TWILL CANVAS+PU LEAT"</f>
        <v>RCS GOMMA TWILL CANVAS+PU LEAT</v>
      </c>
      <c r="BF37" s="1" t="str">
        <f t="shared" si="15"/>
        <v>Bonis SpA</v>
      </c>
      <c r="BO37" s="1">
        <v>0</v>
      </c>
      <c r="BP37" s="1">
        <v>0</v>
      </c>
      <c r="BQ37" s="1">
        <v>0</v>
      </c>
    </row>
    <row r="38" spans="2:69" x14ac:dyDescent="0.25">
      <c r="B38" s="1">
        <v>1736</v>
      </c>
      <c r="C38" s="1" t="str">
        <f t="shared" si="31"/>
        <v>MARCS4137S7E/C2</v>
      </c>
      <c r="D38" s="1" t="str">
        <f>"ODA16N00266-082"</f>
        <v>ODA16N00266-082</v>
      </c>
      <c r="E38" s="1" t="str">
        <f t="shared" si="29"/>
        <v>C12 USPA</v>
      </c>
      <c r="F38" s="1" t="str">
        <f t="shared" si="0"/>
        <v>BONIS SPA</v>
      </c>
      <c r="G38" s="1" t="str">
        <f t="shared" si="1"/>
        <v>STOCK TERRA MP</v>
      </c>
      <c r="H38" s="1" t="str">
        <f t="shared" si="32"/>
        <v>BLK</v>
      </c>
      <c r="J38" s="1">
        <v>1</v>
      </c>
      <c r="K38" s="1">
        <f t="shared" si="30"/>
        <v>12</v>
      </c>
      <c r="L38" s="1" t="str">
        <f t="shared" si="2"/>
        <v>01</v>
      </c>
      <c r="M38" s="1" t="str">
        <f t="shared" si="3"/>
        <v>101</v>
      </c>
      <c r="N38" s="1" t="str">
        <f t="shared" si="33"/>
        <v>005</v>
      </c>
      <c r="O38" s="1" t="str">
        <f t="shared" si="4"/>
        <v>00</v>
      </c>
      <c r="P38" s="1" t="str">
        <f t="shared" si="5"/>
        <v>S</v>
      </c>
      <c r="Q38" s="1" t="str">
        <f t="shared" si="6"/>
        <v>P</v>
      </c>
      <c r="R38" s="1" t="str">
        <f t="shared" si="7"/>
        <v>01</v>
      </c>
      <c r="S38" s="1" t="str">
        <f t="shared" si="8"/>
        <v>03</v>
      </c>
      <c r="T38" s="1" t="str">
        <f t="shared" si="9"/>
        <v>False</v>
      </c>
      <c r="U38" s="1" t="str">
        <f t="shared" si="10"/>
        <v>True</v>
      </c>
      <c r="V38" s="1" t="str">
        <f t="shared" si="34"/>
        <v>U0024335</v>
      </c>
      <c r="W38" s="1">
        <v>1</v>
      </c>
      <c r="Y38" s="1">
        <v>0</v>
      </c>
      <c r="Z38" s="1">
        <v>0</v>
      </c>
      <c r="AB38" s="1" t="str">
        <f t="shared" si="35"/>
        <v>ECOM</v>
      </c>
      <c r="AD38" s="1" t="str">
        <f t="shared" si="36"/>
        <v>4520182</v>
      </c>
      <c r="AE38" s="1" t="str">
        <f t="shared" si="37"/>
        <v>32 Joint Stock Company (Aseco)</v>
      </c>
      <c r="AG38" s="1">
        <v>0</v>
      </c>
      <c r="AH38" s="1">
        <v>0</v>
      </c>
      <c r="AI38" s="1" t="str">
        <f t="shared" si="11"/>
        <v>F06</v>
      </c>
      <c r="AJ38" s="1" t="str">
        <f t="shared" si="26"/>
        <v>MAN</v>
      </c>
      <c r="AK38" s="1" t="str">
        <f t="shared" si="12"/>
        <v>PA</v>
      </c>
      <c r="AP38" s="1" t="str">
        <f t="shared" si="13"/>
        <v>False</v>
      </c>
      <c r="AR38" s="1" t="str">
        <f t="shared" si="38"/>
        <v>MARCS</v>
      </c>
      <c r="AY38" s="1" t="str">
        <f t="shared" si="14"/>
        <v>PF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 t="str">
        <f t="shared" si="39"/>
        <v>RCS GOMMA TWILL CANVAS+PU LEAT</v>
      </c>
      <c r="BF38" s="1" t="str">
        <f t="shared" si="15"/>
        <v>Bonis SpA</v>
      </c>
      <c r="BO38" s="1">
        <v>0</v>
      </c>
      <c r="BP38" s="1">
        <v>0</v>
      </c>
      <c r="BQ38" s="1">
        <v>0</v>
      </c>
    </row>
    <row r="39" spans="2:69" x14ac:dyDescent="0.25">
      <c r="B39" s="1">
        <v>1736</v>
      </c>
      <c r="C39" s="1" t="str">
        <f t="shared" si="31"/>
        <v>MARCS4137S7E/C2</v>
      </c>
      <c r="D39" s="1" t="str">
        <f>"ODA16N00266-085"</f>
        <v>ODA16N00266-085</v>
      </c>
      <c r="E39" s="1" t="str">
        <f t="shared" si="29"/>
        <v>C12 USPA</v>
      </c>
      <c r="F39" s="1" t="str">
        <f t="shared" si="0"/>
        <v>BONIS SPA</v>
      </c>
      <c r="G39" s="1" t="str">
        <f t="shared" si="1"/>
        <v>STOCK TERRA MP</v>
      </c>
      <c r="H39" s="1" t="str">
        <f t="shared" si="32"/>
        <v>BLK</v>
      </c>
      <c r="J39" s="1">
        <v>1</v>
      </c>
      <c r="K39" s="1">
        <f t="shared" si="30"/>
        <v>12</v>
      </c>
      <c r="L39" s="1" t="str">
        <f t="shared" si="2"/>
        <v>01</v>
      </c>
      <c r="M39" s="1" t="str">
        <f t="shared" si="3"/>
        <v>101</v>
      </c>
      <c r="N39" s="1" t="str">
        <f t="shared" si="33"/>
        <v>005</v>
      </c>
      <c r="O39" s="1" t="str">
        <f t="shared" si="4"/>
        <v>00</v>
      </c>
      <c r="P39" s="1" t="str">
        <f t="shared" si="5"/>
        <v>S</v>
      </c>
      <c r="Q39" s="1" t="str">
        <f t="shared" si="6"/>
        <v>P</v>
      </c>
      <c r="R39" s="1" t="str">
        <f t="shared" si="7"/>
        <v>01</v>
      </c>
      <c r="S39" s="1" t="str">
        <f t="shared" si="8"/>
        <v>03</v>
      </c>
      <c r="T39" s="1" t="str">
        <f t="shared" si="9"/>
        <v>False</v>
      </c>
      <c r="U39" s="1" t="str">
        <f t="shared" si="10"/>
        <v>True</v>
      </c>
      <c r="V39" s="1" t="str">
        <f t="shared" si="34"/>
        <v>U0024335</v>
      </c>
      <c r="W39" s="1">
        <v>1</v>
      </c>
      <c r="Y39" s="1">
        <v>0</v>
      </c>
      <c r="Z39" s="1">
        <v>0</v>
      </c>
      <c r="AB39" s="1" t="str">
        <f t="shared" si="35"/>
        <v>ECOM</v>
      </c>
      <c r="AD39" s="1" t="str">
        <f t="shared" si="36"/>
        <v>4520182</v>
      </c>
      <c r="AE39" s="1" t="str">
        <f t="shared" si="37"/>
        <v>32 Joint Stock Company (Aseco)</v>
      </c>
      <c r="AG39" s="1">
        <v>0</v>
      </c>
      <c r="AH39" s="1">
        <v>0</v>
      </c>
      <c r="AI39" s="1" t="str">
        <f t="shared" si="11"/>
        <v>F06</v>
      </c>
      <c r="AJ39" s="1" t="str">
        <f t="shared" si="26"/>
        <v>MAN</v>
      </c>
      <c r="AK39" s="1" t="str">
        <f t="shared" si="12"/>
        <v>PA</v>
      </c>
      <c r="AP39" s="1" t="str">
        <f t="shared" si="13"/>
        <v>False</v>
      </c>
      <c r="AR39" s="1" t="str">
        <f t="shared" si="38"/>
        <v>MARCS</v>
      </c>
      <c r="AY39" s="1" t="str">
        <f t="shared" si="14"/>
        <v>PF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 t="str">
        <f t="shared" si="39"/>
        <v>RCS GOMMA TWILL CANVAS+PU LEAT</v>
      </c>
      <c r="BF39" s="1" t="str">
        <f t="shared" si="15"/>
        <v>Bonis SpA</v>
      </c>
      <c r="BO39" s="1">
        <v>0</v>
      </c>
      <c r="BP39" s="1">
        <v>0</v>
      </c>
      <c r="BQ39" s="1">
        <v>0</v>
      </c>
    </row>
    <row r="40" spans="2:69" x14ac:dyDescent="0.25">
      <c r="B40" s="1">
        <v>1736</v>
      </c>
      <c r="C40" s="1" t="str">
        <f t="shared" si="31"/>
        <v>MARCS4137S7E/C2</v>
      </c>
      <c r="D40" s="1" t="str">
        <f>"ODA16N00266-086"</f>
        <v>ODA16N00266-086</v>
      </c>
      <c r="E40" s="1" t="str">
        <f t="shared" si="29"/>
        <v>C12 USPA</v>
      </c>
      <c r="F40" s="1" t="str">
        <f t="shared" si="0"/>
        <v>BONIS SPA</v>
      </c>
      <c r="G40" s="1" t="str">
        <f t="shared" si="1"/>
        <v>STOCK TERRA MP</v>
      </c>
      <c r="H40" s="1" t="str">
        <f t="shared" si="32"/>
        <v>BLK</v>
      </c>
      <c r="J40" s="1">
        <v>1</v>
      </c>
      <c r="K40" s="1">
        <f t="shared" si="30"/>
        <v>12</v>
      </c>
      <c r="L40" s="1" t="str">
        <f t="shared" si="2"/>
        <v>01</v>
      </c>
      <c r="M40" s="1" t="str">
        <f t="shared" si="3"/>
        <v>101</v>
      </c>
      <c r="N40" s="1" t="str">
        <f t="shared" si="33"/>
        <v>005</v>
      </c>
      <c r="O40" s="1" t="str">
        <f t="shared" si="4"/>
        <v>00</v>
      </c>
      <c r="P40" s="1" t="str">
        <f t="shared" si="5"/>
        <v>S</v>
      </c>
      <c r="Q40" s="1" t="str">
        <f t="shared" si="6"/>
        <v>P</v>
      </c>
      <c r="R40" s="1" t="str">
        <f t="shared" si="7"/>
        <v>01</v>
      </c>
      <c r="S40" s="1" t="str">
        <f t="shared" si="8"/>
        <v>03</v>
      </c>
      <c r="T40" s="1" t="str">
        <f t="shared" si="9"/>
        <v>False</v>
      </c>
      <c r="U40" s="1" t="str">
        <f t="shared" si="10"/>
        <v>True</v>
      </c>
      <c r="V40" s="1" t="str">
        <f t="shared" si="34"/>
        <v>U0024335</v>
      </c>
      <c r="W40" s="1">
        <v>1</v>
      </c>
      <c r="Y40" s="1">
        <v>0</v>
      </c>
      <c r="Z40" s="1">
        <v>0</v>
      </c>
      <c r="AB40" s="1" t="str">
        <f t="shared" si="35"/>
        <v>ECOM</v>
      </c>
      <c r="AD40" s="1" t="str">
        <f t="shared" si="36"/>
        <v>4520182</v>
      </c>
      <c r="AE40" s="1" t="str">
        <f t="shared" si="37"/>
        <v>32 Joint Stock Company (Aseco)</v>
      </c>
      <c r="AG40" s="1">
        <v>0</v>
      </c>
      <c r="AH40" s="1">
        <v>0</v>
      </c>
      <c r="AI40" s="1" t="str">
        <f t="shared" si="11"/>
        <v>F06</v>
      </c>
      <c r="AJ40" s="1" t="str">
        <f t="shared" si="26"/>
        <v>MAN</v>
      </c>
      <c r="AK40" s="1" t="str">
        <f t="shared" si="12"/>
        <v>PA</v>
      </c>
      <c r="AP40" s="1" t="str">
        <f t="shared" si="13"/>
        <v>False</v>
      </c>
      <c r="AR40" s="1" t="str">
        <f t="shared" si="38"/>
        <v>MARCS</v>
      </c>
      <c r="AY40" s="1" t="str">
        <f t="shared" si="14"/>
        <v>PF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 t="str">
        <f t="shared" si="39"/>
        <v>RCS GOMMA TWILL CANVAS+PU LEAT</v>
      </c>
      <c r="BF40" s="1" t="str">
        <f t="shared" si="15"/>
        <v>Bonis SpA</v>
      </c>
      <c r="BO40" s="1">
        <v>0</v>
      </c>
      <c r="BP40" s="1">
        <v>0</v>
      </c>
      <c r="BQ40" s="1">
        <v>0</v>
      </c>
    </row>
    <row r="41" spans="2:69" x14ac:dyDescent="0.25">
      <c r="B41" s="1">
        <v>1736</v>
      </c>
      <c r="C41" s="1" t="str">
        <f t="shared" si="31"/>
        <v>MARCS4137S7E/C2</v>
      </c>
      <c r="D41" s="1" t="str">
        <f>"ODA16N00266-087"</f>
        <v>ODA16N00266-087</v>
      </c>
      <c r="E41" s="1" t="str">
        <f t="shared" si="29"/>
        <v>C12 USPA</v>
      </c>
      <c r="F41" s="1" t="str">
        <f t="shared" si="0"/>
        <v>BONIS SPA</v>
      </c>
      <c r="G41" s="1" t="str">
        <f t="shared" si="1"/>
        <v>STOCK TERRA MP</v>
      </c>
      <c r="H41" s="1" t="str">
        <f t="shared" si="32"/>
        <v>BLK</v>
      </c>
      <c r="J41" s="1">
        <v>1</v>
      </c>
      <c r="K41" s="1">
        <f t="shared" si="30"/>
        <v>12</v>
      </c>
      <c r="L41" s="1" t="str">
        <f t="shared" si="2"/>
        <v>01</v>
      </c>
      <c r="M41" s="1" t="str">
        <f t="shared" si="3"/>
        <v>101</v>
      </c>
      <c r="N41" s="1" t="str">
        <f t="shared" si="33"/>
        <v>005</v>
      </c>
      <c r="O41" s="1" t="str">
        <f t="shared" si="4"/>
        <v>00</v>
      </c>
      <c r="P41" s="1" t="str">
        <f t="shared" si="5"/>
        <v>S</v>
      </c>
      <c r="Q41" s="1" t="str">
        <f t="shared" si="6"/>
        <v>P</v>
      </c>
      <c r="R41" s="1" t="str">
        <f t="shared" si="7"/>
        <v>01</v>
      </c>
      <c r="S41" s="1" t="str">
        <f t="shared" si="8"/>
        <v>03</v>
      </c>
      <c r="T41" s="1" t="str">
        <f t="shared" si="9"/>
        <v>False</v>
      </c>
      <c r="U41" s="1" t="str">
        <f t="shared" si="10"/>
        <v>True</v>
      </c>
      <c r="V41" s="1" t="str">
        <f t="shared" si="34"/>
        <v>U0024335</v>
      </c>
      <c r="W41" s="1">
        <v>1</v>
      </c>
      <c r="Y41" s="1">
        <v>0</v>
      </c>
      <c r="Z41" s="1">
        <v>0</v>
      </c>
      <c r="AB41" s="1" t="str">
        <f t="shared" si="35"/>
        <v>ECOM</v>
      </c>
      <c r="AD41" s="1" t="str">
        <f t="shared" si="36"/>
        <v>4520182</v>
      </c>
      <c r="AE41" s="1" t="str">
        <f t="shared" si="37"/>
        <v>32 Joint Stock Company (Aseco)</v>
      </c>
      <c r="AG41" s="1">
        <v>0</v>
      </c>
      <c r="AH41" s="1">
        <v>0</v>
      </c>
      <c r="AI41" s="1" t="str">
        <f t="shared" si="11"/>
        <v>F06</v>
      </c>
      <c r="AJ41" s="1" t="str">
        <f t="shared" si="26"/>
        <v>MAN</v>
      </c>
      <c r="AK41" s="1" t="str">
        <f t="shared" si="12"/>
        <v>PA</v>
      </c>
      <c r="AP41" s="1" t="str">
        <f t="shared" si="13"/>
        <v>False</v>
      </c>
      <c r="AR41" s="1" t="str">
        <f t="shared" si="38"/>
        <v>MARCS</v>
      </c>
      <c r="AY41" s="1" t="str">
        <f t="shared" si="14"/>
        <v>PF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 t="str">
        <f t="shared" si="39"/>
        <v>RCS GOMMA TWILL CANVAS+PU LEAT</v>
      </c>
      <c r="BF41" s="1" t="str">
        <f t="shared" si="15"/>
        <v>Bonis SpA</v>
      </c>
      <c r="BO41" s="1">
        <v>0</v>
      </c>
      <c r="BP41" s="1">
        <v>0</v>
      </c>
      <c r="BQ41" s="1">
        <v>0</v>
      </c>
    </row>
    <row r="42" spans="2:69" x14ac:dyDescent="0.25">
      <c r="B42" s="1">
        <v>1736</v>
      </c>
      <c r="C42" s="1" t="str">
        <f t="shared" si="31"/>
        <v>MARCS4137S7E/C2</v>
      </c>
      <c r="D42" s="1" t="str">
        <f>"ODA16N00266-088"</f>
        <v>ODA16N00266-088</v>
      </c>
      <c r="E42" s="1" t="str">
        <f t="shared" si="29"/>
        <v>C12 USPA</v>
      </c>
      <c r="F42" s="1" t="str">
        <f t="shared" si="0"/>
        <v>BONIS SPA</v>
      </c>
      <c r="G42" s="1" t="str">
        <f t="shared" si="1"/>
        <v>STOCK TERRA MP</v>
      </c>
      <c r="H42" s="1" t="str">
        <f t="shared" si="32"/>
        <v>BLK</v>
      </c>
      <c r="J42" s="1">
        <v>1</v>
      </c>
      <c r="K42" s="1">
        <f t="shared" si="30"/>
        <v>12</v>
      </c>
      <c r="L42" s="1" t="str">
        <f t="shared" si="2"/>
        <v>01</v>
      </c>
      <c r="M42" s="1" t="str">
        <f t="shared" si="3"/>
        <v>101</v>
      </c>
      <c r="N42" s="1" t="str">
        <f t="shared" si="33"/>
        <v>005</v>
      </c>
      <c r="O42" s="1" t="str">
        <f t="shared" si="4"/>
        <v>00</v>
      </c>
      <c r="P42" s="1" t="str">
        <f t="shared" si="5"/>
        <v>S</v>
      </c>
      <c r="Q42" s="1" t="str">
        <f t="shared" si="6"/>
        <v>P</v>
      </c>
      <c r="R42" s="1" t="str">
        <f t="shared" si="7"/>
        <v>01</v>
      </c>
      <c r="S42" s="1" t="str">
        <f t="shared" si="8"/>
        <v>03</v>
      </c>
      <c r="T42" s="1" t="str">
        <f t="shared" si="9"/>
        <v>False</v>
      </c>
      <c r="U42" s="1" t="str">
        <f t="shared" si="10"/>
        <v>True</v>
      </c>
      <c r="V42" s="1" t="str">
        <f t="shared" si="34"/>
        <v>U0024335</v>
      </c>
      <c r="W42" s="1">
        <v>1</v>
      </c>
      <c r="Y42" s="1">
        <v>0</v>
      </c>
      <c r="Z42" s="1">
        <v>0</v>
      </c>
      <c r="AB42" s="1" t="str">
        <f t="shared" si="35"/>
        <v>ECOM</v>
      </c>
      <c r="AD42" s="1" t="str">
        <f t="shared" si="36"/>
        <v>4520182</v>
      </c>
      <c r="AE42" s="1" t="str">
        <f t="shared" si="37"/>
        <v>32 Joint Stock Company (Aseco)</v>
      </c>
      <c r="AG42" s="1">
        <v>0</v>
      </c>
      <c r="AH42" s="1">
        <v>0</v>
      </c>
      <c r="AI42" s="1" t="str">
        <f t="shared" si="11"/>
        <v>F06</v>
      </c>
      <c r="AJ42" s="1" t="str">
        <f t="shared" si="26"/>
        <v>MAN</v>
      </c>
      <c r="AK42" s="1" t="str">
        <f t="shared" si="12"/>
        <v>PA</v>
      </c>
      <c r="AP42" s="1" t="str">
        <f t="shared" si="13"/>
        <v>False</v>
      </c>
      <c r="AR42" s="1" t="str">
        <f t="shared" si="38"/>
        <v>MARCS</v>
      </c>
      <c r="AY42" s="1" t="str">
        <f t="shared" si="14"/>
        <v>PF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 t="str">
        <f t="shared" si="39"/>
        <v>RCS GOMMA TWILL CANVAS+PU LEAT</v>
      </c>
      <c r="BF42" s="1" t="str">
        <f t="shared" si="15"/>
        <v>Bonis SpA</v>
      </c>
      <c r="BO42" s="1">
        <v>0</v>
      </c>
      <c r="BP42" s="1">
        <v>0</v>
      </c>
      <c r="BQ42" s="1">
        <v>0</v>
      </c>
    </row>
    <row r="43" spans="2:69" x14ac:dyDescent="0.25">
      <c r="B43" s="1">
        <v>1736</v>
      </c>
      <c r="C43" s="1" t="str">
        <f t="shared" si="31"/>
        <v>MARCS4137S7E/C2</v>
      </c>
      <c r="D43" s="1" t="str">
        <f>"ODA16N00266-090"</f>
        <v>ODA16N00266-090</v>
      </c>
      <c r="E43" s="1" t="str">
        <f t="shared" si="29"/>
        <v>C12 USPA</v>
      </c>
      <c r="F43" s="1" t="str">
        <f t="shared" si="0"/>
        <v>BONIS SPA</v>
      </c>
      <c r="G43" s="1" t="str">
        <f t="shared" si="1"/>
        <v>STOCK TERRA MP</v>
      </c>
      <c r="H43" s="1" t="str">
        <f t="shared" si="32"/>
        <v>BLK</v>
      </c>
      <c r="J43" s="1">
        <v>1</v>
      </c>
      <c r="K43" s="1">
        <f t="shared" si="30"/>
        <v>12</v>
      </c>
      <c r="L43" s="1" t="str">
        <f t="shared" si="2"/>
        <v>01</v>
      </c>
      <c r="M43" s="1" t="str">
        <f t="shared" si="3"/>
        <v>101</v>
      </c>
      <c r="N43" s="1" t="str">
        <f t="shared" si="33"/>
        <v>005</v>
      </c>
      <c r="O43" s="1" t="str">
        <f t="shared" si="4"/>
        <v>00</v>
      </c>
      <c r="P43" s="1" t="str">
        <f t="shared" si="5"/>
        <v>S</v>
      </c>
      <c r="Q43" s="1" t="str">
        <f t="shared" si="6"/>
        <v>P</v>
      </c>
      <c r="R43" s="1" t="str">
        <f t="shared" si="7"/>
        <v>01</v>
      </c>
      <c r="S43" s="1" t="str">
        <f t="shared" si="8"/>
        <v>03</v>
      </c>
      <c r="T43" s="1" t="str">
        <f t="shared" si="9"/>
        <v>False</v>
      </c>
      <c r="U43" s="1" t="str">
        <f t="shared" si="10"/>
        <v>True</v>
      </c>
      <c r="V43" s="1" t="str">
        <f t="shared" si="34"/>
        <v>U0024335</v>
      </c>
      <c r="W43" s="1">
        <v>1</v>
      </c>
      <c r="Y43" s="1">
        <v>0</v>
      </c>
      <c r="Z43" s="1">
        <v>0</v>
      </c>
      <c r="AB43" s="1" t="str">
        <f t="shared" si="35"/>
        <v>ECOM</v>
      </c>
      <c r="AD43" s="1" t="str">
        <f t="shared" si="36"/>
        <v>4520182</v>
      </c>
      <c r="AE43" s="1" t="str">
        <f t="shared" si="37"/>
        <v>32 Joint Stock Company (Aseco)</v>
      </c>
      <c r="AG43" s="1">
        <v>0</v>
      </c>
      <c r="AH43" s="1">
        <v>0</v>
      </c>
      <c r="AI43" s="1" t="str">
        <f t="shared" si="11"/>
        <v>F06</v>
      </c>
      <c r="AJ43" s="1" t="str">
        <f t="shared" si="26"/>
        <v>MAN</v>
      </c>
      <c r="AK43" s="1" t="str">
        <f t="shared" si="12"/>
        <v>PA</v>
      </c>
      <c r="AP43" s="1" t="str">
        <f t="shared" si="13"/>
        <v>False</v>
      </c>
      <c r="AR43" s="1" t="str">
        <f t="shared" si="38"/>
        <v>MARCS</v>
      </c>
      <c r="AY43" s="1" t="str">
        <f t="shared" si="14"/>
        <v>PF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 t="str">
        <f t="shared" si="39"/>
        <v>RCS GOMMA TWILL CANVAS+PU LEAT</v>
      </c>
      <c r="BF43" s="1" t="str">
        <f t="shared" si="15"/>
        <v>Bonis SpA</v>
      </c>
      <c r="BO43" s="1">
        <v>0</v>
      </c>
      <c r="BP43" s="1">
        <v>0</v>
      </c>
      <c r="BQ43" s="1">
        <v>0</v>
      </c>
    </row>
    <row r="44" spans="2:69" x14ac:dyDescent="0.25">
      <c r="B44" s="1">
        <v>1736</v>
      </c>
      <c r="C44" s="1" t="str">
        <f t="shared" si="31"/>
        <v>MARCS4137S7E/C2</v>
      </c>
      <c r="D44" s="1" t="str">
        <f>"ODA16N00266-092"</f>
        <v>ODA16N00266-092</v>
      </c>
      <c r="E44" s="1" t="str">
        <f t="shared" si="29"/>
        <v>C12 USPA</v>
      </c>
      <c r="F44" s="1" t="str">
        <f t="shared" si="0"/>
        <v>BONIS SPA</v>
      </c>
      <c r="G44" s="1" t="str">
        <f t="shared" si="1"/>
        <v>STOCK TERRA MP</v>
      </c>
      <c r="H44" s="1" t="str">
        <f t="shared" si="32"/>
        <v>BLK</v>
      </c>
      <c r="J44" s="1">
        <v>1</v>
      </c>
      <c r="K44" s="1">
        <f t="shared" si="30"/>
        <v>12</v>
      </c>
      <c r="L44" s="1" t="str">
        <f t="shared" si="2"/>
        <v>01</v>
      </c>
      <c r="M44" s="1" t="str">
        <f t="shared" si="3"/>
        <v>101</v>
      </c>
      <c r="N44" s="1" t="str">
        <f t="shared" si="33"/>
        <v>005</v>
      </c>
      <c r="O44" s="1" t="str">
        <f t="shared" si="4"/>
        <v>00</v>
      </c>
      <c r="P44" s="1" t="str">
        <f t="shared" si="5"/>
        <v>S</v>
      </c>
      <c r="Q44" s="1" t="str">
        <f t="shared" si="6"/>
        <v>P</v>
      </c>
      <c r="R44" s="1" t="str">
        <f t="shared" si="7"/>
        <v>01</v>
      </c>
      <c r="S44" s="1" t="str">
        <f t="shared" si="8"/>
        <v>03</v>
      </c>
      <c r="T44" s="1" t="str">
        <f t="shared" si="9"/>
        <v>False</v>
      </c>
      <c r="U44" s="1" t="str">
        <f t="shared" si="10"/>
        <v>True</v>
      </c>
      <c r="V44" s="1" t="str">
        <f t="shared" si="34"/>
        <v>U0024335</v>
      </c>
      <c r="W44" s="1">
        <v>1</v>
      </c>
      <c r="Y44" s="1">
        <v>0</v>
      </c>
      <c r="Z44" s="1">
        <v>0</v>
      </c>
      <c r="AB44" s="1" t="str">
        <f t="shared" si="35"/>
        <v>ECOM</v>
      </c>
      <c r="AD44" s="1" t="str">
        <f t="shared" si="36"/>
        <v>4520182</v>
      </c>
      <c r="AE44" s="1" t="str">
        <f t="shared" si="37"/>
        <v>32 Joint Stock Company (Aseco)</v>
      </c>
      <c r="AG44" s="1">
        <v>0</v>
      </c>
      <c r="AH44" s="1">
        <v>0</v>
      </c>
      <c r="AI44" s="1" t="str">
        <f t="shared" si="11"/>
        <v>F06</v>
      </c>
      <c r="AJ44" s="1" t="str">
        <f t="shared" si="26"/>
        <v>MAN</v>
      </c>
      <c r="AK44" s="1" t="str">
        <f t="shared" si="12"/>
        <v>PA</v>
      </c>
      <c r="AP44" s="1" t="str">
        <f t="shared" si="13"/>
        <v>False</v>
      </c>
      <c r="AR44" s="1" t="str">
        <f t="shared" si="38"/>
        <v>MARCS</v>
      </c>
      <c r="AY44" s="1" t="str">
        <f t="shared" si="14"/>
        <v>PF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 t="str">
        <f t="shared" si="39"/>
        <v>RCS GOMMA TWILL CANVAS+PU LEAT</v>
      </c>
      <c r="BF44" s="1" t="str">
        <f t="shared" si="15"/>
        <v>Bonis SpA</v>
      </c>
      <c r="BO44" s="1">
        <v>0</v>
      </c>
      <c r="BP44" s="1">
        <v>0</v>
      </c>
      <c r="BQ44" s="1">
        <v>0</v>
      </c>
    </row>
    <row r="45" spans="2:69" x14ac:dyDescent="0.25">
      <c r="B45" s="1">
        <v>1736</v>
      </c>
      <c r="C45" s="1" t="str">
        <f t="shared" si="31"/>
        <v>MARCS4137S7E/C2</v>
      </c>
      <c r="D45" s="1" t="str">
        <f>"ODA16N00266-094"</f>
        <v>ODA16N00266-094</v>
      </c>
      <c r="E45" s="1" t="str">
        <f t="shared" si="29"/>
        <v>C12 USPA</v>
      </c>
      <c r="F45" s="1" t="str">
        <f t="shared" si="0"/>
        <v>BONIS SPA</v>
      </c>
      <c r="G45" s="1" t="str">
        <f t="shared" si="1"/>
        <v>STOCK TERRA MP</v>
      </c>
      <c r="H45" s="1" t="str">
        <f t="shared" si="32"/>
        <v>BLK</v>
      </c>
      <c r="J45" s="1">
        <v>1</v>
      </c>
      <c r="K45" s="1">
        <f t="shared" si="30"/>
        <v>12</v>
      </c>
      <c r="L45" s="1" t="str">
        <f t="shared" si="2"/>
        <v>01</v>
      </c>
      <c r="M45" s="1" t="str">
        <f t="shared" si="3"/>
        <v>101</v>
      </c>
      <c r="N45" s="1" t="str">
        <f t="shared" si="33"/>
        <v>005</v>
      </c>
      <c r="O45" s="1" t="str">
        <f t="shared" si="4"/>
        <v>00</v>
      </c>
      <c r="P45" s="1" t="str">
        <f t="shared" si="5"/>
        <v>S</v>
      </c>
      <c r="Q45" s="1" t="str">
        <f t="shared" si="6"/>
        <v>P</v>
      </c>
      <c r="R45" s="1" t="str">
        <f t="shared" si="7"/>
        <v>01</v>
      </c>
      <c r="S45" s="1" t="str">
        <f t="shared" si="8"/>
        <v>03</v>
      </c>
      <c r="T45" s="1" t="str">
        <f t="shared" si="9"/>
        <v>False</v>
      </c>
      <c r="U45" s="1" t="str">
        <f t="shared" si="10"/>
        <v>True</v>
      </c>
      <c r="V45" s="1" t="str">
        <f t="shared" si="34"/>
        <v>U0024335</v>
      </c>
      <c r="W45" s="1">
        <v>1</v>
      </c>
      <c r="Y45" s="1">
        <v>0</v>
      </c>
      <c r="Z45" s="1">
        <v>0</v>
      </c>
      <c r="AB45" s="1" t="str">
        <f t="shared" si="35"/>
        <v>ECOM</v>
      </c>
      <c r="AD45" s="1" t="str">
        <f t="shared" si="36"/>
        <v>4520182</v>
      </c>
      <c r="AE45" s="1" t="str">
        <f t="shared" si="37"/>
        <v>32 Joint Stock Company (Aseco)</v>
      </c>
      <c r="AG45" s="1">
        <v>0</v>
      </c>
      <c r="AH45" s="1">
        <v>0</v>
      </c>
      <c r="AI45" s="1" t="str">
        <f t="shared" si="11"/>
        <v>F06</v>
      </c>
      <c r="AJ45" s="1" t="str">
        <f t="shared" si="26"/>
        <v>MAN</v>
      </c>
      <c r="AK45" s="1" t="str">
        <f t="shared" si="12"/>
        <v>PA</v>
      </c>
      <c r="AP45" s="1" t="str">
        <f t="shared" si="13"/>
        <v>False</v>
      </c>
      <c r="AR45" s="1" t="str">
        <f t="shared" si="38"/>
        <v>MARCS</v>
      </c>
      <c r="AY45" s="1" t="str">
        <f t="shared" si="14"/>
        <v>PF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 t="str">
        <f t="shared" si="39"/>
        <v>RCS GOMMA TWILL CANVAS+PU LEAT</v>
      </c>
      <c r="BF45" s="1" t="str">
        <f t="shared" si="15"/>
        <v>Bonis SpA</v>
      </c>
      <c r="BO45" s="1">
        <v>0</v>
      </c>
      <c r="BP45" s="1">
        <v>0</v>
      </c>
      <c r="BQ45" s="1">
        <v>0</v>
      </c>
    </row>
    <row r="46" spans="2:69" x14ac:dyDescent="0.25">
      <c r="B46" s="1">
        <v>1737</v>
      </c>
      <c r="C46" s="1" t="str">
        <f t="shared" si="31"/>
        <v>MARCS4137S7E/C2</v>
      </c>
      <c r="D46" s="1" t="str">
        <f>"ODA16N00266-101"</f>
        <v>ODA16N00266-101</v>
      </c>
      <c r="E46" s="1" t="str">
        <f t="shared" si="29"/>
        <v>C12 USPA</v>
      </c>
      <c r="F46" s="1" t="str">
        <f t="shared" si="0"/>
        <v>BONIS SPA</v>
      </c>
      <c r="G46" s="1" t="str">
        <f t="shared" si="1"/>
        <v>STOCK TERRA MP</v>
      </c>
      <c r="H46" s="1" t="str">
        <f>"DKBL"</f>
        <v>DKBL</v>
      </c>
      <c r="J46" s="1">
        <v>1</v>
      </c>
      <c r="K46" s="1">
        <f t="shared" si="30"/>
        <v>12</v>
      </c>
      <c r="L46" s="1" t="str">
        <f t="shared" si="2"/>
        <v>01</v>
      </c>
      <c r="M46" s="1" t="str">
        <f t="shared" si="3"/>
        <v>101</v>
      </c>
      <c r="N46" s="1" t="str">
        <f t="shared" ref="N46:N53" si="40">"006"</f>
        <v>006</v>
      </c>
      <c r="O46" s="1" t="str">
        <f t="shared" si="4"/>
        <v>00</v>
      </c>
      <c r="P46" s="1" t="str">
        <f t="shared" si="5"/>
        <v>S</v>
      </c>
      <c r="Q46" s="1" t="str">
        <f t="shared" si="6"/>
        <v>P</v>
      </c>
      <c r="R46" s="1" t="str">
        <f t="shared" si="7"/>
        <v>01</v>
      </c>
      <c r="S46" s="1" t="str">
        <f t="shared" si="8"/>
        <v>03</v>
      </c>
      <c r="T46" s="1" t="str">
        <f t="shared" si="9"/>
        <v>False</v>
      </c>
      <c r="U46" s="1" t="str">
        <f t="shared" si="10"/>
        <v>True</v>
      </c>
      <c r="V46" s="1" t="str">
        <f t="shared" ref="V46:V53" si="41">"U0024638"</f>
        <v>U0024638</v>
      </c>
      <c r="W46" s="1">
        <v>1</v>
      </c>
      <c r="Y46" s="1">
        <v>0</v>
      </c>
      <c r="Z46" s="1">
        <v>0</v>
      </c>
      <c r="AB46" s="1" t="str">
        <f t="shared" si="35"/>
        <v>ECOM</v>
      </c>
      <c r="AD46" s="1" t="str">
        <f t="shared" si="36"/>
        <v>4520182</v>
      </c>
      <c r="AE46" s="1" t="str">
        <f t="shared" si="37"/>
        <v>32 Joint Stock Company (Aseco)</v>
      </c>
      <c r="AG46" s="1">
        <v>0</v>
      </c>
      <c r="AH46" s="1">
        <v>0</v>
      </c>
      <c r="AI46" s="1" t="str">
        <f t="shared" si="11"/>
        <v>F06</v>
      </c>
      <c r="AJ46" s="1" t="str">
        <f t="shared" si="26"/>
        <v>MAN</v>
      </c>
      <c r="AK46" s="1" t="str">
        <f t="shared" si="12"/>
        <v>PA</v>
      </c>
      <c r="AP46" s="1" t="str">
        <f t="shared" si="13"/>
        <v>False</v>
      </c>
      <c r="AR46" s="1" t="str">
        <f t="shared" si="38"/>
        <v>MARCS</v>
      </c>
      <c r="AY46" s="1" t="str">
        <f t="shared" si="14"/>
        <v>PF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 t="str">
        <f t="shared" si="39"/>
        <v>RCS GOMMA TWILL CANVAS+PU LEAT</v>
      </c>
      <c r="BF46" s="1" t="str">
        <f t="shared" si="15"/>
        <v>Bonis SpA</v>
      </c>
      <c r="BO46" s="1">
        <v>0</v>
      </c>
      <c r="BP46" s="1">
        <v>0</v>
      </c>
      <c r="BQ46" s="1">
        <v>0</v>
      </c>
    </row>
    <row r="47" spans="2:69" x14ac:dyDescent="0.25">
      <c r="B47" s="1">
        <v>1737</v>
      </c>
      <c r="C47" s="1" t="str">
        <f t="shared" si="31"/>
        <v>MARCS4137S7E/C2</v>
      </c>
      <c r="D47" s="1" t="str">
        <f>"ODA16N00266-103"</f>
        <v>ODA16N00266-103</v>
      </c>
      <c r="E47" s="1" t="str">
        <f t="shared" si="29"/>
        <v>C12 USPA</v>
      </c>
      <c r="F47" s="1" t="str">
        <f t="shared" si="0"/>
        <v>BONIS SPA</v>
      </c>
      <c r="G47" s="1" t="str">
        <f t="shared" si="1"/>
        <v>STOCK TERRA MP</v>
      </c>
      <c r="H47" s="1" t="str">
        <f>"DKBL"</f>
        <v>DKBL</v>
      </c>
      <c r="J47" s="1">
        <v>1</v>
      </c>
      <c r="K47" s="1">
        <f t="shared" si="30"/>
        <v>12</v>
      </c>
      <c r="L47" s="1" t="str">
        <f t="shared" si="2"/>
        <v>01</v>
      </c>
      <c r="M47" s="1" t="str">
        <f t="shared" si="3"/>
        <v>101</v>
      </c>
      <c r="N47" s="1" t="str">
        <f t="shared" si="40"/>
        <v>006</v>
      </c>
      <c r="O47" s="1" t="str">
        <f t="shared" si="4"/>
        <v>00</v>
      </c>
      <c r="P47" s="1" t="str">
        <f t="shared" si="5"/>
        <v>S</v>
      </c>
      <c r="Q47" s="1" t="str">
        <f t="shared" si="6"/>
        <v>P</v>
      </c>
      <c r="R47" s="1" t="str">
        <f t="shared" si="7"/>
        <v>01</v>
      </c>
      <c r="S47" s="1" t="str">
        <f t="shared" si="8"/>
        <v>03</v>
      </c>
      <c r="T47" s="1" t="str">
        <f t="shared" si="9"/>
        <v>False</v>
      </c>
      <c r="U47" s="1" t="str">
        <f t="shared" si="10"/>
        <v>True</v>
      </c>
      <c r="V47" s="1" t="str">
        <f t="shared" si="41"/>
        <v>U0024638</v>
      </c>
      <c r="W47" s="1">
        <v>1</v>
      </c>
      <c r="Y47" s="1">
        <v>0</v>
      </c>
      <c r="Z47" s="1">
        <v>0</v>
      </c>
      <c r="AB47" s="1" t="str">
        <f t="shared" si="35"/>
        <v>ECOM</v>
      </c>
      <c r="AD47" s="1" t="str">
        <f t="shared" si="36"/>
        <v>4520182</v>
      </c>
      <c r="AE47" s="1" t="str">
        <f t="shared" si="37"/>
        <v>32 Joint Stock Company (Aseco)</v>
      </c>
      <c r="AG47" s="1">
        <v>0</v>
      </c>
      <c r="AH47" s="1">
        <v>0</v>
      </c>
      <c r="AI47" s="1" t="str">
        <f t="shared" si="11"/>
        <v>F06</v>
      </c>
      <c r="AJ47" s="1" t="str">
        <f t="shared" si="26"/>
        <v>MAN</v>
      </c>
      <c r="AK47" s="1" t="str">
        <f t="shared" si="12"/>
        <v>PA</v>
      </c>
      <c r="AP47" s="1" t="str">
        <f t="shared" si="13"/>
        <v>False</v>
      </c>
      <c r="AR47" s="1" t="str">
        <f t="shared" si="38"/>
        <v>MARCS</v>
      </c>
      <c r="AY47" s="1" t="str">
        <f t="shared" si="14"/>
        <v>PF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 t="str">
        <f t="shared" si="39"/>
        <v>RCS GOMMA TWILL CANVAS+PU LEAT</v>
      </c>
      <c r="BF47" s="1" t="str">
        <f t="shared" si="15"/>
        <v>Bonis SpA</v>
      </c>
      <c r="BO47" s="1">
        <v>0</v>
      </c>
      <c r="BP47" s="1">
        <v>0</v>
      </c>
      <c r="BQ47" s="1">
        <v>0</v>
      </c>
    </row>
    <row r="48" spans="2:69" x14ac:dyDescent="0.25">
      <c r="B48" s="1">
        <v>1737</v>
      </c>
      <c r="C48" s="1" t="str">
        <f t="shared" si="31"/>
        <v>MARCS4137S7E/C2</v>
      </c>
      <c r="D48" s="1" t="str">
        <f>"ODA16N00266-108"</f>
        <v>ODA16N00266-108</v>
      </c>
      <c r="E48" s="1" t="str">
        <f t="shared" si="29"/>
        <v>C12 USPA</v>
      </c>
      <c r="F48" s="1" t="str">
        <f t="shared" si="0"/>
        <v>BONIS SPA</v>
      </c>
      <c r="G48" s="1" t="str">
        <f t="shared" si="1"/>
        <v>STOCK TERRA MP</v>
      </c>
      <c r="H48" s="1" t="str">
        <f>"DKBL"</f>
        <v>DKBL</v>
      </c>
      <c r="J48" s="1">
        <v>1</v>
      </c>
      <c r="K48" s="1">
        <f t="shared" si="30"/>
        <v>12</v>
      </c>
      <c r="L48" s="1" t="str">
        <f t="shared" si="2"/>
        <v>01</v>
      </c>
      <c r="M48" s="1" t="str">
        <f t="shared" si="3"/>
        <v>101</v>
      </c>
      <c r="N48" s="1" t="str">
        <f t="shared" si="40"/>
        <v>006</v>
      </c>
      <c r="O48" s="1" t="str">
        <f t="shared" si="4"/>
        <v>00</v>
      </c>
      <c r="P48" s="1" t="str">
        <f t="shared" si="5"/>
        <v>S</v>
      </c>
      <c r="Q48" s="1" t="str">
        <f t="shared" si="6"/>
        <v>P</v>
      </c>
      <c r="R48" s="1" t="str">
        <f t="shared" si="7"/>
        <v>01</v>
      </c>
      <c r="S48" s="1" t="str">
        <f t="shared" si="8"/>
        <v>03</v>
      </c>
      <c r="T48" s="1" t="str">
        <f t="shared" si="9"/>
        <v>False</v>
      </c>
      <c r="U48" s="1" t="str">
        <f t="shared" si="10"/>
        <v>True</v>
      </c>
      <c r="V48" s="1" t="str">
        <f t="shared" si="41"/>
        <v>U0024638</v>
      </c>
      <c r="W48" s="1">
        <v>1</v>
      </c>
      <c r="Y48" s="1">
        <v>0</v>
      </c>
      <c r="Z48" s="1">
        <v>0</v>
      </c>
      <c r="AB48" s="1" t="str">
        <f t="shared" si="35"/>
        <v>ECOM</v>
      </c>
      <c r="AD48" s="1" t="str">
        <f t="shared" si="36"/>
        <v>4520182</v>
      </c>
      <c r="AE48" s="1" t="str">
        <f t="shared" si="37"/>
        <v>32 Joint Stock Company (Aseco)</v>
      </c>
      <c r="AG48" s="1">
        <v>0</v>
      </c>
      <c r="AH48" s="1">
        <v>0</v>
      </c>
      <c r="AI48" s="1" t="str">
        <f t="shared" si="11"/>
        <v>F06</v>
      </c>
      <c r="AJ48" s="1" t="str">
        <f t="shared" si="26"/>
        <v>MAN</v>
      </c>
      <c r="AK48" s="1" t="str">
        <f t="shared" si="12"/>
        <v>PA</v>
      </c>
      <c r="AP48" s="1" t="str">
        <f t="shared" si="13"/>
        <v>False</v>
      </c>
      <c r="AR48" s="1" t="str">
        <f t="shared" si="38"/>
        <v>MARCS</v>
      </c>
      <c r="AY48" s="1" t="str">
        <f t="shared" si="14"/>
        <v>PF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 t="str">
        <f t="shared" si="39"/>
        <v>RCS GOMMA TWILL CANVAS+PU LEAT</v>
      </c>
      <c r="BF48" s="1" t="str">
        <f t="shared" si="15"/>
        <v>Bonis SpA</v>
      </c>
      <c r="BO48" s="1">
        <v>0</v>
      </c>
      <c r="BP48" s="1">
        <v>0</v>
      </c>
      <c r="BQ48" s="1">
        <v>0</v>
      </c>
    </row>
    <row r="49" spans="2:69" x14ac:dyDescent="0.25">
      <c r="B49" s="1">
        <v>1737</v>
      </c>
      <c r="C49" s="1" t="str">
        <f t="shared" si="31"/>
        <v>MARCS4137S7E/C2</v>
      </c>
      <c r="D49" s="1" t="str">
        <f>"ODA16N00266-117"</f>
        <v>ODA16N00266-117</v>
      </c>
      <c r="E49" s="1" t="str">
        <f t="shared" si="29"/>
        <v>C12 USPA</v>
      </c>
      <c r="F49" s="1" t="str">
        <f t="shared" si="0"/>
        <v>BONIS SPA</v>
      </c>
      <c r="G49" s="1" t="str">
        <f t="shared" si="1"/>
        <v>STOCK TERRA MP</v>
      </c>
      <c r="H49" s="1" t="str">
        <f>"DKBL"</f>
        <v>DKBL</v>
      </c>
      <c r="J49" s="1">
        <v>1</v>
      </c>
      <c r="K49" s="1">
        <f t="shared" si="30"/>
        <v>12</v>
      </c>
      <c r="L49" s="1" t="str">
        <f t="shared" si="2"/>
        <v>01</v>
      </c>
      <c r="M49" s="1" t="str">
        <f t="shared" si="3"/>
        <v>101</v>
      </c>
      <c r="N49" s="1" t="str">
        <f t="shared" si="40"/>
        <v>006</v>
      </c>
      <c r="O49" s="1" t="str">
        <f t="shared" si="4"/>
        <v>00</v>
      </c>
      <c r="P49" s="1" t="str">
        <f t="shared" si="5"/>
        <v>S</v>
      </c>
      <c r="Q49" s="1" t="str">
        <f t="shared" si="6"/>
        <v>P</v>
      </c>
      <c r="R49" s="1" t="str">
        <f t="shared" si="7"/>
        <v>01</v>
      </c>
      <c r="S49" s="1" t="str">
        <f t="shared" si="8"/>
        <v>03</v>
      </c>
      <c r="T49" s="1" t="str">
        <f t="shared" si="9"/>
        <v>False</v>
      </c>
      <c r="U49" s="1" t="str">
        <f t="shared" si="10"/>
        <v>True</v>
      </c>
      <c r="V49" s="1" t="str">
        <f t="shared" si="41"/>
        <v>U0024638</v>
      </c>
      <c r="W49" s="1">
        <v>1</v>
      </c>
      <c r="Y49" s="1">
        <v>0</v>
      </c>
      <c r="Z49" s="1">
        <v>0</v>
      </c>
      <c r="AB49" s="1" t="str">
        <f t="shared" si="35"/>
        <v>ECOM</v>
      </c>
      <c r="AD49" s="1" t="str">
        <f t="shared" si="36"/>
        <v>4520182</v>
      </c>
      <c r="AE49" s="1" t="str">
        <f t="shared" si="37"/>
        <v>32 Joint Stock Company (Aseco)</v>
      </c>
      <c r="AG49" s="1">
        <v>0</v>
      </c>
      <c r="AH49" s="1">
        <v>0</v>
      </c>
      <c r="AI49" s="1" t="str">
        <f t="shared" si="11"/>
        <v>F06</v>
      </c>
      <c r="AJ49" s="1" t="str">
        <f t="shared" si="26"/>
        <v>MAN</v>
      </c>
      <c r="AK49" s="1" t="str">
        <f t="shared" si="12"/>
        <v>PA</v>
      </c>
      <c r="AP49" s="1" t="str">
        <f t="shared" si="13"/>
        <v>False</v>
      </c>
      <c r="AR49" s="1" t="str">
        <f t="shared" si="38"/>
        <v>MARCS</v>
      </c>
      <c r="AY49" s="1" t="str">
        <f t="shared" si="14"/>
        <v>PF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 t="str">
        <f t="shared" si="39"/>
        <v>RCS GOMMA TWILL CANVAS+PU LEAT</v>
      </c>
      <c r="BF49" s="1" t="str">
        <f t="shared" si="15"/>
        <v>Bonis SpA</v>
      </c>
      <c r="BO49" s="1">
        <v>0</v>
      </c>
      <c r="BP49" s="1">
        <v>0</v>
      </c>
      <c r="BQ49" s="1">
        <v>0</v>
      </c>
    </row>
    <row r="50" spans="2:69" x14ac:dyDescent="0.25">
      <c r="B50" s="1">
        <v>1737</v>
      </c>
      <c r="C50" s="1" t="str">
        <f t="shared" si="31"/>
        <v>MARCS4137S7E/C2</v>
      </c>
      <c r="D50" s="1" t="str">
        <f>"ODA16N00266-140"</f>
        <v>ODA16N00266-140</v>
      </c>
      <c r="E50" s="1" t="str">
        <f t="shared" si="29"/>
        <v>C12 USPA</v>
      </c>
      <c r="F50" s="1" t="str">
        <f t="shared" si="0"/>
        <v>BONIS SPA</v>
      </c>
      <c r="G50" s="1" t="str">
        <f t="shared" si="1"/>
        <v>STOCK TERRA MP</v>
      </c>
      <c r="H50" s="1" t="str">
        <f>"WHI"</f>
        <v>WHI</v>
      </c>
      <c r="J50" s="1">
        <v>1</v>
      </c>
      <c r="K50" s="1">
        <f t="shared" si="30"/>
        <v>12</v>
      </c>
      <c r="L50" s="1" t="str">
        <f t="shared" si="2"/>
        <v>01</v>
      </c>
      <c r="M50" s="1" t="str">
        <f t="shared" si="3"/>
        <v>101</v>
      </c>
      <c r="N50" s="1" t="str">
        <f t="shared" si="40"/>
        <v>006</v>
      </c>
      <c r="O50" s="1" t="str">
        <f t="shared" si="4"/>
        <v>00</v>
      </c>
      <c r="P50" s="1" t="str">
        <f t="shared" si="5"/>
        <v>S</v>
      </c>
      <c r="Q50" s="1" t="str">
        <f t="shared" si="6"/>
        <v>P</v>
      </c>
      <c r="R50" s="1" t="str">
        <f t="shared" si="7"/>
        <v>01</v>
      </c>
      <c r="S50" s="1" t="str">
        <f t="shared" si="8"/>
        <v>03</v>
      </c>
      <c r="T50" s="1" t="str">
        <f t="shared" si="9"/>
        <v>False</v>
      </c>
      <c r="U50" s="1" t="str">
        <f t="shared" si="10"/>
        <v>True</v>
      </c>
      <c r="V50" s="1" t="str">
        <f t="shared" si="41"/>
        <v>U0024638</v>
      </c>
      <c r="W50" s="1">
        <v>1</v>
      </c>
      <c r="Y50" s="1">
        <v>0</v>
      </c>
      <c r="Z50" s="1">
        <v>0</v>
      </c>
      <c r="AB50" s="1" t="str">
        <f t="shared" si="35"/>
        <v>ECOM</v>
      </c>
      <c r="AD50" s="1" t="str">
        <f t="shared" si="36"/>
        <v>4520182</v>
      </c>
      <c r="AE50" s="1" t="str">
        <f t="shared" si="37"/>
        <v>32 Joint Stock Company (Aseco)</v>
      </c>
      <c r="AG50" s="1">
        <v>0</v>
      </c>
      <c r="AH50" s="1">
        <v>0</v>
      </c>
      <c r="AI50" s="1" t="str">
        <f t="shared" si="11"/>
        <v>F06</v>
      </c>
      <c r="AJ50" s="1" t="str">
        <f t="shared" si="26"/>
        <v>MAN</v>
      </c>
      <c r="AK50" s="1" t="str">
        <f t="shared" si="12"/>
        <v>PA</v>
      </c>
      <c r="AP50" s="1" t="str">
        <f t="shared" si="13"/>
        <v>False</v>
      </c>
      <c r="AR50" s="1" t="str">
        <f t="shared" si="38"/>
        <v>MARCS</v>
      </c>
      <c r="AY50" s="1" t="str">
        <f t="shared" si="14"/>
        <v>PF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 t="str">
        <f t="shared" si="39"/>
        <v>RCS GOMMA TWILL CANVAS+PU LEAT</v>
      </c>
      <c r="BF50" s="1" t="str">
        <f t="shared" si="15"/>
        <v>Bonis SpA</v>
      </c>
      <c r="BO50" s="1">
        <v>0</v>
      </c>
      <c r="BP50" s="1">
        <v>0</v>
      </c>
      <c r="BQ50" s="1">
        <v>0</v>
      </c>
    </row>
    <row r="51" spans="2:69" x14ac:dyDescent="0.25">
      <c r="B51" s="1">
        <v>1737</v>
      </c>
      <c r="C51" s="1" t="str">
        <f t="shared" si="31"/>
        <v>MARCS4137S7E/C2</v>
      </c>
      <c r="D51" s="1" t="str">
        <f>"ODA16N00266-142"</f>
        <v>ODA16N00266-142</v>
      </c>
      <c r="E51" s="1" t="str">
        <f t="shared" si="29"/>
        <v>C12 USPA</v>
      </c>
      <c r="F51" s="1" t="str">
        <f t="shared" si="0"/>
        <v>BONIS SPA</v>
      </c>
      <c r="G51" s="1" t="str">
        <f t="shared" si="1"/>
        <v>STOCK TERRA MP</v>
      </c>
      <c r="H51" s="1" t="str">
        <f>"WHI"</f>
        <v>WHI</v>
      </c>
      <c r="J51" s="1">
        <v>1</v>
      </c>
      <c r="K51" s="1">
        <f t="shared" si="30"/>
        <v>12</v>
      </c>
      <c r="L51" s="1" t="str">
        <f t="shared" si="2"/>
        <v>01</v>
      </c>
      <c r="M51" s="1" t="str">
        <f t="shared" si="3"/>
        <v>101</v>
      </c>
      <c r="N51" s="1" t="str">
        <f t="shared" si="40"/>
        <v>006</v>
      </c>
      <c r="O51" s="1" t="str">
        <f t="shared" si="4"/>
        <v>00</v>
      </c>
      <c r="P51" s="1" t="str">
        <f t="shared" si="5"/>
        <v>S</v>
      </c>
      <c r="Q51" s="1" t="str">
        <f t="shared" si="6"/>
        <v>P</v>
      </c>
      <c r="R51" s="1" t="str">
        <f t="shared" si="7"/>
        <v>01</v>
      </c>
      <c r="S51" s="1" t="str">
        <f t="shared" si="8"/>
        <v>03</v>
      </c>
      <c r="T51" s="1" t="str">
        <f t="shared" si="9"/>
        <v>False</v>
      </c>
      <c r="U51" s="1" t="str">
        <f t="shared" si="10"/>
        <v>True</v>
      </c>
      <c r="V51" s="1" t="str">
        <f t="shared" si="41"/>
        <v>U0024638</v>
      </c>
      <c r="W51" s="1">
        <v>1</v>
      </c>
      <c r="Y51" s="1">
        <v>0</v>
      </c>
      <c r="Z51" s="1">
        <v>0</v>
      </c>
      <c r="AB51" s="1" t="str">
        <f t="shared" si="35"/>
        <v>ECOM</v>
      </c>
      <c r="AD51" s="1" t="str">
        <f t="shared" si="36"/>
        <v>4520182</v>
      </c>
      <c r="AE51" s="1" t="str">
        <f t="shared" si="37"/>
        <v>32 Joint Stock Company (Aseco)</v>
      </c>
      <c r="AG51" s="1">
        <v>0</v>
      </c>
      <c r="AH51" s="1">
        <v>0</v>
      </c>
      <c r="AI51" s="1" t="str">
        <f t="shared" si="11"/>
        <v>F06</v>
      </c>
      <c r="AJ51" s="1" t="str">
        <f t="shared" si="26"/>
        <v>MAN</v>
      </c>
      <c r="AK51" s="1" t="str">
        <f t="shared" si="12"/>
        <v>PA</v>
      </c>
      <c r="AP51" s="1" t="str">
        <f t="shared" si="13"/>
        <v>False</v>
      </c>
      <c r="AR51" s="1" t="str">
        <f t="shared" si="38"/>
        <v>MARCS</v>
      </c>
      <c r="AY51" s="1" t="str">
        <f t="shared" si="14"/>
        <v>PF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 t="str">
        <f t="shared" si="39"/>
        <v>RCS GOMMA TWILL CANVAS+PU LEAT</v>
      </c>
      <c r="BF51" s="1" t="str">
        <f t="shared" si="15"/>
        <v>Bonis SpA</v>
      </c>
      <c r="BO51" s="1">
        <v>0</v>
      </c>
      <c r="BP51" s="1">
        <v>0</v>
      </c>
      <c r="BQ51" s="1">
        <v>0</v>
      </c>
    </row>
    <row r="52" spans="2:69" x14ac:dyDescent="0.25">
      <c r="B52" s="1">
        <v>1737</v>
      </c>
      <c r="C52" s="1" t="str">
        <f t="shared" si="31"/>
        <v>MARCS4137S7E/C2</v>
      </c>
      <c r="D52" s="1" t="str">
        <f>"ODA16N00266-144"</f>
        <v>ODA16N00266-144</v>
      </c>
      <c r="E52" s="1" t="str">
        <f t="shared" si="29"/>
        <v>C12 USPA</v>
      </c>
      <c r="F52" s="1" t="str">
        <f t="shared" si="0"/>
        <v>BONIS SPA</v>
      </c>
      <c r="G52" s="1" t="str">
        <f t="shared" si="1"/>
        <v>STOCK TERRA MP</v>
      </c>
      <c r="H52" s="1" t="str">
        <f>"WHI"</f>
        <v>WHI</v>
      </c>
      <c r="J52" s="1">
        <v>1</v>
      </c>
      <c r="K52" s="1">
        <f t="shared" si="30"/>
        <v>12</v>
      </c>
      <c r="L52" s="1" t="str">
        <f t="shared" si="2"/>
        <v>01</v>
      </c>
      <c r="M52" s="1" t="str">
        <f t="shared" si="3"/>
        <v>101</v>
      </c>
      <c r="N52" s="1" t="str">
        <f t="shared" si="40"/>
        <v>006</v>
      </c>
      <c r="O52" s="1" t="str">
        <f t="shared" si="4"/>
        <v>00</v>
      </c>
      <c r="P52" s="1" t="str">
        <f t="shared" si="5"/>
        <v>S</v>
      </c>
      <c r="Q52" s="1" t="str">
        <f t="shared" si="6"/>
        <v>P</v>
      </c>
      <c r="R52" s="1" t="str">
        <f t="shared" si="7"/>
        <v>01</v>
      </c>
      <c r="S52" s="1" t="str">
        <f t="shared" si="8"/>
        <v>03</v>
      </c>
      <c r="T52" s="1" t="str">
        <f t="shared" si="9"/>
        <v>False</v>
      </c>
      <c r="U52" s="1" t="str">
        <f t="shared" si="10"/>
        <v>True</v>
      </c>
      <c r="V52" s="1" t="str">
        <f t="shared" si="41"/>
        <v>U0024638</v>
      </c>
      <c r="W52" s="1">
        <v>1</v>
      </c>
      <c r="Y52" s="1">
        <v>0</v>
      </c>
      <c r="Z52" s="1">
        <v>0</v>
      </c>
      <c r="AB52" s="1" t="str">
        <f t="shared" si="35"/>
        <v>ECOM</v>
      </c>
      <c r="AD52" s="1" t="str">
        <f t="shared" si="36"/>
        <v>4520182</v>
      </c>
      <c r="AE52" s="1" t="str">
        <f t="shared" si="37"/>
        <v>32 Joint Stock Company (Aseco)</v>
      </c>
      <c r="AG52" s="1">
        <v>0</v>
      </c>
      <c r="AH52" s="1">
        <v>0</v>
      </c>
      <c r="AI52" s="1" t="str">
        <f t="shared" si="11"/>
        <v>F06</v>
      </c>
      <c r="AJ52" s="1" t="str">
        <f t="shared" si="26"/>
        <v>MAN</v>
      </c>
      <c r="AK52" s="1" t="str">
        <f t="shared" si="12"/>
        <v>PA</v>
      </c>
      <c r="AP52" s="1" t="str">
        <f t="shared" si="13"/>
        <v>False</v>
      </c>
      <c r="AR52" s="1" t="str">
        <f t="shared" si="38"/>
        <v>MARCS</v>
      </c>
      <c r="AY52" s="1" t="str">
        <f t="shared" si="14"/>
        <v>PF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 t="str">
        <f t="shared" si="39"/>
        <v>RCS GOMMA TWILL CANVAS+PU LEAT</v>
      </c>
      <c r="BF52" s="1" t="str">
        <f t="shared" si="15"/>
        <v>Bonis SpA</v>
      </c>
      <c r="BO52" s="1">
        <v>0</v>
      </c>
      <c r="BP52" s="1">
        <v>0</v>
      </c>
      <c r="BQ52" s="1">
        <v>0</v>
      </c>
    </row>
    <row r="53" spans="2:69" x14ac:dyDescent="0.25">
      <c r="B53" s="1">
        <v>1737</v>
      </c>
      <c r="C53" s="1" t="str">
        <f t="shared" si="31"/>
        <v>MARCS4137S7E/C2</v>
      </c>
      <c r="D53" s="1" t="str">
        <f>"ODA16N00266-151"</f>
        <v>ODA16N00266-151</v>
      </c>
      <c r="E53" s="1" t="str">
        <f t="shared" si="29"/>
        <v>C12 USPA</v>
      </c>
      <c r="F53" s="1" t="str">
        <f t="shared" si="0"/>
        <v>BONIS SPA</v>
      </c>
      <c r="G53" s="1" t="str">
        <f t="shared" si="1"/>
        <v>STOCK TERRA MP</v>
      </c>
      <c r="H53" s="1" t="str">
        <f>"WHI"</f>
        <v>WHI</v>
      </c>
      <c r="J53" s="1">
        <v>1</v>
      </c>
      <c r="K53" s="1">
        <f t="shared" si="30"/>
        <v>12</v>
      </c>
      <c r="L53" s="1" t="str">
        <f t="shared" si="2"/>
        <v>01</v>
      </c>
      <c r="M53" s="1" t="str">
        <f t="shared" si="3"/>
        <v>101</v>
      </c>
      <c r="N53" s="1" t="str">
        <f t="shared" si="40"/>
        <v>006</v>
      </c>
      <c r="O53" s="1" t="str">
        <f t="shared" si="4"/>
        <v>00</v>
      </c>
      <c r="P53" s="1" t="str">
        <f t="shared" si="5"/>
        <v>S</v>
      </c>
      <c r="Q53" s="1" t="str">
        <f t="shared" si="6"/>
        <v>P</v>
      </c>
      <c r="R53" s="1" t="str">
        <f t="shared" si="7"/>
        <v>01</v>
      </c>
      <c r="S53" s="1" t="str">
        <f t="shared" si="8"/>
        <v>03</v>
      </c>
      <c r="T53" s="1" t="str">
        <f t="shared" si="9"/>
        <v>False</v>
      </c>
      <c r="U53" s="1" t="str">
        <f t="shared" si="10"/>
        <v>True</v>
      </c>
      <c r="V53" s="1" t="str">
        <f t="shared" si="41"/>
        <v>U0024638</v>
      </c>
      <c r="W53" s="1">
        <v>1</v>
      </c>
      <c r="Y53" s="1">
        <v>0</v>
      </c>
      <c r="Z53" s="1">
        <v>0</v>
      </c>
      <c r="AB53" s="1" t="str">
        <f t="shared" si="35"/>
        <v>ECOM</v>
      </c>
      <c r="AD53" s="1" t="str">
        <f t="shared" si="36"/>
        <v>4520182</v>
      </c>
      <c r="AE53" s="1" t="str">
        <f t="shared" si="37"/>
        <v>32 Joint Stock Company (Aseco)</v>
      </c>
      <c r="AG53" s="1">
        <v>0</v>
      </c>
      <c r="AH53" s="1">
        <v>0</v>
      </c>
      <c r="AI53" s="1" t="str">
        <f t="shared" si="11"/>
        <v>F06</v>
      </c>
      <c r="AJ53" s="1" t="str">
        <f t="shared" si="26"/>
        <v>MAN</v>
      </c>
      <c r="AK53" s="1" t="str">
        <f t="shared" si="12"/>
        <v>PA</v>
      </c>
      <c r="AP53" s="1" t="str">
        <f t="shared" si="13"/>
        <v>False</v>
      </c>
      <c r="AR53" s="1" t="str">
        <f t="shared" si="38"/>
        <v>MARCS</v>
      </c>
      <c r="AY53" s="1" t="str">
        <f t="shared" si="14"/>
        <v>PF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 t="str">
        <f t="shared" si="39"/>
        <v>RCS GOMMA TWILL CANVAS+PU LEAT</v>
      </c>
      <c r="BF53" s="1" t="str">
        <f t="shared" si="15"/>
        <v>Bonis SpA</v>
      </c>
      <c r="BO53" s="1">
        <v>0</v>
      </c>
      <c r="BP53" s="1">
        <v>0</v>
      </c>
      <c r="BQ53" s="1">
        <v>0</v>
      </c>
    </row>
    <row r="54" spans="2:69" x14ac:dyDescent="0.25">
      <c r="B54" s="1">
        <v>1740</v>
      </c>
      <c r="C54" s="1" t="str">
        <f>"NOBIL4090S7E/CH2"</f>
        <v>NOBIL4090S7E/CH2</v>
      </c>
      <c r="D54" s="1" t="str">
        <f>"ODA16N00266-353"</f>
        <v>ODA16N00266-353</v>
      </c>
      <c r="E54" s="1" t="str">
        <f>"X12 USPA"</f>
        <v>X12 USPA</v>
      </c>
      <c r="F54" s="1" t="str">
        <f t="shared" si="0"/>
        <v>BONIS SPA</v>
      </c>
      <c r="G54" s="1" t="str">
        <f t="shared" si="1"/>
        <v>STOCK TERRA MP</v>
      </c>
      <c r="H54" s="1" t="str">
        <f>"BEI"</f>
        <v>BEI</v>
      </c>
      <c r="J54" s="1">
        <v>1</v>
      </c>
      <c r="K54" s="1">
        <f t="shared" si="30"/>
        <v>12</v>
      </c>
      <c r="L54" s="1" t="str">
        <f t="shared" si="2"/>
        <v>01</v>
      </c>
      <c r="M54" s="1" t="str">
        <f t="shared" si="3"/>
        <v>101</v>
      </c>
      <c r="N54" s="1" t="str">
        <f t="shared" ref="N54:N67" si="42">"009"</f>
        <v>009</v>
      </c>
      <c r="O54" s="1" t="str">
        <f t="shared" si="4"/>
        <v>00</v>
      </c>
      <c r="P54" s="1" t="str">
        <f t="shared" si="5"/>
        <v>S</v>
      </c>
      <c r="Q54" s="1" t="str">
        <f t="shared" si="6"/>
        <v>P</v>
      </c>
      <c r="R54" s="1" t="str">
        <f t="shared" si="7"/>
        <v>01</v>
      </c>
      <c r="S54" s="1" t="str">
        <f t="shared" si="8"/>
        <v>03</v>
      </c>
      <c r="T54" s="1" t="str">
        <f t="shared" si="9"/>
        <v>False</v>
      </c>
      <c r="U54" s="1" t="str">
        <f t="shared" si="10"/>
        <v>True</v>
      </c>
      <c r="V54" s="1" t="str">
        <f t="shared" ref="V54:V67" si="43">"U0024309"</f>
        <v>U0024309</v>
      </c>
      <c r="W54" s="1">
        <v>1</v>
      </c>
      <c r="Y54" s="1">
        <v>0</v>
      </c>
      <c r="Z54" s="1">
        <v>0</v>
      </c>
      <c r="AB54" s="1" t="str">
        <f t="shared" si="35"/>
        <v>ECOM</v>
      </c>
      <c r="AD54" s="1" t="str">
        <f t="shared" si="36"/>
        <v>4520182</v>
      </c>
      <c r="AE54" s="1" t="str">
        <f t="shared" si="37"/>
        <v>32 Joint Stock Company (Aseco)</v>
      </c>
      <c r="AG54" s="1">
        <v>0</v>
      </c>
      <c r="AH54" s="1">
        <v>0</v>
      </c>
      <c r="AI54" s="1" t="str">
        <f t="shared" si="11"/>
        <v>F06</v>
      </c>
      <c r="AJ54" s="1" t="str">
        <f t="shared" si="26"/>
        <v>MAN</v>
      </c>
      <c r="AK54" s="1" t="str">
        <f t="shared" si="12"/>
        <v>PA</v>
      </c>
      <c r="AP54" s="1" t="str">
        <f t="shared" si="13"/>
        <v>False</v>
      </c>
      <c r="AR54" s="1" t="str">
        <f t="shared" ref="AR54:AR67" si="44">"NOBIL"</f>
        <v>NOBIL</v>
      </c>
      <c r="AY54" s="1" t="str">
        <f t="shared" si="14"/>
        <v>PF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 t="str">
        <f>"BBER FLAT MOL.CANVAS+MICROSUED"</f>
        <v>BBER FLAT MOL.CANVAS+MICROSUED</v>
      </c>
      <c r="BF54" s="1" t="str">
        <f t="shared" si="15"/>
        <v>Bonis SpA</v>
      </c>
      <c r="BO54" s="1">
        <v>0</v>
      </c>
      <c r="BP54" s="1">
        <v>0</v>
      </c>
      <c r="BQ54" s="1">
        <v>0</v>
      </c>
    </row>
    <row r="55" spans="2:69" x14ac:dyDescent="0.25">
      <c r="B55" s="1">
        <v>1740</v>
      </c>
      <c r="C55" s="1" t="str">
        <f>"NOBIL4090S7E/CH2"</f>
        <v>NOBIL4090S7E/CH2</v>
      </c>
      <c r="D55" s="1" t="str">
        <f>"ODA16N00266-354"</f>
        <v>ODA16N00266-354</v>
      </c>
      <c r="E55" s="1" t="str">
        <f>"X12 USPA"</f>
        <v>X12 USPA</v>
      </c>
      <c r="F55" s="1" t="str">
        <f t="shared" si="0"/>
        <v>BONIS SPA</v>
      </c>
      <c r="G55" s="1" t="str">
        <f t="shared" si="1"/>
        <v>STOCK TERRA MP</v>
      </c>
      <c r="H55" s="1" t="str">
        <f>"BEI"</f>
        <v>BEI</v>
      </c>
      <c r="J55" s="1">
        <v>1</v>
      </c>
      <c r="K55" s="1">
        <f t="shared" si="30"/>
        <v>12</v>
      </c>
      <c r="L55" s="1" t="str">
        <f t="shared" si="2"/>
        <v>01</v>
      </c>
      <c r="M55" s="1" t="str">
        <f t="shared" si="3"/>
        <v>101</v>
      </c>
      <c r="N55" s="1" t="str">
        <f t="shared" si="42"/>
        <v>009</v>
      </c>
      <c r="O55" s="1" t="str">
        <f t="shared" si="4"/>
        <v>00</v>
      </c>
      <c r="P55" s="1" t="str">
        <f t="shared" si="5"/>
        <v>S</v>
      </c>
      <c r="Q55" s="1" t="str">
        <f t="shared" si="6"/>
        <v>P</v>
      </c>
      <c r="R55" s="1" t="str">
        <f t="shared" si="7"/>
        <v>01</v>
      </c>
      <c r="S55" s="1" t="str">
        <f t="shared" si="8"/>
        <v>03</v>
      </c>
      <c r="T55" s="1" t="str">
        <f t="shared" si="9"/>
        <v>False</v>
      </c>
      <c r="U55" s="1" t="str">
        <f t="shared" si="10"/>
        <v>True</v>
      </c>
      <c r="V55" s="1" t="str">
        <f t="shared" si="43"/>
        <v>U0024309</v>
      </c>
      <c r="W55" s="1">
        <v>1</v>
      </c>
      <c r="Y55" s="1">
        <v>0</v>
      </c>
      <c r="Z55" s="1">
        <v>0</v>
      </c>
      <c r="AB55" s="1" t="str">
        <f t="shared" si="35"/>
        <v>ECOM</v>
      </c>
      <c r="AD55" s="1" t="str">
        <f t="shared" si="36"/>
        <v>4520182</v>
      </c>
      <c r="AE55" s="1" t="str">
        <f t="shared" si="37"/>
        <v>32 Joint Stock Company (Aseco)</v>
      </c>
      <c r="AG55" s="1">
        <v>0</v>
      </c>
      <c r="AH55" s="1">
        <v>0</v>
      </c>
      <c r="AI55" s="1" t="str">
        <f t="shared" si="11"/>
        <v>F06</v>
      </c>
      <c r="AJ55" s="1" t="str">
        <f t="shared" si="26"/>
        <v>MAN</v>
      </c>
      <c r="AK55" s="1" t="str">
        <f t="shared" si="12"/>
        <v>PA</v>
      </c>
      <c r="AP55" s="1" t="str">
        <f t="shared" si="13"/>
        <v>False</v>
      </c>
      <c r="AR55" s="1" t="str">
        <f t="shared" si="44"/>
        <v>NOBIL</v>
      </c>
      <c r="AY55" s="1" t="str">
        <f t="shared" si="14"/>
        <v>PF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 t="str">
        <f>"BBER FLAT MOL.CANVAS+MICROSUED"</f>
        <v>BBER FLAT MOL.CANVAS+MICROSUED</v>
      </c>
      <c r="BF55" s="1" t="str">
        <f t="shared" si="15"/>
        <v>Bonis SpA</v>
      </c>
      <c r="BO55" s="1">
        <v>0</v>
      </c>
      <c r="BP55" s="1">
        <v>0</v>
      </c>
      <c r="BQ55" s="1">
        <v>0</v>
      </c>
    </row>
    <row r="56" spans="2:69" x14ac:dyDescent="0.25">
      <c r="B56" s="1">
        <v>1740</v>
      </c>
      <c r="C56" s="1" t="str">
        <f t="shared" ref="C56:C67" si="45">"NOBIL4090S7E/NH2"</f>
        <v>NOBIL4090S7E/NH2</v>
      </c>
      <c r="D56" s="1" t="str">
        <f>"ODA16N00266-402"</f>
        <v>ODA16N00266-402</v>
      </c>
      <c r="E56" s="1" t="str">
        <f t="shared" ref="E56:E67" si="46">"C12 USPA"</f>
        <v>C12 USPA</v>
      </c>
      <c r="F56" s="1" t="str">
        <f t="shared" si="0"/>
        <v>BONIS SPA</v>
      </c>
      <c r="G56" s="1" t="str">
        <f t="shared" si="1"/>
        <v>STOCK TERRA MP</v>
      </c>
      <c r="H56" s="1" t="str">
        <f t="shared" ref="H56:H63" si="47">"BLK"</f>
        <v>BLK</v>
      </c>
      <c r="J56" s="1">
        <v>1</v>
      </c>
      <c r="K56" s="1">
        <f t="shared" si="30"/>
        <v>12</v>
      </c>
      <c r="L56" s="1" t="str">
        <f t="shared" si="2"/>
        <v>01</v>
      </c>
      <c r="M56" s="1" t="str">
        <f t="shared" si="3"/>
        <v>101</v>
      </c>
      <c r="N56" s="1" t="str">
        <f t="shared" si="42"/>
        <v>009</v>
      </c>
      <c r="O56" s="1" t="str">
        <f t="shared" si="4"/>
        <v>00</v>
      </c>
      <c r="P56" s="1" t="str">
        <f t="shared" si="5"/>
        <v>S</v>
      </c>
      <c r="Q56" s="1" t="str">
        <f t="shared" si="6"/>
        <v>P</v>
      </c>
      <c r="R56" s="1" t="str">
        <f t="shared" si="7"/>
        <v>01</v>
      </c>
      <c r="S56" s="1" t="str">
        <f t="shared" si="8"/>
        <v>03</v>
      </c>
      <c r="T56" s="1" t="str">
        <f t="shared" si="9"/>
        <v>False</v>
      </c>
      <c r="U56" s="1" t="str">
        <f t="shared" si="10"/>
        <v>True</v>
      </c>
      <c r="V56" s="1" t="str">
        <f t="shared" si="43"/>
        <v>U0024309</v>
      </c>
      <c r="W56" s="1">
        <v>1</v>
      </c>
      <c r="Y56" s="1">
        <v>0</v>
      </c>
      <c r="Z56" s="1">
        <v>0</v>
      </c>
      <c r="AB56" s="1" t="str">
        <f t="shared" si="35"/>
        <v>ECOM</v>
      </c>
      <c r="AD56" s="1" t="str">
        <f t="shared" si="36"/>
        <v>4520182</v>
      </c>
      <c r="AE56" s="1" t="str">
        <f t="shared" si="37"/>
        <v>32 Joint Stock Company (Aseco)</v>
      </c>
      <c r="AG56" s="1">
        <v>0</v>
      </c>
      <c r="AH56" s="1">
        <v>0</v>
      </c>
      <c r="AI56" s="1" t="str">
        <f t="shared" si="11"/>
        <v>F06</v>
      </c>
      <c r="AJ56" s="1" t="str">
        <f t="shared" si="26"/>
        <v>MAN</v>
      </c>
      <c r="AK56" s="1" t="str">
        <f t="shared" si="12"/>
        <v>PA</v>
      </c>
      <c r="AP56" s="1" t="str">
        <f t="shared" si="13"/>
        <v>False</v>
      </c>
      <c r="AR56" s="1" t="str">
        <f t="shared" si="44"/>
        <v>NOBIL</v>
      </c>
      <c r="AY56" s="1" t="str">
        <f t="shared" si="14"/>
        <v>PF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 t="str">
        <f t="shared" ref="BE56:BE67" si="48">"BBER-EVA  NYLON+MICROSUE"</f>
        <v>BBER-EVA  NYLON+MICROSUE</v>
      </c>
      <c r="BF56" s="1" t="str">
        <f t="shared" si="15"/>
        <v>Bonis SpA</v>
      </c>
      <c r="BO56" s="1">
        <v>0</v>
      </c>
      <c r="BP56" s="1">
        <v>0</v>
      </c>
      <c r="BQ56" s="1">
        <v>0</v>
      </c>
    </row>
    <row r="57" spans="2:69" x14ac:dyDescent="0.25">
      <c r="B57" s="1">
        <v>1740</v>
      </c>
      <c r="C57" s="1" t="str">
        <f t="shared" si="45"/>
        <v>NOBIL4090S7E/NH2</v>
      </c>
      <c r="D57" s="1" t="str">
        <f>"ODA16N00266-405"</f>
        <v>ODA16N00266-405</v>
      </c>
      <c r="E57" s="1" t="str">
        <f t="shared" si="46"/>
        <v>C12 USPA</v>
      </c>
      <c r="F57" s="1" t="str">
        <f t="shared" si="0"/>
        <v>BONIS SPA</v>
      </c>
      <c r="G57" s="1" t="str">
        <f t="shared" si="1"/>
        <v>STOCK TERRA MP</v>
      </c>
      <c r="H57" s="1" t="str">
        <f t="shared" si="47"/>
        <v>BLK</v>
      </c>
      <c r="J57" s="1">
        <v>1</v>
      </c>
      <c r="K57" s="1">
        <f t="shared" si="30"/>
        <v>12</v>
      </c>
      <c r="L57" s="1" t="str">
        <f t="shared" si="2"/>
        <v>01</v>
      </c>
      <c r="M57" s="1" t="str">
        <f t="shared" si="3"/>
        <v>101</v>
      </c>
      <c r="N57" s="1" t="str">
        <f t="shared" si="42"/>
        <v>009</v>
      </c>
      <c r="O57" s="1" t="str">
        <f t="shared" si="4"/>
        <v>00</v>
      </c>
      <c r="P57" s="1" t="str">
        <f t="shared" si="5"/>
        <v>S</v>
      </c>
      <c r="Q57" s="1" t="str">
        <f t="shared" si="6"/>
        <v>P</v>
      </c>
      <c r="R57" s="1" t="str">
        <f t="shared" si="7"/>
        <v>01</v>
      </c>
      <c r="S57" s="1" t="str">
        <f t="shared" si="8"/>
        <v>03</v>
      </c>
      <c r="T57" s="1" t="str">
        <f t="shared" si="9"/>
        <v>False</v>
      </c>
      <c r="U57" s="1" t="str">
        <f t="shared" si="10"/>
        <v>True</v>
      </c>
      <c r="V57" s="1" t="str">
        <f t="shared" si="43"/>
        <v>U0024309</v>
      </c>
      <c r="W57" s="1">
        <v>1</v>
      </c>
      <c r="Y57" s="1">
        <v>0</v>
      </c>
      <c r="Z57" s="1">
        <v>0</v>
      </c>
      <c r="AB57" s="1" t="str">
        <f t="shared" si="35"/>
        <v>ECOM</v>
      </c>
      <c r="AD57" s="1" t="str">
        <f t="shared" si="36"/>
        <v>4520182</v>
      </c>
      <c r="AE57" s="1" t="str">
        <f t="shared" si="37"/>
        <v>32 Joint Stock Company (Aseco)</v>
      </c>
      <c r="AG57" s="1">
        <v>0</v>
      </c>
      <c r="AH57" s="1">
        <v>0</v>
      </c>
      <c r="AI57" s="1" t="str">
        <f t="shared" si="11"/>
        <v>F06</v>
      </c>
      <c r="AJ57" s="1" t="str">
        <f t="shared" si="26"/>
        <v>MAN</v>
      </c>
      <c r="AK57" s="1" t="str">
        <f t="shared" si="12"/>
        <v>PA</v>
      </c>
      <c r="AP57" s="1" t="str">
        <f t="shared" si="13"/>
        <v>False</v>
      </c>
      <c r="AR57" s="1" t="str">
        <f t="shared" si="44"/>
        <v>NOBIL</v>
      </c>
      <c r="AY57" s="1" t="str">
        <f t="shared" si="14"/>
        <v>PF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 t="str">
        <f t="shared" si="48"/>
        <v>BBER-EVA  NYLON+MICROSUE</v>
      </c>
      <c r="BF57" s="1" t="str">
        <f t="shared" si="15"/>
        <v>Bonis SpA</v>
      </c>
      <c r="BO57" s="1">
        <v>0</v>
      </c>
      <c r="BP57" s="1">
        <v>0</v>
      </c>
      <c r="BQ57" s="1">
        <v>0</v>
      </c>
    </row>
    <row r="58" spans="2:69" x14ac:dyDescent="0.25">
      <c r="B58" s="1">
        <v>1740</v>
      </c>
      <c r="C58" s="1" t="str">
        <f t="shared" si="45"/>
        <v>NOBIL4090S7E/NH2</v>
      </c>
      <c r="D58" s="1" t="str">
        <f>"ODA16N00266-406"</f>
        <v>ODA16N00266-406</v>
      </c>
      <c r="E58" s="1" t="str">
        <f t="shared" si="46"/>
        <v>C12 USPA</v>
      </c>
      <c r="F58" s="1" t="str">
        <f t="shared" si="0"/>
        <v>BONIS SPA</v>
      </c>
      <c r="G58" s="1" t="str">
        <f t="shared" si="1"/>
        <v>STOCK TERRA MP</v>
      </c>
      <c r="H58" s="1" t="str">
        <f t="shared" si="47"/>
        <v>BLK</v>
      </c>
      <c r="J58" s="1">
        <v>1</v>
      </c>
      <c r="K58" s="1">
        <f t="shared" si="30"/>
        <v>12</v>
      </c>
      <c r="L58" s="1" t="str">
        <f t="shared" si="2"/>
        <v>01</v>
      </c>
      <c r="M58" s="1" t="str">
        <f t="shared" si="3"/>
        <v>101</v>
      </c>
      <c r="N58" s="1" t="str">
        <f t="shared" si="42"/>
        <v>009</v>
      </c>
      <c r="O58" s="1" t="str">
        <f t="shared" si="4"/>
        <v>00</v>
      </c>
      <c r="P58" s="1" t="str">
        <f t="shared" si="5"/>
        <v>S</v>
      </c>
      <c r="Q58" s="1" t="str">
        <f t="shared" si="6"/>
        <v>P</v>
      </c>
      <c r="R58" s="1" t="str">
        <f t="shared" si="7"/>
        <v>01</v>
      </c>
      <c r="S58" s="1" t="str">
        <f t="shared" si="8"/>
        <v>03</v>
      </c>
      <c r="T58" s="1" t="str">
        <f t="shared" si="9"/>
        <v>False</v>
      </c>
      <c r="U58" s="1" t="str">
        <f t="shared" si="10"/>
        <v>True</v>
      </c>
      <c r="V58" s="1" t="str">
        <f t="shared" si="43"/>
        <v>U0024309</v>
      </c>
      <c r="W58" s="1">
        <v>1</v>
      </c>
      <c r="Y58" s="1">
        <v>0</v>
      </c>
      <c r="Z58" s="1">
        <v>0</v>
      </c>
      <c r="AB58" s="1" t="str">
        <f t="shared" si="35"/>
        <v>ECOM</v>
      </c>
      <c r="AD58" s="1" t="str">
        <f t="shared" si="36"/>
        <v>4520182</v>
      </c>
      <c r="AE58" s="1" t="str">
        <f t="shared" si="37"/>
        <v>32 Joint Stock Company (Aseco)</v>
      </c>
      <c r="AG58" s="1">
        <v>0</v>
      </c>
      <c r="AH58" s="1">
        <v>0</v>
      </c>
      <c r="AI58" s="1" t="str">
        <f t="shared" si="11"/>
        <v>F06</v>
      </c>
      <c r="AJ58" s="1" t="str">
        <f t="shared" si="26"/>
        <v>MAN</v>
      </c>
      <c r="AK58" s="1" t="str">
        <f t="shared" si="12"/>
        <v>PA</v>
      </c>
      <c r="AP58" s="1" t="str">
        <f t="shared" si="13"/>
        <v>False</v>
      </c>
      <c r="AR58" s="1" t="str">
        <f t="shared" si="44"/>
        <v>NOBIL</v>
      </c>
      <c r="AY58" s="1" t="str">
        <f t="shared" si="14"/>
        <v>PF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 t="str">
        <f t="shared" si="48"/>
        <v>BBER-EVA  NYLON+MICROSUE</v>
      </c>
      <c r="BF58" s="1" t="str">
        <f t="shared" si="15"/>
        <v>Bonis SpA</v>
      </c>
      <c r="BO58" s="1">
        <v>0</v>
      </c>
      <c r="BP58" s="1">
        <v>0</v>
      </c>
      <c r="BQ58" s="1">
        <v>0</v>
      </c>
    </row>
    <row r="59" spans="2:69" x14ac:dyDescent="0.25">
      <c r="B59" s="1">
        <v>1740</v>
      </c>
      <c r="C59" s="1" t="str">
        <f t="shared" si="45"/>
        <v>NOBIL4090S7E/NH2</v>
      </c>
      <c r="D59" s="1" t="str">
        <f>"ODA16N00266-407"</f>
        <v>ODA16N00266-407</v>
      </c>
      <c r="E59" s="1" t="str">
        <f t="shared" si="46"/>
        <v>C12 USPA</v>
      </c>
      <c r="F59" s="1" t="str">
        <f t="shared" si="0"/>
        <v>BONIS SPA</v>
      </c>
      <c r="G59" s="1" t="str">
        <f t="shared" si="1"/>
        <v>STOCK TERRA MP</v>
      </c>
      <c r="H59" s="1" t="str">
        <f t="shared" si="47"/>
        <v>BLK</v>
      </c>
      <c r="J59" s="1">
        <v>1</v>
      </c>
      <c r="K59" s="1">
        <f t="shared" si="30"/>
        <v>12</v>
      </c>
      <c r="L59" s="1" t="str">
        <f t="shared" si="2"/>
        <v>01</v>
      </c>
      <c r="M59" s="1" t="str">
        <f t="shared" si="3"/>
        <v>101</v>
      </c>
      <c r="N59" s="1" t="str">
        <f t="shared" si="42"/>
        <v>009</v>
      </c>
      <c r="O59" s="1" t="str">
        <f t="shared" si="4"/>
        <v>00</v>
      </c>
      <c r="P59" s="1" t="str">
        <f t="shared" si="5"/>
        <v>S</v>
      </c>
      <c r="Q59" s="1" t="str">
        <f t="shared" si="6"/>
        <v>P</v>
      </c>
      <c r="R59" s="1" t="str">
        <f t="shared" si="7"/>
        <v>01</v>
      </c>
      <c r="S59" s="1" t="str">
        <f t="shared" si="8"/>
        <v>03</v>
      </c>
      <c r="T59" s="1" t="str">
        <f t="shared" si="9"/>
        <v>False</v>
      </c>
      <c r="U59" s="1" t="str">
        <f t="shared" si="10"/>
        <v>True</v>
      </c>
      <c r="V59" s="1" t="str">
        <f t="shared" si="43"/>
        <v>U0024309</v>
      </c>
      <c r="W59" s="1">
        <v>1</v>
      </c>
      <c r="Y59" s="1">
        <v>0</v>
      </c>
      <c r="Z59" s="1">
        <v>0</v>
      </c>
      <c r="AB59" s="1" t="str">
        <f t="shared" si="35"/>
        <v>ECOM</v>
      </c>
      <c r="AD59" s="1" t="str">
        <f t="shared" si="36"/>
        <v>4520182</v>
      </c>
      <c r="AE59" s="1" t="str">
        <f t="shared" si="37"/>
        <v>32 Joint Stock Company (Aseco)</v>
      </c>
      <c r="AG59" s="1">
        <v>0</v>
      </c>
      <c r="AH59" s="1">
        <v>0</v>
      </c>
      <c r="AI59" s="1" t="str">
        <f t="shared" si="11"/>
        <v>F06</v>
      </c>
      <c r="AJ59" s="1" t="str">
        <f t="shared" si="26"/>
        <v>MAN</v>
      </c>
      <c r="AK59" s="1" t="str">
        <f t="shared" si="12"/>
        <v>PA</v>
      </c>
      <c r="AP59" s="1" t="str">
        <f t="shared" si="13"/>
        <v>False</v>
      </c>
      <c r="AR59" s="1" t="str">
        <f t="shared" si="44"/>
        <v>NOBIL</v>
      </c>
      <c r="AY59" s="1" t="str">
        <f t="shared" si="14"/>
        <v>PF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 t="str">
        <f t="shared" si="48"/>
        <v>BBER-EVA  NYLON+MICROSUE</v>
      </c>
      <c r="BF59" s="1" t="str">
        <f t="shared" si="15"/>
        <v>Bonis SpA</v>
      </c>
      <c r="BO59" s="1">
        <v>0</v>
      </c>
      <c r="BP59" s="1">
        <v>0</v>
      </c>
      <c r="BQ59" s="1">
        <v>0</v>
      </c>
    </row>
    <row r="60" spans="2:69" x14ac:dyDescent="0.25">
      <c r="B60" s="1">
        <v>1740</v>
      </c>
      <c r="C60" s="1" t="str">
        <f t="shared" si="45"/>
        <v>NOBIL4090S7E/NH2</v>
      </c>
      <c r="D60" s="1" t="str">
        <f>"ODA16N00266-408"</f>
        <v>ODA16N00266-408</v>
      </c>
      <c r="E60" s="1" t="str">
        <f t="shared" si="46"/>
        <v>C12 USPA</v>
      </c>
      <c r="F60" s="1" t="str">
        <f t="shared" si="0"/>
        <v>BONIS SPA</v>
      </c>
      <c r="G60" s="1" t="str">
        <f t="shared" si="1"/>
        <v>STOCK TERRA MP</v>
      </c>
      <c r="H60" s="1" t="str">
        <f t="shared" si="47"/>
        <v>BLK</v>
      </c>
      <c r="J60" s="1">
        <v>1</v>
      </c>
      <c r="K60" s="1">
        <f t="shared" si="30"/>
        <v>12</v>
      </c>
      <c r="L60" s="1" t="str">
        <f t="shared" si="2"/>
        <v>01</v>
      </c>
      <c r="M60" s="1" t="str">
        <f t="shared" si="3"/>
        <v>101</v>
      </c>
      <c r="N60" s="1" t="str">
        <f t="shared" si="42"/>
        <v>009</v>
      </c>
      <c r="O60" s="1" t="str">
        <f t="shared" si="4"/>
        <v>00</v>
      </c>
      <c r="P60" s="1" t="str">
        <f t="shared" si="5"/>
        <v>S</v>
      </c>
      <c r="Q60" s="1" t="str">
        <f t="shared" si="6"/>
        <v>P</v>
      </c>
      <c r="R60" s="1" t="str">
        <f t="shared" si="7"/>
        <v>01</v>
      </c>
      <c r="S60" s="1" t="str">
        <f t="shared" si="8"/>
        <v>03</v>
      </c>
      <c r="T60" s="1" t="str">
        <f t="shared" si="9"/>
        <v>False</v>
      </c>
      <c r="U60" s="1" t="str">
        <f t="shared" si="10"/>
        <v>True</v>
      </c>
      <c r="V60" s="1" t="str">
        <f t="shared" si="43"/>
        <v>U0024309</v>
      </c>
      <c r="W60" s="1">
        <v>1</v>
      </c>
      <c r="Y60" s="1">
        <v>0</v>
      </c>
      <c r="Z60" s="1">
        <v>0</v>
      </c>
      <c r="AB60" s="1" t="str">
        <f t="shared" si="35"/>
        <v>ECOM</v>
      </c>
      <c r="AD60" s="1" t="str">
        <f t="shared" si="36"/>
        <v>4520182</v>
      </c>
      <c r="AE60" s="1" t="str">
        <f t="shared" si="37"/>
        <v>32 Joint Stock Company (Aseco)</v>
      </c>
      <c r="AG60" s="1">
        <v>0</v>
      </c>
      <c r="AH60" s="1">
        <v>0</v>
      </c>
      <c r="AI60" s="1" t="str">
        <f t="shared" si="11"/>
        <v>F06</v>
      </c>
      <c r="AJ60" s="1" t="str">
        <f t="shared" si="26"/>
        <v>MAN</v>
      </c>
      <c r="AK60" s="1" t="str">
        <f t="shared" si="12"/>
        <v>PA</v>
      </c>
      <c r="AP60" s="1" t="str">
        <f t="shared" si="13"/>
        <v>False</v>
      </c>
      <c r="AR60" s="1" t="str">
        <f t="shared" si="44"/>
        <v>NOBIL</v>
      </c>
      <c r="AY60" s="1" t="str">
        <f t="shared" si="14"/>
        <v>PF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 t="str">
        <f t="shared" si="48"/>
        <v>BBER-EVA  NYLON+MICROSUE</v>
      </c>
      <c r="BF60" s="1" t="str">
        <f t="shared" si="15"/>
        <v>Bonis SpA</v>
      </c>
      <c r="BO60" s="1">
        <v>0</v>
      </c>
      <c r="BP60" s="1">
        <v>0</v>
      </c>
      <c r="BQ60" s="1">
        <v>0</v>
      </c>
    </row>
    <row r="61" spans="2:69" x14ac:dyDescent="0.25">
      <c r="B61" s="1">
        <v>1740</v>
      </c>
      <c r="C61" s="1" t="str">
        <f t="shared" si="45"/>
        <v>NOBIL4090S7E/NH2</v>
      </c>
      <c r="D61" s="1" t="str">
        <f>"ODA16N00266-409"</f>
        <v>ODA16N00266-409</v>
      </c>
      <c r="E61" s="1" t="str">
        <f t="shared" si="46"/>
        <v>C12 USPA</v>
      </c>
      <c r="F61" s="1" t="str">
        <f t="shared" si="0"/>
        <v>BONIS SPA</v>
      </c>
      <c r="G61" s="1" t="str">
        <f t="shared" si="1"/>
        <v>STOCK TERRA MP</v>
      </c>
      <c r="H61" s="1" t="str">
        <f t="shared" si="47"/>
        <v>BLK</v>
      </c>
      <c r="J61" s="1">
        <v>1</v>
      </c>
      <c r="K61" s="1">
        <f t="shared" si="30"/>
        <v>12</v>
      </c>
      <c r="L61" s="1" t="str">
        <f t="shared" si="2"/>
        <v>01</v>
      </c>
      <c r="M61" s="1" t="str">
        <f t="shared" si="3"/>
        <v>101</v>
      </c>
      <c r="N61" s="1" t="str">
        <f t="shared" si="42"/>
        <v>009</v>
      </c>
      <c r="O61" s="1" t="str">
        <f t="shared" si="4"/>
        <v>00</v>
      </c>
      <c r="P61" s="1" t="str">
        <f t="shared" si="5"/>
        <v>S</v>
      </c>
      <c r="Q61" s="1" t="str">
        <f t="shared" si="6"/>
        <v>P</v>
      </c>
      <c r="R61" s="1" t="str">
        <f t="shared" si="7"/>
        <v>01</v>
      </c>
      <c r="S61" s="1" t="str">
        <f t="shared" si="8"/>
        <v>03</v>
      </c>
      <c r="T61" s="1" t="str">
        <f t="shared" si="9"/>
        <v>False</v>
      </c>
      <c r="U61" s="1" t="str">
        <f t="shared" si="10"/>
        <v>True</v>
      </c>
      <c r="V61" s="1" t="str">
        <f t="shared" si="43"/>
        <v>U0024309</v>
      </c>
      <c r="W61" s="1">
        <v>1</v>
      </c>
      <c r="Y61" s="1">
        <v>0</v>
      </c>
      <c r="Z61" s="1">
        <v>0</v>
      </c>
      <c r="AB61" s="1" t="str">
        <f t="shared" si="35"/>
        <v>ECOM</v>
      </c>
      <c r="AD61" s="1" t="str">
        <f t="shared" si="36"/>
        <v>4520182</v>
      </c>
      <c r="AE61" s="1" t="str">
        <f t="shared" si="37"/>
        <v>32 Joint Stock Company (Aseco)</v>
      </c>
      <c r="AG61" s="1">
        <v>0</v>
      </c>
      <c r="AH61" s="1">
        <v>0</v>
      </c>
      <c r="AI61" s="1" t="str">
        <f t="shared" si="11"/>
        <v>F06</v>
      </c>
      <c r="AJ61" s="1" t="str">
        <f t="shared" si="26"/>
        <v>MAN</v>
      </c>
      <c r="AK61" s="1" t="str">
        <f t="shared" si="12"/>
        <v>PA</v>
      </c>
      <c r="AP61" s="1" t="str">
        <f t="shared" si="13"/>
        <v>False</v>
      </c>
      <c r="AR61" s="1" t="str">
        <f t="shared" si="44"/>
        <v>NOBIL</v>
      </c>
      <c r="AY61" s="1" t="str">
        <f t="shared" si="14"/>
        <v>PF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 t="str">
        <f t="shared" si="48"/>
        <v>BBER-EVA  NYLON+MICROSUE</v>
      </c>
      <c r="BF61" s="1" t="str">
        <f t="shared" si="15"/>
        <v>Bonis SpA</v>
      </c>
      <c r="BO61" s="1">
        <v>0</v>
      </c>
      <c r="BP61" s="1">
        <v>0</v>
      </c>
      <c r="BQ61" s="1">
        <v>0</v>
      </c>
    </row>
    <row r="62" spans="2:69" x14ac:dyDescent="0.25">
      <c r="B62" s="1">
        <v>1740</v>
      </c>
      <c r="C62" s="1" t="str">
        <f t="shared" si="45"/>
        <v>NOBIL4090S7E/NH2</v>
      </c>
      <c r="D62" s="1" t="str">
        <f>"ODA16N00266-410"</f>
        <v>ODA16N00266-410</v>
      </c>
      <c r="E62" s="1" t="str">
        <f t="shared" si="46"/>
        <v>C12 USPA</v>
      </c>
      <c r="F62" s="1" t="str">
        <f t="shared" si="0"/>
        <v>BONIS SPA</v>
      </c>
      <c r="G62" s="1" t="str">
        <f t="shared" si="1"/>
        <v>STOCK TERRA MP</v>
      </c>
      <c r="H62" s="1" t="str">
        <f t="shared" si="47"/>
        <v>BLK</v>
      </c>
      <c r="J62" s="1">
        <v>1</v>
      </c>
      <c r="K62" s="1">
        <f t="shared" si="30"/>
        <v>12</v>
      </c>
      <c r="L62" s="1" t="str">
        <f t="shared" si="2"/>
        <v>01</v>
      </c>
      <c r="M62" s="1" t="str">
        <f t="shared" si="3"/>
        <v>101</v>
      </c>
      <c r="N62" s="1" t="str">
        <f t="shared" si="42"/>
        <v>009</v>
      </c>
      <c r="O62" s="1" t="str">
        <f t="shared" si="4"/>
        <v>00</v>
      </c>
      <c r="P62" s="1" t="str">
        <f t="shared" si="5"/>
        <v>S</v>
      </c>
      <c r="Q62" s="1" t="str">
        <f t="shared" si="6"/>
        <v>P</v>
      </c>
      <c r="R62" s="1" t="str">
        <f t="shared" si="7"/>
        <v>01</v>
      </c>
      <c r="S62" s="1" t="str">
        <f t="shared" si="8"/>
        <v>03</v>
      </c>
      <c r="T62" s="1" t="str">
        <f t="shared" si="9"/>
        <v>False</v>
      </c>
      <c r="U62" s="1" t="str">
        <f t="shared" si="10"/>
        <v>True</v>
      </c>
      <c r="V62" s="1" t="str">
        <f t="shared" si="43"/>
        <v>U0024309</v>
      </c>
      <c r="W62" s="1">
        <v>1</v>
      </c>
      <c r="Y62" s="1">
        <v>0</v>
      </c>
      <c r="Z62" s="1">
        <v>0</v>
      </c>
      <c r="AB62" s="1" t="str">
        <f t="shared" si="35"/>
        <v>ECOM</v>
      </c>
      <c r="AD62" s="1" t="str">
        <f t="shared" si="36"/>
        <v>4520182</v>
      </c>
      <c r="AE62" s="1" t="str">
        <f t="shared" si="37"/>
        <v>32 Joint Stock Company (Aseco)</v>
      </c>
      <c r="AG62" s="1">
        <v>0</v>
      </c>
      <c r="AH62" s="1">
        <v>0</v>
      </c>
      <c r="AI62" s="1" t="str">
        <f t="shared" si="11"/>
        <v>F06</v>
      </c>
      <c r="AJ62" s="1" t="str">
        <f t="shared" si="26"/>
        <v>MAN</v>
      </c>
      <c r="AK62" s="1" t="str">
        <f t="shared" si="12"/>
        <v>PA</v>
      </c>
      <c r="AP62" s="1" t="str">
        <f t="shared" si="13"/>
        <v>False</v>
      </c>
      <c r="AR62" s="1" t="str">
        <f t="shared" si="44"/>
        <v>NOBIL</v>
      </c>
      <c r="AY62" s="1" t="str">
        <f t="shared" si="14"/>
        <v>PF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 t="str">
        <f t="shared" si="48"/>
        <v>BBER-EVA  NYLON+MICROSUE</v>
      </c>
      <c r="BF62" s="1" t="str">
        <f t="shared" si="15"/>
        <v>Bonis SpA</v>
      </c>
      <c r="BO62" s="1">
        <v>0</v>
      </c>
      <c r="BP62" s="1">
        <v>0</v>
      </c>
      <c r="BQ62" s="1">
        <v>0</v>
      </c>
    </row>
    <row r="63" spans="2:69" x14ac:dyDescent="0.25">
      <c r="B63" s="1">
        <v>1740</v>
      </c>
      <c r="C63" s="1" t="str">
        <f t="shared" si="45"/>
        <v>NOBIL4090S7E/NH2</v>
      </c>
      <c r="D63" s="1" t="str">
        <f>"ODA16N00266-411"</f>
        <v>ODA16N00266-411</v>
      </c>
      <c r="E63" s="1" t="str">
        <f t="shared" si="46"/>
        <v>C12 USPA</v>
      </c>
      <c r="F63" s="1" t="str">
        <f t="shared" si="0"/>
        <v>BONIS SPA</v>
      </c>
      <c r="G63" s="1" t="str">
        <f t="shared" si="1"/>
        <v>STOCK TERRA MP</v>
      </c>
      <c r="H63" s="1" t="str">
        <f t="shared" si="47"/>
        <v>BLK</v>
      </c>
      <c r="J63" s="1">
        <v>1</v>
      </c>
      <c r="K63" s="1">
        <f t="shared" si="30"/>
        <v>12</v>
      </c>
      <c r="L63" s="1" t="str">
        <f t="shared" si="2"/>
        <v>01</v>
      </c>
      <c r="M63" s="1" t="str">
        <f t="shared" si="3"/>
        <v>101</v>
      </c>
      <c r="N63" s="1" t="str">
        <f t="shared" si="42"/>
        <v>009</v>
      </c>
      <c r="O63" s="1" t="str">
        <f t="shared" si="4"/>
        <v>00</v>
      </c>
      <c r="P63" s="1" t="str">
        <f t="shared" si="5"/>
        <v>S</v>
      </c>
      <c r="Q63" s="1" t="str">
        <f t="shared" si="6"/>
        <v>P</v>
      </c>
      <c r="R63" s="1" t="str">
        <f t="shared" si="7"/>
        <v>01</v>
      </c>
      <c r="S63" s="1" t="str">
        <f t="shared" si="8"/>
        <v>03</v>
      </c>
      <c r="T63" s="1" t="str">
        <f t="shared" si="9"/>
        <v>False</v>
      </c>
      <c r="U63" s="1" t="str">
        <f t="shared" si="10"/>
        <v>True</v>
      </c>
      <c r="V63" s="1" t="str">
        <f t="shared" si="43"/>
        <v>U0024309</v>
      </c>
      <c r="W63" s="1">
        <v>1</v>
      </c>
      <c r="Y63" s="1">
        <v>0</v>
      </c>
      <c r="Z63" s="1">
        <v>0</v>
      </c>
      <c r="AB63" s="1" t="str">
        <f t="shared" si="35"/>
        <v>ECOM</v>
      </c>
      <c r="AD63" s="1" t="str">
        <f t="shared" si="36"/>
        <v>4520182</v>
      </c>
      <c r="AE63" s="1" t="str">
        <f t="shared" si="37"/>
        <v>32 Joint Stock Company (Aseco)</v>
      </c>
      <c r="AG63" s="1">
        <v>0</v>
      </c>
      <c r="AH63" s="1">
        <v>0</v>
      </c>
      <c r="AI63" s="1" t="str">
        <f t="shared" si="11"/>
        <v>F06</v>
      </c>
      <c r="AJ63" s="1" t="str">
        <f t="shared" si="26"/>
        <v>MAN</v>
      </c>
      <c r="AK63" s="1" t="str">
        <f t="shared" si="12"/>
        <v>PA</v>
      </c>
      <c r="AP63" s="1" t="str">
        <f t="shared" si="13"/>
        <v>False</v>
      </c>
      <c r="AR63" s="1" t="str">
        <f t="shared" si="44"/>
        <v>NOBIL</v>
      </c>
      <c r="AY63" s="1" t="str">
        <f t="shared" si="14"/>
        <v>PF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 t="str">
        <f t="shared" si="48"/>
        <v>BBER-EVA  NYLON+MICROSUE</v>
      </c>
      <c r="BF63" s="1" t="str">
        <f t="shared" si="15"/>
        <v>Bonis SpA</v>
      </c>
      <c r="BO63" s="1">
        <v>0</v>
      </c>
      <c r="BP63" s="1">
        <v>0</v>
      </c>
      <c r="BQ63" s="1">
        <v>0</v>
      </c>
    </row>
    <row r="64" spans="2:69" x14ac:dyDescent="0.25">
      <c r="B64" s="1">
        <v>1740</v>
      </c>
      <c r="C64" s="1" t="str">
        <f t="shared" si="45"/>
        <v>NOBIL4090S7E/NH2</v>
      </c>
      <c r="D64" s="1" t="str">
        <f>"ODA16N00266-419"</f>
        <v>ODA16N00266-419</v>
      </c>
      <c r="E64" s="1" t="str">
        <f t="shared" si="46"/>
        <v>C12 USPA</v>
      </c>
      <c r="F64" s="1" t="str">
        <f t="shared" si="0"/>
        <v>BONIS SPA</v>
      </c>
      <c r="G64" s="1" t="str">
        <f t="shared" si="1"/>
        <v>STOCK TERRA MP</v>
      </c>
      <c r="H64" s="1" t="str">
        <f>"DKBL"</f>
        <v>DKBL</v>
      </c>
      <c r="J64" s="1">
        <v>1</v>
      </c>
      <c r="K64" s="1">
        <f t="shared" si="30"/>
        <v>12</v>
      </c>
      <c r="L64" s="1" t="str">
        <f t="shared" si="2"/>
        <v>01</v>
      </c>
      <c r="M64" s="1" t="str">
        <f t="shared" si="3"/>
        <v>101</v>
      </c>
      <c r="N64" s="1" t="str">
        <f t="shared" si="42"/>
        <v>009</v>
      </c>
      <c r="O64" s="1" t="str">
        <f t="shared" si="4"/>
        <v>00</v>
      </c>
      <c r="P64" s="1" t="str">
        <f t="shared" si="5"/>
        <v>S</v>
      </c>
      <c r="Q64" s="1" t="str">
        <f t="shared" si="6"/>
        <v>P</v>
      </c>
      <c r="R64" s="1" t="str">
        <f t="shared" si="7"/>
        <v>01</v>
      </c>
      <c r="S64" s="1" t="str">
        <f t="shared" si="8"/>
        <v>03</v>
      </c>
      <c r="T64" s="1" t="str">
        <f t="shared" si="9"/>
        <v>False</v>
      </c>
      <c r="U64" s="1" t="str">
        <f t="shared" si="10"/>
        <v>True</v>
      </c>
      <c r="V64" s="1" t="str">
        <f t="shared" si="43"/>
        <v>U0024309</v>
      </c>
      <c r="W64" s="1">
        <v>1</v>
      </c>
      <c r="Y64" s="1">
        <v>0</v>
      </c>
      <c r="Z64" s="1">
        <v>0</v>
      </c>
      <c r="AB64" s="1" t="str">
        <f t="shared" si="35"/>
        <v>ECOM</v>
      </c>
      <c r="AD64" s="1" t="str">
        <f t="shared" si="36"/>
        <v>4520182</v>
      </c>
      <c r="AE64" s="1" t="str">
        <f t="shared" si="37"/>
        <v>32 Joint Stock Company (Aseco)</v>
      </c>
      <c r="AG64" s="1">
        <v>0</v>
      </c>
      <c r="AH64" s="1">
        <v>0</v>
      </c>
      <c r="AI64" s="1" t="str">
        <f t="shared" si="11"/>
        <v>F06</v>
      </c>
      <c r="AJ64" s="1" t="str">
        <f t="shared" si="26"/>
        <v>MAN</v>
      </c>
      <c r="AK64" s="1" t="str">
        <f t="shared" si="12"/>
        <v>PA</v>
      </c>
      <c r="AP64" s="1" t="str">
        <f t="shared" si="13"/>
        <v>False</v>
      </c>
      <c r="AR64" s="1" t="str">
        <f t="shared" si="44"/>
        <v>NOBIL</v>
      </c>
      <c r="AY64" s="1" t="str">
        <f t="shared" si="14"/>
        <v>PF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 t="str">
        <f t="shared" si="48"/>
        <v>BBER-EVA  NYLON+MICROSUE</v>
      </c>
      <c r="BF64" s="1" t="str">
        <f t="shared" si="15"/>
        <v>Bonis SpA</v>
      </c>
      <c r="BO64" s="1">
        <v>0</v>
      </c>
      <c r="BP64" s="1">
        <v>0</v>
      </c>
      <c r="BQ64" s="1">
        <v>0</v>
      </c>
    </row>
    <row r="65" spans="2:69" x14ac:dyDescent="0.25">
      <c r="B65" s="1">
        <v>1740</v>
      </c>
      <c r="C65" s="1" t="str">
        <f t="shared" si="45"/>
        <v>NOBIL4090S7E/NH2</v>
      </c>
      <c r="D65" s="1" t="str">
        <f>"ODA16N00266-420"</f>
        <v>ODA16N00266-420</v>
      </c>
      <c r="E65" s="1" t="str">
        <f t="shared" si="46"/>
        <v>C12 USPA</v>
      </c>
      <c r="F65" s="1" t="str">
        <f t="shared" si="0"/>
        <v>BONIS SPA</v>
      </c>
      <c r="G65" s="1" t="str">
        <f t="shared" si="1"/>
        <v>STOCK TERRA MP</v>
      </c>
      <c r="H65" s="1" t="str">
        <f>"DKBL"</f>
        <v>DKBL</v>
      </c>
      <c r="J65" s="1">
        <v>1</v>
      </c>
      <c r="K65" s="1">
        <f t="shared" si="30"/>
        <v>12</v>
      </c>
      <c r="L65" s="1" t="str">
        <f t="shared" si="2"/>
        <v>01</v>
      </c>
      <c r="M65" s="1" t="str">
        <f t="shared" si="3"/>
        <v>101</v>
      </c>
      <c r="N65" s="1" t="str">
        <f t="shared" si="42"/>
        <v>009</v>
      </c>
      <c r="O65" s="1" t="str">
        <f t="shared" si="4"/>
        <v>00</v>
      </c>
      <c r="P65" s="1" t="str">
        <f t="shared" si="5"/>
        <v>S</v>
      </c>
      <c r="Q65" s="1" t="str">
        <f t="shared" si="6"/>
        <v>P</v>
      </c>
      <c r="R65" s="1" t="str">
        <f t="shared" si="7"/>
        <v>01</v>
      </c>
      <c r="S65" s="1" t="str">
        <f t="shared" si="8"/>
        <v>03</v>
      </c>
      <c r="T65" s="1" t="str">
        <f t="shared" si="9"/>
        <v>False</v>
      </c>
      <c r="U65" s="1" t="str">
        <f t="shared" si="10"/>
        <v>True</v>
      </c>
      <c r="V65" s="1" t="str">
        <f t="shared" si="43"/>
        <v>U0024309</v>
      </c>
      <c r="W65" s="1">
        <v>1</v>
      </c>
      <c r="Y65" s="1">
        <v>0</v>
      </c>
      <c r="Z65" s="1">
        <v>0</v>
      </c>
      <c r="AB65" s="1" t="str">
        <f t="shared" si="35"/>
        <v>ECOM</v>
      </c>
      <c r="AD65" s="1" t="str">
        <f t="shared" si="36"/>
        <v>4520182</v>
      </c>
      <c r="AE65" s="1" t="str">
        <f t="shared" si="37"/>
        <v>32 Joint Stock Company (Aseco)</v>
      </c>
      <c r="AG65" s="1">
        <v>0</v>
      </c>
      <c r="AH65" s="1">
        <v>0</v>
      </c>
      <c r="AI65" s="1" t="str">
        <f t="shared" si="11"/>
        <v>F06</v>
      </c>
      <c r="AJ65" s="1" t="str">
        <f t="shared" si="26"/>
        <v>MAN</v>
      </c>
      <c r="AK65" s="1" t="str">
        <f t="shared" si="12"/>
        <v>PA</v>
      </c>
      <c r="AP65" s="1" t="str">
        <f t="shared" si="13"/>
        <v>False</v>
      </c>
      <c r="AR65" s="1" t="str">
        <f t="shared" si="44"/>
        <v>NOBIL</v>
      </c>
      <c r="AY65" s="1" t="str">
        <f t="shared" si="14"/>
        <v>PF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 t="str">
        <f t="shared" si="48"/>
        <v>BBER-EVA  NYLON+MICROSUE</v>
      </c>
      <c r="BF65" s="1" t="str">
        <f t="shared" si="15"/>
        <v>Bonis SpA</v>
      </c>
      <c r="BO65" s="1">
        <v>0</v>
      </c>
      <c r="BP65" s="1">
        <v>0</v>
      </c>
      <c r="BQ65" s="1">
        <v>0</v>
      </c>
    </row>
    <row r="66" spans="2:69" x14ac:dyDescent="0.25">
      <c r="B66" s="1">
        <v>1740</v>
      </c>
      <c r="C66" s="1" t="str">
        <f t="shared" si="45"/>
        <v>NOBIL4090S7E/NH2</v>
      </c>
      <c r="D66" s="1" t="str">
        <f>"ODA16N00266-425"</f>
        <v>ODA16N00266-425</v>
      </c>
      <c r="E66" s="1" t="str">
        <f t="shared" si="46"/>
        <v>C12 USPA</v>
      </c>
      <c r="F66" s="1" t="str">
        <f t="shared" ref="F66:F129" si="49">"BONIS SPA"</f>
        <v>BONIS SPA</v>
      </c>
      <c r="G66" s="1" t="str">
        <f t="shared" ref="G66:G129" si="50">"STOCK TERRA MP"</f>
        <v>STOCK TERRA MP</v>
      </c>
      <c r="H66" s="1" t="str">
        <f>"DKBL"</f>
        <v>DKBL</v>
      </c>
      <c r="J66" s="1">
        <v>1</v>
      </c>
      <c r="K66" s="1">
        <f t="shared" si="30"/>
        <v>12</v>
      </c>
      <c r="L66" s="1" t="str">
        <f t="shared" ref="L66:L129" si="51">"01"</f>
        <v>01</v>
      </c>
      <c r="M66" s="1" t="str">
        <f t="shared" ref="M66:M129" si="52">"101"</f>
        <v>101</v>
      </c>
      <c r="N66" s="1" t="str">
        <f t="shared" si="42"/>
        <v>009</v>
      </c>
      <c r="O66" s="1" t="str">
        <f t="shared" ref="O66:O129" si="53">"00"</f>
        <v>00</v>
      </c>
      <c r="P66" s="1" t="str">
        <f t="shared" ref="P66:P129" si="54">"S"</f>
        <v>S</v>
      </c>
      <c r="Q66" s="1" t="str">
        <f t="shared" ref="Q66:Q129" si="55">"P"</f>
        <v>P</v>
      </c>
      <c r="R66" s="1" t="str">
        <f t="shared" ref="R66:R129" si="56">"01"</f>
        <v>01</v>
      </c>
      <c r="S66" s="1" t="str">
        <f t="shared" ref="S66:S129" si="57">"03"</f>
        <v>03</v>
      </c>
      <c r="T66" s="1" t="str">
        <f t="shared" ref="T66:T129" si="58">"False"</f>
        <v>False</v>
      </c>
      <c r="U66" s="1" t="str">
        <f t="shared" ref="U66:U129" si="59">"True"</f>
        <v>True</v>
      </c>
      <c r="V66" s="1" t="str">
        <f t="shared" si="43"/>
        <v>U0024309</v>
      </c>
      <c r="W66" s="1">
        <v>1</v>
      </c>
      <c r="Y66" s="1">
        <v>0</v>
      </c>
      <c r="Z66" s="1">
        <v>0</v>
      </c>
      <c r="AB66" s="1" t="str">
        <f t="shared" si="35"/>
        <v>ECOM</v>
      </c>
      <c r="AD66" s="1" t="str">
        <f t="shared" si="36"/>
        <v>4520182</v>
      </c>
      <c r="AE66" s="1" t="str">
        <f t="shared" si="37"/>
        <v>32 Joint Stock Company (Aseco)</v>
      </c>
      <c r="AG66" s="1">
        <v>0</v>
      </c>
      <c r="AH66" s="1">
        <v>0</v>
      </c>
      <c r="AI66" s="1" t="str">
        <f t="shared" ref="AI66:AI129" si="60">"F06"</f>
        <v>F06</v>
      </c>
      <c r="AJ66" s="1" t="str">
        <f t="shared" si="26"/>
        <v>MAN</v>
      </c>
      <c r="AK66" s="1" t="str">
        <f t="shared" ref="AK66:AK129" si="61">"PA"</f>
        <v>PA</v>
      </c>
      <c r="AP66" s="1" t="str">
        <f t="shared" ref="AP66:AP129" si="62">"False"</f>
        <v>False</v>
      </c>
      <c r="AR66" s="1" t="str">
        <f t="shared" si="44"/>
        <v>NOBIL</v>
      </c>
      <c r="AY66" s="1" t="str">
        <f t="shared" ref="AY66:AY129" si="63">"PF"</f>
        <v>PF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 t="str">
        <f t="shared" si="48"/>
        <v>BBER-EVA  NYLON+MICROSUE</v>
      </c>
      <c r="BF66" s="1" t="str">
        <f t="shared" ref="BF66:BF129" si="64">"Bonis SpA"</f>
        <v>Bonis SpA</v>
      </c>
      <c r="BO66" s="1">
        <v>0</v>
      </c>
      <c r="BP66" s="1">
        <v>0</v>
      </c>
      <c r="BQ66" s="1">
        <v>0</v>
      </c>
    </row>
    <row r="67" spans="2:69" x14ac:dyDescent="0.25">
      <c r="B67" s="1">
        <v>1740</v>
      </c>
      <c r="C67" s="1" t="str">
        <f t="shared" si="45"/>
        <v>NOBIL4090S7E/NH2</v>
      </c>
      <c r="D67" s="1" t="str">
        <f>"ODA16N00266-426"</f>
        <v>ODA16N00266-426</v>
      </c>
      <c r="E67" s="1" t="str">
        <f t="shared" si="46"/>
        <v>C12 USPA</v>
      </c>
      <c r="F67" s="1" t="str">
        <f t="shared" si="49"/>
        <v>BONIS SPA</v>
      </c>
      <c r="G67" s="1" t="str">
        <f t="shared" si="50"/>
        <v>STOCK TERRA MP</v>
      </c>
      <c r="H67" s="1" t="str">
        <f>"DKBL"</f>
        <v>DKBL</v>
      </c>
      <c r="J67" s="1">
        <v>1</v>
      </c>
      <c r="K67" s="1">
        <f t="shared" si="30"/>
        <v>12</v>
      </c>
      <c r="L67" s="1" t="str">
        <f t="shared" si="51"/>
        <v>01</v>
      </c>
      <c r="M67" s="1" t="str">
        <f t="shared" si="52"/>
        <v>101</v>
      </c>
      <c r="N67" s="1" t="str">
        <f t="shared" si="42"/>
        <v>009</v>
      </c>
      <c r="O67" s="1" t="str">
        <f t="shared" si="53"/>
        <v>00</v>
      </c>
      <c r="P67" s="1" t="str">
        <f t="shared" si="54"/>
        <v>S</v>
      </c>
      <c r="Q67" s="1" t="str">
        <f t="shared" si="55"/>
        <v>P</v>
      </c>
      <c r="R67" s="1" t="str">
        <f t="shared" si="56"/>
        <v>01</v>
      </c>
      <c r="S67" s="1" t="str">
        <f t="shared" si="57"/>
        <v>03</v>
      </c>
      <c r="T67" s="1" t="str">
        <f t="shared" si="58"/>
        <v>False</v>
      </c>
      <c r="U67" s="1" t="str">
        <f t="shared" si="59"/>
        <v>True</v>
      </c>
      <c r="V67" s="1" t="str">
        <f t="shared" si="43"/>
        <v>U0024309</v>
      </c>
      <c r="W67" s="1">
        <v>1</v>
      </c>
      <c r="Y67" s="1">
        <v>0</v>
      </c>
      <c r="Z67" s="1">
        <v>0</v>
      </c>
      <c r="AB67" s="1" t="str">
        <f t="shared" si="35"/>
        <v>ECOM</v>
      </c>
      <c r="AD67" s="1" t="str">
        <f t="shared" si="36"/>
        <v>4520182</v>
      </c>
      <c r="AE67" s="1" t="str">
        <f t="shared" si="37"/>
        <v>32 Joint Stock Company (Aseco)</v>
      </c>
      <c r="AG67" s="1">
        <v>0</v>
      </c>
      <c r="AH67" s="1">
        <v>0</v>
      </c>
      <c r="AI67" s="1" t="str">
        <f t="shared" si="60"/>
        <v>F06</v>
      </c>
      <c r="AJ67" s="1" t="str">
        <f t="shared" si="26"/>
        <v>MAN</v>
      </c>
      <c r="AK67" s="1" t="str">
        <f t="shared" si="61"/>
        <v>PA</v>
      </c>
      <c r="AP67" s="1" t="str">
        <f t="shared" si="62"/>
        <v>False</v>
      </c>
      <c r="AR67" s="1" t="str">
        <f t="shared" si="44"/>
        <v>NOBIL</v>
      </c>
      <c r="AY67" s="1" t="str">
        <f t="shared" si="63"/>
        <v>PF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 t="str">
        <f t="shared" si="48"/>
        <v>BBER-EVA  NYLON+MICROSUE</v>
      </c>
      <c r="BF67" s="1" t="str">
        <f t="shared" si="64"/>
        <v>Bonis SpA</v>
      </c>
      <c r="BO67" s="1">
        <v>0</v>
      </c>
      <c r="BP67" s="1">
        <v>0</v>
      </c>
      <c r="BQ67" s="1">
        <v>0</v>
      </c>
    </row>
    <row r="68" spans="2:69" x14ac:dyDescent="0.25">
      <c r="B68" s="1">
        <v>1742</v>
      </c>
      <c r="C68" s="1" t="str">
        <f>"TAREW4086S7/MY1"</f>
        <v>TAREW4086S7/MY1</v>
      </c>
      <c r="D68" s="1" t="str">
        <f>"ODA16N00275-049"</f>
        <v>ODA16N00275-049</v>
      </c>
      <c r="E68" s="1" t="str">
        <f>"D12 USPA"</f>
        <v>D12 USPA</v>
      </c>
      <c r="F68" s="1" t="str">
        <f t="shared" si="49"/>
        <v>BONIS SPA</v>
      </c>
      <c r="G68" s="1" t="str">
        <f t="shared" si="50"/>
        <v>STOCK TERRA MP</v>
      </c>
      <c r="H68" s="1" t="str">
        <f>"WHI"</f>
        <v>WHI</v>
      </c>
      <c r="J68" s="1">
        <v>1</v>
      </c>
      <c r="K68" s="1">
        <f t="shared" si="30"/>
        <v>12</v>
      </c>
      <c r="L68" s="1" t="str">
        <f t="shared" si="51"/>
        <v>01</v>
      </c>
      <c r="M68" s="1" t="str">
        <f t="shared" si="52"/>
        <v>101</v>
      </c>
      <c r="N68" s="1" t="str">
        <f>"011"</f>
        <v>011</v>
      </c>
      <c r="O68" s="1" t="str">
        <f t="shared" si="53"/>
        <v>00</v>
      </c>
      <c r="P68" s="1" t="str">
        <f t="shared" si="54"/>
        <v>S</v>
      </c>
      <c r="Q68" s="1" t="str">
        <f t="shared" si="55"/>
        <v>P</v>
      </c>
      <c r="R68" s="1" t="str">
        <f t="shared" si="56"/>
        <v>01</v>
      </c>
      <c r="S68" s="1" t="str">
        <f t="shared" si="57"/>
        <v>03</v>
      </c>
      <c r="T68" s="1" t="str">
        <f t="shared" si="58"/>
        <v>False</v>
      </c>
      <c r="U68" s="1" t="str">
        <f t="shared" si="59"/>
        <v>True</v>
      </c>
      <c r="V68" s="1" t="str">
        <f>"U0031314"</f>
        <v>U0031314</v>
      </c>
      <c r="W68" s="1">
        <v>1</v>
      </c>
      <c r="Y68" s="1">
        <v>0</v>
      </c>
      <c r="Z68" s="1">
        <v>0</v>
      </c>
      <c r="AD68" s="1" t="str">
        <f>"4520243"</f>
        <v>4520243</v>
      </c>
      <c r="AE68" s="1" t="str">
        <f>"XIAMEN UNIBEST IMP. EXP. CO."</f>
        <v>XIAMEN UNIBEST IMP. EXP. CO.</v>
      </c>
      <c r="AG68" s="1">
        <v>0</v>
      </c>
      <c r="AH68" s="1">
        <v>0</v>
      </c>
      <c r="AI68" s="1" t="str">
        <f t="shared" si="60"/>
        <v>F06</v>
      </c>
      <c r="AJ68" s="1" t="str">
        <f>"WOMAN"</f>
        <v>WOMAN</v>
      </c>
      <c r="AK68" s="1" t="str">
        <f t="shared" si="61"/>
        <v>PA</v>
      </c>
      <c r="AP68" s="1" t="str">
        <f t="shared" si="62"/>
        <v>False</v>
      </c>
      <c r="AR68" s="1" t="str">
        <f>"TAREW"</f>
        <v>TAREW</v>
      </c>
      <c r="AY68" s="1" t="str">
        <f t="shared" si="63"/>
        <v>PF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 t="str">
        <f>"RUBBER MESH +SYNTHETIC"</f>
        <v>RUBBER MESH +SYNTHETIC</v>
      </c>
      <c r="BF68" s="1" t="str">
        <f t="shared" si="64"/>
        <v>Bonis SpA</v>
      </c>
      <c r="BO68" s="1">
        <v>0</v>
      </c>
      <c r="BP68" s="1">
        <v>0</v>
      </c>
      <c r="BQ68" s="1">
        <v>0</v>
      </c>
    </row>
    <row r="69" spans="2:69" x14ac:dyDescent="0.25">
      <c r="B69" s="1">
        <v>1742</v>
      </c>
      <c r="C69" s="1" t="str">
        <f>"TAREW4086S7/MY1"</f>
        <v>TAREW4086S7/MY1</v>
      </c>
      <c r="D69" s="1" t="str">
        <f>"ODA16N00275-068"</f>
        <v>ODA16N00275-068</v>
      </c>
      <c r="E69" s="1" t="str">
        <f>"D12 USPA"</f>
        <v>D12 USPA</v>
      </c>
      <c r="F69" s="1" t="str">
        <f t="shared" si="49"/>
        <v>BONIS SPA</v>
      </c>
      <c r="G69" s="1" t="str">
        <f t="shared" si="50"/>
        <v>STOCK TERRA MP</v>
      </c>
      <c r="H69" s="1" t="str">
        <f>"WHI"</f>
        <v>WHI</v>
      </c>
      <c r="J69" s="1">
        <v>1</v>
      </c>
      <c r="K69" s="1">
        <f t="shared" si="30"/>
        <v>12</v>
      </c>
      <c r="L69" s="1" t="str">
        <f t="shared" si="51"/>
        <v>01</v>
      </c>
      <c r="M69" s="1" t="str">
        <f t="shared" si="52"/>
        <v>101</v>
      </c>
      <c r="N69" s="1" t="str">
        <f>"011"</f>
        <v>011</v>
      </c>
      <c r="O69" s="1" t="str">
        <f t="shared" si="53"/>
        <v>00</v>
      </c>
      <c r="P69" s="1" t="str">
        <f t="shared" si="54"/>
        <v>S</v>
      </c>
      <c r="Q69" s="1" t="str">
        <f t="shared" si="55"/>
        <v>P</v>
      </c>
      <c r="R69" s="1" t="str">
        <f t="shared" si="56"/>
        <v>01</v>
      </c>
      <c r="S69" s="1" t="str">
        <f t="shared" si="57"/>
        <v>03</v>
      </c>
      <c r="T69" s="1" t="str">
        <f t="shared" si="58"/>
        <v>False</v>
      </c>
      <c r="U69" s="1" t="str">
        <f t="shared" si="59"/>
        <v>True</v>
      </c>
      <c r="V69" s="1" t="str">
        <f>"U0031314"</f>
        <v>U0031314</v>
      </c>
      <c r="W69" s="1">
        <v>1</v>
      </c>
      <c r="Y69" s="1">
        <v>0</v>
      </c>
      <c r="Z69" s="1">
        <v>0</v>
      </c>
      <c r="AD69" s="1" t="str">
        <f>"4520243"</f>
        <v>4520243</v>
      </c>
      <c r="AE69" s="1" t="str">
        <f>"XIAMEN UNIBEST IMP. EXP. CO."</f>
        <v>XIAMEN UNIBEST IMP. EXP. CO.</v>
      </c>
      <c r="AG69" s="1">
        <v>0</v>
      </c>
      <c r="AH69" s="1">
        <v>0</v>
      </c>
      <c r="AI69" s="1" t="str">
        <f t="shared" si="60"/>
        <v>F06</v>
      </c>
      <c r="AJ69" s="1" t="str">
        <f>"WOMAN"</f>
        <v>WOMAN</v>
      </c>
      <c r="AK69" s="1" t="str">
        <f t="shared" si="61"/>
        <v>PA</v>
      </c>
      <c r="AP69" s="1" t="str">
        <f t="shared" si="62"/>
        <v>False</v>
      </c>
      <c r="AR69" s="1" t="str">
        <f>"TAREW"</f>
        <v>TAREW</v>
      </c>
      <c r="AY69" s="1" t="str">
        <f t="shared" si="63"/>
        <v>PF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 t="str">
        <f>"RUBBER MESH +SYNTHETIC"</f>
        <v>RUBBER MESH +SYNTHETIC</v>
      </c>
      <c r="BF69" s="1" t="str">
        <f t="shared" si="64"/>
        <v>Bonis SpA</v>
      </c>
      <c r="BO69" s="1">
        <v>0</v>
      </c>
      <c r="BP69" s="1">
        <v>0</v>
      </c>
      <c r="BQ69" s="1">
        <v>0</v>
      </c>
    </row>
    <row r="70" spans="2:69" x14ac:dyDescent="0.25">
      <c r="B70" s="1">
        <v>1742</v>
      </c>
      <c r="C70" s="1" t="str">
        <f>"TAREW4086S7/MY1"</f>
        <v>TAREW4086S7/MY1</v>
      </c>
      <c r="D70" s="1" t="str">
        <f>"ODA16N00275-237"</f>
        <v>ODA16N00275-237</v>
      </c>
      <c r="E70" s="1" t="str">
        <f>"R12 USPA"</f>
        <v>R12 USPA</v>
      </c>
      <c r="F70" s="1" t="str">
        <f t="shared" si="49"/>
        <v>BONIS SPA</v>
      </c>
      <c r="G70" s="1" t="str">
        <f t="shared" si="50"/>
        <v>STOCK TERRA MP</v>
      </c>
      <c r="H70" s="1" t="str">
        <f>"BLK"</f>
        <v>BLK</v>
      </c>
      <c r="J70" s="1">
        <v>1</v>
      </c>
      <c r="K70" s="1">
        <f t="shared" si="30"/>
        <v>12</v>
      </c>
      <c r="L70" s="1" t="str">
        <f t="shared" si="51"/>
        <v>01</v>
      </c>
      <c r="M70" s="1" t="str">
        <f t="shared" si="52"/>
        <v>101</v>
      </c>
      <c r="N70" s="1" t="str">
        <f>"011"</f>
        <v>011</v>
      </c>
      <c r="O70" s="1" t="str">
        <f t="shared" si="53"/>
        <v>00</v>
      </c>
      <c r="P70" s="1" t="str">
        <f t="shared" si="54"/>
        <v>S</v>
      </c>
      <c r="Q70" s="1" t="str">
        <f t="shared" si="55"/>
        <v>P</v>
      </c>
      <c r="R70" s="1" t="str">
        <f t="shared" si="56"/>
        <v>01</v>
      </c>
      <c r="S70" s="1" t="str">
        <f t="shared" si="57"/>
        <v>03</v>
      </c>
      <c r="T70" s="1" t="str">
        <f t="shared" si="58"/>
        <v>False</v>
      </c>
      <c r="U70" s="1" t="str">
        <f t="shared" si="59"/>
        <v>True</v>
      </c>
      <c r="V70" s="1" t="str">
        <f>"U0031314"</f>
        <v>U0031314</v>
      </c>
      <c r="W70" s="1">
        <v>1</v>
      </c>
      <c r="Y70" s="1">
        <v>0</v>
      </c>
      <c r="Z70" s="1">
        <v>0</v>
      </c>
      <c r="AD70" s="1" t="str">
        <f>"4520243"</f>
        <v>4520243</v>
      </c>
      <c r="AE70" s="1" t="str">
        <f>"XIAMEN UNIBEST IMP. EXP. CO."</f>
        <v>XIAMEN UNIBEST IMP. EXP. CO.</v>
      </c>
      <c r="AG70" s="1">
        <v>0</v>
      </c>
      <c r="AH70" s="1">
        <v>0</v>
      </c>
      <c r="AI70" s="1" t="str">
        <f t="shared" si="60"/>
        <v>F06</v>
      </c>
      <c r="AJ70" s="1" t="str">
        <f>"WOMAN"</f>
        <v>WOMAN</v>
      </c>
      <c r="AK70" s="1" t="str">
        <f t="shared" si="61"/>
        <v>PA</v>
      </c>
      <c r="AP70" s="1" t="str">
        <f t="shared" si="62"/>
        <v>False</v>
      </c>
      <c r="AR70" s="1" t="str">
        <f>"TAREW"</f>
        <v>TAREW</v>
      </c>
      <c r="AY70" s="1" t="str">
        <f t="shared" si="63"/>
        <v>PF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 t="str">
        <f>"RUBBER MESH +SYNTHETIC"</f>
        <v>RUBBER MESH +SYNTHETIC</v>
      </c>
      <c r="BF70" s="1" t="str">
        <f t="shared" si="64"/>
        <v>Bonis SpA</v>
      </c>
      <c r="BO70" s="1">
        <v>0</v>
      </c>
      <c r="BP70" s="1">
        <v>0</v>
      </c>
      <c r="BQ70" s="1">
        <v>0</v>
      </c>
    </row>
    <row r="71" spans="2:69" x14ac:dyDescent="0.25">
      <c r="B71" s="1">
        <v>1733</v>
      </c>
      <c r="C71" s="1" t="str">
        <f>"CHANT4221S5/Y1B"</f>
        <v>CHANT4221S5/Y1B</v>
      </c>
      <c r="D71" s="1" t="str">
        <f>"ODA16N00288-344"</f>
        <v>ODA16N00288-344</v>
      </c>
      <c r="E71" s="1" t="str">
        <f>"R12 USPA"</f>
        <v>R12 USPA</v>
      </c>
      <c r="F71" s="1" t="str">
        <f t="shared" si="49"/>
        <v>BONIS SPA</v>
      </c>
      <c r="G71" s="1" t="str">
        <f t="shared" si="50"/>
        <v>STOCK TERRA MP</v>
      </c>
      <c r="H71" s="1" t="str">
        <f>"RED"</f>
        <v>RED</v>
      </c>
      <c r="J71" s="1">
        <v>1</v>
      </c>
      <c r="K71" s="1">
        <f t="shared" si="30"/>
        <v>12</v>
      </c>
      <c r="L71" s="1" t="str">
        <f t="shared" si="51"/>
        <v>01</v>
      </c>
      <c r="M71" s="1" t="str">
        <f t="shared" si="52"/>
        <v>101</v>
      </c>
      <c r="N71" s="1" t="str">
        <f>"002"</f>
        <v>002</v>
      </c>
      <c r="O71" s="1" t="str">
        <f t="shared" si="53"/>
        <v>00</v>
      </c>
      <c r="P71" s="1" t="str">
        <f t="shared" si="54"/>
        <v>S</v>
      </c>
      <c r="Q71" s="1" t="str">
        <f t="shared" si="55"/>
        <v>P</v>
      </c>
      <c r="R71" s="1" t="str">
        <f t="shared" si="56"/>
        <v>01</v>
      </c>
      <c r="S71" s="1" t="str">
        <f t="shared" si="57"/>
        <v>03</v>
      </c>
      <c r="T71" s="1" t="str">
        <f t="shared" si="58"/>
        <v>False</v>
      </c>
      <c r="U71" s="1" t="str">
        <f t="shared" si="59"/>
        <v>True</v>
      </c>
      <c r="V71" s="1" t="str">
        <f>"U0031247"</f>
        <v>U0031247</v>
      </c>
      <c r="W71" s="1">
        <v>1</v>
      </c>
      <c r="Y71" s="1">
        <v>0</v>
      </c>
      <c r="Z71" s="1">
        <v>0</v>
      </c>
      <c r="AD71" s="1" t="str">
        <f t="shared" ref="AD71:AD85" si="65">"4520271"</f>
        <v>4520271</v>
      </c>
      <c r="AE71" s="1" t="str">
        <f t="shared" ref="AE71:AE85" si="66">"FUZHOU KINGDOM SHOES CO., LTD"</f>
        <v>FUZHOU KINGDOM SHOES CO., LTD</v>
      </c>
      <c r="AG71" s="1">
        <v>0</v>
      </c>
      <c r="AH71" s="1">
        <v>0</v>
      </c>
      <c r="AI71" s="1" t="str">
        <f t="shared" si="60"/>
        <v>F06</v>
      </c>
      <c r="AJ71" s="1" t="str">
        <f>"WOMAN"</f>
        <v>WOMAN</v>
      </c>
      <c r="AK71" s="1" t="str">
        <f t="shared" si="61"/>
        <v>PA</v>
      </c>
      <c r="AP71" s="1" t="str">
        <f t="shared" si="62"/>
        <v>False</v>
      </c>
      <c r="AR71" s="1" t="str">
        <f>"CHANT"</f>
        <v>CHANT</v>
      </c>
      <c r="AY71" s="1" t="str">
        <f t="shared" si="63"/>
        <v>PF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 t="str">
        <f>"A+TOMAIA PU"</f>
        <v>A+TOMAIA PU</v>
      </c>
      <c r="BF71" s="1" t="str">
        <f t="shared" si="64"/>
        <v>Bonis SpA</v>
      </c>
      <c r="BO71" s="1">
        <v>0</v>
      </c>
      <c r="BP71" s="1">
        <v>0</v>
      </c>
      <c r="BQ71" s="1">
        <v>0</v>
      </c>
    </row>
    <row r="72" spans="2:69" x14ac:dyDescent="0.25">
      <c r="B72" s="1">
        <v>1734</v>
      </c>
      <c r="C72" s="1" t="str">
        <f>"EGADI4229S7/Y1"</f>
        <v>EGADI4229S7/Y1</v>
      </c>
      <c r="D72" s="1" t="str">
        <f>"ODA16N00291-001"</f>
        <v>ODA16N00291-001</v>
      </c>
      <c r="E72" s="1" t="str">
        <f>"A8 USPA"</f>
        <v>A8 USPA</v>
      </c>
      <c r="F72" s="1" t="str">
        <f t="shared" si="49"/>
        <v>BONIS SPA</v>
      </c>
      <c r="G72" s="1" t="str">
        <f t="shared" si="50"/>
        <v>STOCK TERRA MP</v>
      </c>
      <c r="H72" s="1" t="str">
        <f>"WHI"</f>
        <v>WHI</v>
      </c>
      <c r="J72" s="1">
        <v>1</v>
      </c>
      <c r="K72" s="1">
        <f t="shared" ref="K72:K74" si="67">8*J72</f>
        <v>8</v>
      </c>
      <c r="L72" s="1" t="str">
        <f t="shared" si="51"/>
        <v>01</v>
      </c>
      <c r="M72" s="1" t="str">
        <f t="shared" si="52"/>
        <v>101</v>
      </c>
      <c r="N72" s="1" t="str">
        <f>"003"</f>
        <v>003</v>
      </c>
      <c r="O72" s="1" t="str">
        <f t="shared" si="53"/>
        <v>00</v>
      </c>
      <c r="P72" s="1" t="str">
        <f t="shared" si="54"/>
        <v>S</v>
      </c>
      <c r="Q72" s="1" t="str">
        <f t="shared" si="55"/>
        <v>P</v>
      </c>
      <c r="R72" s="1" t="str">
        <f t="shared" si="56"/>
        <v>01</v>
      </c>
      <c r="S72" s="1" t="str">
        <f t="shared" si="57"/>
        <v>03</v>
      </c>
      <c r="T72" s="1" t="str">
        <f t="shared" si="58"/>
        <v>False</v>
      </c>
      <c r="U72" s="1" t="str">
        <f t="shared" si="59"/>
        <v>True</v>
      </c>
      <c r="V72" s="1" t="str">
        <f>"U0023945"</f>
        <v>U0023945</v>
      </c>
      <c r="W72" s="1">
        <v>1</v>
      </c>
      <c r="Y72" s="1">
        <v>0</v>
      </c>
      <c r="Z72" s="1">
        <v>0</v>
      </c>
      <c r="AB72" s="1" t="str">
        <f>"SMU"</f>
        <v>SMU</v>
      </c>
      <c r="AD72" s="1" t="str">
        <f t="shared" si="65"/>
        <v>4520271</v>
      </c>
      <c r="AE72" s="1" t="str">
        <f t="shared" si="66"/>
        <v>FUZHOU KINGDOM SHOES CO., LTD</v>
      </c>
      <c r="AG72" s="1">
        <v>0</v>
      </c>
      <c r="AH72" s="1">
        <v>0</v>
      </c>
      <c r="AI72" s="1" t="str">
        <f t="shared" si="60"/>
        <v>F06</v>
      </c>
      <c r="AJ72" s="1" t="str">
        <f>"UNISEX"</f>
        <v>UNISEX</v>
      </c>
      <c r="AK72" s="1" t="str">
        <f t="shared" si="61"/>
        <v>PA</v>
      </c>
      <c r="AP72" s="1" t="str">
        <f t="shared" si="62"/>
        <v>False</v>
      </c>
      <c r="AR72" s="1" t="str">
        <f>"EGADI"</f>
        <v>EGADI</v>
      </c>
      <c r="AY72" s="1" t="str">
        <f t="shared" si="63"/>
        <v>PF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 t="str">
        <f>"TOMAIA SYNTHETICO PU"</f>
        <v>TOMAIA SYNTHETICO PU</v>
      </c>
      <c r="BF72" s="1" t="str">
        <f t="shared" si="64"/>
        <v>Bonis SpA</v>
      </c>
      <c r="BO72" s="1">
        <v>0</v>
      </c>
      <c r="BP72" s="1">
        <v>0</v>
      </c>
      <c r="BQ72" s="1">
        <v>0</v>
      </c>
    </row>
    <row r="73" spans="2:69" x14ac:dyDescent="0.25">
      <c r="B73" s="1">
        <v>1734</v>
      </c>
      <c r="C73" s="1" t="str">
        <f>"EGADI4229S7/Y1"</f>
        <v>EGADI4229S7/Y1</v>
      </c>
      <c r="D73" s="1" t="str">
        <f>"ODA16N00291-002"</f>
        <v>ODA16N00291-002</v>
      </c>
      <c r="E73" s="1" t="str">
        <f>"A8 USPA"</f>
        <v>A8 USPA</v>
      </c>
      <c r="F73" s="1" t="str">
        <f t="shared" si="49"/>
        <v>BONIS SPA</v>
      </c>
      <c r="G73" s="1" t="str">
        <f t="shared" si="50"/>
        <v>STOCK TERRA MP</v>
      </c>
      <c r="H73" s="1" t="str">
        <f>"WHI"</f>
        <v>WHI</v>
      </c>
      <c r="J73" s="1">
        <v>1</v>
      </c>
      <c r="K73" s="1">
        <f t="shared" si="67"/>
        <v>8</v>
      </c>
      <c r="L73" s="1" t="str">
        <f t="shared" si="51"/>
        <v>01</v>
      </c>
      <c r="M73" s="1" t="str">
        <f t="shared" si="52"/>
        <v>101</v>
      </c>
      <c r="N73" s="1" t="str">
        <f>"003"</f>
        <v>003</v>
      </c>
      <c r="O73" s="1" t="str">
        <f t="shared" si="53"/>
        <v>00</v>
      </c>
      <c r="P73" s="1" t="str">
        <f t="shared" si="54"/>
        <v>S</v>
      </c>
      <c r="Q73" s="1" t="str">
        <f t="shared" si="55"/>
        <v>P</v>
      </c>
      <c r="R73" s="1" t="str">
        <f t="shared" si="56"/>
        <v>01</v>
      </c>
      <c r="S73" s="1" t="str">
        <f t="shared" si="57"/>
        <v>03</v>
      </c>
      <c r="T73" s="1" t="str">
        <f t="shared" si="58"/>
        <v>False</v>
      </c>
      <c r="U73" s="1" t="str">
        <f t="shared" si="59"/>
        <v>True</v>
      </c>
      <c r="V73" s="1" t="str">
        <f>"U0023945"</f>
        <v>U0023945</v>
      </c>
      <c r="W73" s="1">
        <v>1</v>
      </c>
      <c r="Y73" s="1">
        <v>0</v>
      </c>
      <c r="Z73" s="1">
        <v>0</v>
      </c>
      <c r="AB73" s="1" t="str">
        <f>"SMU"</f>
        <v>SMU</v>
      </c>
      <c r="AD73" s="1" t="str">
        <f t="shared" si="65"/>
        <v>4520271</v>
      </c>
      <c r="AE73" s="1" t="str">
        <f t="shared" si="66"/>
        <v>FUZHOU KINGDOM SHOES CO., LTD</v>
      </c>
      <c r="AG73" s="1">
        <v>0</v>
      </c>
      <c r="AH73" s="1">
        <v>0</v>
      </c>
      <c r="AI73" s="1" t="str">
        <f t="shared" si="60"/>
        <v>F06</v>
      </c>
      <c r="AJ73" s="1" t="str">
        <f>"UNISEX"</f>
        <v>UNISEX</v>
      </c>
      <c r="AK73" s="1" t="str">
        <f t="shared" si="61"/>
        <v>PA</v>
      </c>
      <c r="AP73" s="1" t="str">
        <f t="shared" si="62"/>
        <v>False</v>
      </c>
      <c r="AR73" s="1" t="str">
        <f>"EGADI"</f>
        <v>EGADI</v>
      </c>
      <c r="AY73" s="1" t="str">
        <f t="shared" si="63"/>
        <v>PF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 t="str">
        <f>"TOMAIA SYNTHETICO PU"</f>
        <v>TOMAIA SYNTHETICO PU</v>
      </c>
      <c r="BF73" s="1" t="str">
        <f t="shared" si="64"/>
        <v>Bonis SpA</v>
      </c>
      <c r="BO73" s="1">
        <v>0</v>
      </c>
      <c r="BP73" s="1">
        <v>0</v>
      </c>
      <c r="BQ73" s="1">
        <v>0</v>
      </c>
    </row>
    <row r="74" spans="2:69" x14ac:dyDescent="0.25">
      <c r="B74" s="1">
        <v>1734</v>
      </c>
      <c r="C74" s="1" t="str">
        <f>"EGADI4229S7/Y1"</f>
        <v>EGADI4229S7/Y1</v>
      </c>
      <c r="D74" s="1" t="str">
        <f>"ODA16N00291-003"</f>
        <v>ODA16N00291-003</v>
      </c>
      <c r="E74" s="1" t="str">
        <f>"A8 USPA"</f>
        <v>A8 USPA</v>
      </c>
      <c r="F74" s="1" t="str">
        <f t="shared" si="49"/>
        <v>BONIS SPA</v>
      </c>
      <c r="G74" s="1" t="str">
        <f t="shared" si="50"/>
        <v>STOCK TERRA MP</v>
      </c>
      <c r="H74" s="1" t="str">
        <f>"WHI"</f>
        <v>WHI</v>
      </c>
      <c r="J74" s="1">
        <v>1</v>
      </c>
      <c r="K74" s="1">
        <f t="shared" si="67"/>
        <v>8</v>
      </c>
      <c r="L74" s="1" t="str">
        <f t="shared" si="51"/>
        <v>01</v>
      </c>
      <c r="M74" s="1" t="str">
        <f t="shared" si="52"/>
        <v>101</v>
      </c>
      <c r="N74" s="1" t="str">
        <f>"003"</f>
        <v>003</v>
      </c>
      <c r="O74" s="1" t="str">
        <f t="shared" si="53"/>
        <v>00</v>
      </c>
      <c r="P74" s="1" t="str">
        <f t="shared" si="54"/>
        <v>S</v>
      </c>
      <c r="Q74" s="1" t="str">
        <f t="shared" si="55"/>
        <v>P</v>
      </c>
      <c r="R74" s="1" t="str">
        <f t="shared" si="56"/>
        <v>01</v>
      </c>
      <c r="S74" s="1" t="str">
        <f t="shared" si="57"/>
        <v>03</v>
      </c>
      <c r="T74" s="1" t="str">
        <f t="shared" si="58"/>
        <v>False</v>
      </c>
      <c r="U74" s="1" t="str">
        <f t="shared" si="59"/>
        <v>True</v>
      </c>
      <c r="V74" s="1" t="str">
        <f>"U0023945"</f>
        <v>U0023945</v>
      </c>
      <c r="W74" s="1">
        <v>1</v>
      </c>
      <c r="Y74" s="1">
        <v>0</v>
      </c>
      <c r="Z74" s="1">
        <v>0</v>
      </c>
      <c r="AB74" s="1" t="str">
        <f>"SMU"</f>
        <v>SMU</v>
      </c>
      <c r="AD74" s="1" t="str">
        <f t="shared" si="65"/>
        <v>4520271</v>
      </c>
      <c r="AE74" s="1" t="str">
        <f t="shared" si="66"/>
        <v>FUZHOU KINGDOM SHOES CO., LTD</v>
      </c>
      <c r="AG74" s="1">
        <v>0</v>
      </c>
      <c r="AH74" s="1">
        <v>0</v>
      </c>
      <c r="AI74" s="1" t="str">
        <f t="shared" si="60"/>
        <v>F06</v>
      </c>
      <c r="AJ74" s="1" t="str">
        <f>"UNISEX"</f>
        <v>UNISEX</v>
      </c>
      <c r="AK74" s="1" t="str">
        <f t="shared" si="61"/>
        <v>PA</v>
      </c>
      <c r="AP74" s="1" t="str">
        <f t="shared" si="62"/>
        <v>False</v>
      </c>
      <c r="AR74" s="1" t="str">
        <f>"EGADI"</f>
        <v>EGADI</v>
      </c>
      <c r="AY74" s="1" t="str">
        <f t="shared" si="63"/>
        <v>PF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 t="str">
        <f>"TOMAIA SYNTHETICO PU"</f>
        <v>TOMAIA SYNTHETICO PU</v>
      </c>
      <c r="BF74" s="1" t="str">
        <f t="shared" si="64"/>
        <v>Bonis SpA</v>
      </c>
      <c r="BO74" s="1">
        <v>0</v>
      </c>
      <c r="BP74" s="1">
        <v>0</v>
      </c>
      <c r="BQ74" s="1">
        <v>0</v>
      </c>
    </row>
    <row r="75" spans="2:69" x14ac:dyDescent="0.25">
      <c r="B75" s="1">
        <v>1734</v>
      </c>
      <c r="C75" s="1" t="str">
        <f>"EGADI4229S7/Y1"</f>
        <v>EGADI4229S7/Y1</v>
      </c>
      <c r="D75" s="1" t="str">
        <f>"ODA16N00291-004"</f>
        <v>ODA16N00291-004</v>
      </c>
      <c r="E75" s="1" t="str">
        <f>"C12 USPA"</f>
        <v>C12 USPA</v>
      </c>
      <c r="F75" s="1" t="str">
        <f t="shared" si="49"/>
        <v>BONIS SPA</v>
      </c>
      <c r="G75" s="1" t="str">
        <f t="shared" si="50"/>
        <v>STOCK TERRA MP</v>
      </c>
      <c r="H75" s="1" t="str">
        <f>"WHI"</f>
        <v>WHI</v>
      </c>
      <c r="J75" s="1">
        <v>1</v>
      </c>
      <c r="K75" s="1">
        <f>12*J75</f>
        <v>12</v>
      </c>
      <c r="L75" s="1" t="str">
        <f t="shared" si="51"/>
        <v>01</v>
      </c>
      <c r="M75" s="1" t="str">
        <f t="shared" si="52"/>
        <v>101</v>
      </c>
      <c r="N75" s="1" t="str">
        <f>"003"</f>
        <v>003</v>
      </c>
      <c r="O75" s="1" t="str">
        <f t="shared" si="53"/>
        <v>00</v>
      </c>
      <c r="P75" s="1" t="str">
        <f t="shared" si="54"/>
        <v>S</v>
      </c>
      <c r="Q75" s="1" t="str">
        <f t="shared" si="55"/>
        <v>P</v>
      </c>
      <c r="R75" s="1" t="str">
        <f t="shared" si="56"/>
        <v>01</v>
      </c>
      <c r="S75" s="1" t="str">
        <f t="shared" si="57"/>
        <v>03</v>
      </c>
      <c r="T75" s="1" t="str">
        <f t="shared" si="58"/>
        <v>False</v>
      </c>
      <c r="U75" s="1" t="str">
        <f t="shared" si="59"/>
        <v>True</v>
      </c>
      <c r="V75" s="1" t="str">
        <f>"U0023945"</f>
        <v>U0023945</v>
      </c>
      <c r="W75" s="1">
        <v>1</v>
      </c>
      <c r="Y75" s="1">
        <v>0</v>
      </c>
      <c r="Z75" s="1">
        <v>0</v>
      </c>
      <c r="AB75" s="1" t="str">
        <f>"SMU"</f>
        <v>SMU</v>
      </c>
      <c r="AD75" s="1" t="str">
        <f t="shared" si="65"/>
        <v>4520271</v>
      </c>
      <c r="AE75" s="1" t="str">
        <f t="shared" si="66"/>
        <v>FUZHOU KINGDOM SHOES CO., LTD</v>
      </c>
      <c r="AG75" s="1">
        <v>0</v>
      </c>
      <c r="AH75" s="1">
        <v>0</v>
      </c>
      <c r="AI75" s="1" t="str">
        <f t="shared" si="60"/>
        <v>F06</v>
      </c>
      <c r="AJ75" s="1" t="str">
        <f>"UNISEX"</f>
        <v>UNISEX</v>
      </c>
      <c r="AK75" s="1" t="str">
        <f t="shared" si="61"/>
        <v>PA</v>
      </c>
      <c r="AP75" s="1" t="str">
        <f t="shared" si="62"/>
        <v>False</v>
      </c>
      <c r="AR75" s="1" t="str">
        <f>"EGADI"</f>
        <v>EGADI</v>
      </c>
      <c r="AY75" s="1" t="str">
        <f t="shared" si="63"/>
        <v>PF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 t="str">
        <f>"TOMAIA SYNTHETICO PU"</f>
        <v>TOMAIA SYNTHETICO PU</v>
      </c>
      <c r="BF75" s="1" t="str">
        <f t="shared" si="64"/>
        <v>Bonis SpA</v>
      </c>
      <c r="BO75" s="1">
        <v>0</v>
      </c>
      <c r="BP75" s="1">
        <v>0</v>
      </c>
      <c r="BQ75" s="1">
        <v>0</v>
      </c>
    </row>
    <row r="76" spans="2:69" x14ac:dyDescent="0.25">
      <c r="B76" s="1">
        <v>1738</v>
      </c>
      <c r="C76" s="1" t="str">
        <f>"ELIDE4142S7/T1"</f>
        <v>ELIDE4142S7/T1</v>
      </c>
      <c r="D76" s="1" t="str">
        <f>"ODA16N00294-229"</f>
        <v>ODA16N00294-229</v>
      </c>
      <c r="E76" s="1" t="str">
        <f>"K8 USPA"</f>
        <v>K8 USPA</v>
      </c>
      <c r="F76" s="1" t="str">
        <f t="shared" si="49"/>
        <v>BONIS SPA</v>
      </c>
      <c r="G76" s="1" t="str">
        <f t="shared" si="50"/>
        <v>STOCK TERRA MP</v>
      </c>
      <c r="H76" s="1" t="str">
        <f>"LIBL"</f>
        <v>LIBL</v>
      </c>
      <c r="J76" s="1">
        <v>1</v>
      </c>
      <c r="K76" s="1">
        <f t="shared" ref="K76:K77" si="68">8*J76</f>
        <v>8</v>
      </c>
      <c r="L76" s="1" t="str">
        <f t="shared" si="51"/>
        <v>01</v>
      </c>
      <c r="M76" s="1" t="str">
        <f t="shared" si="52"/>
        <v>101</v>
      </c>
      <c r="N76" s="1" t="str">
        <f>"007"</f>
        <v>007</v>
      </c>
      <c r="O76" s="1" t="str">
        <f t="shared" si="53"/>
        <v>00</v>
      </c>
      <c r="P76" s="1" t="str">
        <f t="shared" si="54"/>
        <v>S</v>
      </c>
      <c r="Q76" s="1" t="str">
        <f t="shared" si="55"/>
        <v>P</v>
      </c>
      <c r="R76" s="1" t="str">
        <f t="shared" si="56"/>
        <v>01</v>
      </c>
      <c r="S76" s="1" t="str">
        <f t="shared" si="57"/>
        <v>03</v>
      </c>
      <c r="T76" s="1" t="str">
        <f t="shared" si="58"/>
        <v>False</v>
      </c>
      <c r="U76" s="1" t="str">
        <f t="shared" si="59"/>
        <v>True</v>
      </c>
      <c r="V76" s="1" t="str">
        <f>"U0027905"</f>
        <v>U0027905</v>
      </c>
      <c r="W76" s="1">
        <v>1</v>
      </c>
      <c r="Y76" s="1">
        <v>0</v>
      </c>
      <c r="Z76" s="1">
        <v>0</v>
      </c>
      <c r="AD76" s="1" t="str">
        <f t="shared" si="65"/>
        <v>4520271</v>
      </c>
      <c r="AE76" s="1" t="str">
        <f t="shared" si="66"/>
        <v>FUZHOU KINGDOM SHOES CO., LTD</v>
      </c>
      <c r="AG76" s="1">
        <v>0</v>
      </c>
      <c r="AH76" s="1">
        <v>0</v>
      </c>
      <c r="AI76" s="1" t="str">
        <f t="shared" si="60"/>
        <v>F06</v>
      </c>
      <c r="AJ76" s="1" t="str">
        <f t="shared" ref="AJ76:AJ84" si="69">"WOMAN"</f>
        <v>WOMAN</v>
      </c>
      <c r="AK76" s="1" t="str">
        <f t="shared" si="61"/>
        <v>PA</v>
      </c>
      <c r="AP76" s="1" t="str">
        <f t="shared" si="62"/>
        <v>False</v>
      </c>
      <c r="AR76" s="1" t="str">
        <f>"ELIDE"</f>
        <v>ELIDE</v>
      </c>
      <c r="AY76" s="1" t="str">
        <f t="shared" si="63"/>
        <v>PF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 t="str">
        <f>"A+TOMAIA MESH"</f>
        <v>A+TOMAIA MESH</v>
      </c>
      <c r="BF76" s="1" t="str">
        <f t="shared" si="64"/>
        <v>Bonis SpA</v>
      </c>
      <c r="BO76" s="1">
        <v>0</v>
      </c>
      <c r="BP76" s="1">
        <v>0</v>
      </c>
      <c r="BQ76" s="1">
        <v>0</v>
      </c>
    </row>
    <row r="77" spans="2:69" x14ac:dyDescent="0.25">
      <c r="B77" s="1">
        <v>1738</v>
      </c>
      <c r="C77" s="1" t="str">
        <f>"ELIDE4142S7/T1"</f>
        <v>ELIDE4142S7/T1</v>
      </c>
      <c r="D77" s="1" t="str">
        <f>"ODA16N00294-232"</f>
        <v>ODA16N00294-232</v>
      </c>
      <c r="E77" s="1" t="str">
        <f>"K8 USPA"</f>
        <v>K8 USPA</v>
      </c>
      <c r="F77" s="1" t="str">
        <f t="shared" si="49"/>
        <v>BONIS SPA</v>
      </c>
      <c r="G77" s="1" t="str">
        <f t="shared" si="50"/>
        <v>STOCK TERRA MP</v>
      </c>
      <c r="H77" s="1" t="str">
        <f>"LIBL"</f>
        <v>LIBL</v>
      </c>
      <c r="J77" s="1">
        <v>1</v>
      </c>
      <c r="K77" s="1">
        <f t="shared" si="68"/>
        <v>8</v>
      </c>
      <c r="L77" s="1" t="str">
        <f t="shared" si="51"/>
        <v>01</v>
      </c>
      <c r="M77" s="1" t="str">
        <f t="shared" si="52"/>
        <v>101</v>
      </c>
      <c r="N77" s="1" t="str">
        <f>"007"</f>
        <v>007</v>
      </c>
      <c r="O77" s="1" t="str">
        <f t="shared" si="53"/>
        <v>00</v>
      </c>
      <c r="P77" s="1" t="str">
        <f t="shared" si="54"/>
        <v>S</v>
      </c>
      <c r="Q77" s="1" t="str">
        <f t="shared" si="55"/>
        <v>P</v>
      </c>
      <c r="R77" s="1" t="str">
        <f t="shared" si="56"/>
        <v>01</v>
      </c>
      <c r="S77" s="1" t="str">
        <f t="shared" si="57"/>
        <v>03</v>
      </c>
      <c r="T77" s="1" t="str">
        <f t="shared" si="58"/>
        <v>False</v>
      </c>
      <c r="U77" s="1" t="str">
        <f t="shared" si="59"/>
        <v>True</v>
      </c>
      <c r="V77" s="1" t="str">
        <f>"U0027905"</f>
        <v>U0027905</v>
      </c>
      <c r="W77" s="1">
        <v>1</v>
      </c>
      <c r="Y77" s="1">
        <v>0</v>
      </c>
      <c r="Z77" s="1">
        <v>0</v>
      </c>
      <c r="AD77" s="1" t="str">
        <f t="shared" si="65"/>
        <v>4520271</v>
      </c>
      <c r="AE77" s="1" t="str">
        <f t="shared" si="66"/>
        <v>FUZHOU KINGDOM SHOES CO., LTD</v>
      </c>
      <c r="AG77" s="1">
        <v>0</v>
      </c>
      <c r="AH77" s="1">
        <v>0</v>
      </c>
      <c r="AI77" s="1" t="str">
        <f t="shared" si="60"/>
        <v>F06</v>
      </c>
      <c r="AJ77" s="1" t="str">
        <f t="shared" si="69"/>
        <v>WOMAN</v>
      </c>
      <c r="AK77" s="1" t="str">
        <f t="shared" si="61"/>
        <v>PA</v>
      </c>
      <c r="AP77" s="1" t="str">
        <f t="shared" si="62"/>
        <v>False</v>
      </c>
      <c r="AR77" s="1" t="str">
        <f>"ELIDE"</f>
        <v>ELIDE</v>
      </c>
      <c r="AY77" s="1" t="str">
        <f t="shared" si="63"/>
        <v>PF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 t="str">
        <f>"A+TOMAIA MESH"</f>
        <v>A+TOMAIA MESH</v>
      </c>
      <c r="BF77" s="1" t="str">
        <f t="shared" si="64"/>
        <v>Bonis SpA</v>
      </c>
      <c r="BO77" s="1">
        <v>0</v>
      </c>
      <c r="BP77" s="1">
        <v>0</v>
      </c>
      <c r="BQ77" s="1">
        <v>0</v>
      </c>
    </row>
    <row r="78" spans="2:69" x14ac:dyDescent="0.25">
      <c r="B78" s="1">
        <v>1735</v>
      </c>
      <c r="C78" s="1" t="str">
        <f>"ETNA4094S7/Y1"</f>
        <v>ETNA4094S7/Y1</v>
      </c>
      <c r="D78" s="1" t="str">
        <f>"ODA16N00296-079"</f>
        <v>ODA16N00296-079</v>
      </c>
      <c r="E78" s="1" t="str">
        <f>"R12 USPA"</f>
        <v>R12 USPA</v>
      </c>
      <c r="F78" s="1" t="str">
        <f t="shared" si="49"/>
        <v>BONIS SPA</v>
      </c>
      <c r="G78" s="1" t="str">
        <f t="shared" si="50"/>
        <v>STOCK TERRA MP</v>
      </c>
      <c r="H78" s="1" t="str">
        <f>"BLK"</f>
        <v>BLK</v>
      </c>
      <c r="J78" s="1">
        <v>1</v>
      </c>
      <c r="K78" s="1">
        <f t="shared" ref="K78:K85" si="70">12*J78</f>
        <v>12</v>
      </c>
      <c r="L78" s="1" t="str">
        <f t="shared" si="51"/>
        <v>01</v>
      </c>
      <c r="M78" s="1" t="str">
        <f t="shared" si="52"/>
        <v>101</v>
      </c>
      <c r="N78" s="1" t="str">
        <f t="shared" ref="N78:N85" si="71">"004"</f>
        <v>004</v>
      </c>
      <c r="O78" s="1" t="str">
        <f t="shared" si="53"/>
        <v>00</v>
      </c>
      <c r="P78" s="1" t="str">
        <f t="shared" si="54"/>
        <v>S</v>
      </c>
      <c r="Q78" s="1" t="str">
        <f t="shared" si="55"/>
        <v>P</v>
      </c>
      <c r="R78" s="1" t="str">
        <f t="shared" si="56"/>
        <v>01</v>
      </c>
      <c r="S78" s="1" t="str">
        <f t="shared" si="57"/>
        <v>03</v>
      </c>
      <c r="T78" s="1" t="str">
        <f t="shared" si="58"/>
        <v>False</v>
      </c>
      <c r="U78" s="1" t="str">
        <f t="shared" si="59"/>
        <v>True</v>
      </c>
      <c r="V78" s="1" t="str">
        <f t="shared" ref="V78:V85" si="72">"U0028015"</f>
        <v>U0028015</v>
      </c>
      <c r="W78" s="1">
        <v>1</v>
      </c>
      <c r="Y78" s="1">
        <v>0</v>
      </c>
      <c r="Z78" s="1">
        <v>0</v>
      </c>
      <c r="AD78" s="1" t="str">
        <f t="shared" si="65"/>
        <v>4520271</v>
      </c>
      <c r="AE78" s="1" t="str">
        <f t="shared" si="66"/>
        <v>FUZHOU KINGDOM SHOES CO., LTD</v>
      </c>
      <c r="AG78" s="1">
        <v>0</v>
      </c>
      <c r="AH78" s="1">
        <v>0</v>
      </c>
      <c r="AI78" s="1" t="str">
        <f t="shared" si="60"/>
        <v>F06</v>
      </c>
      <c r="AJ78" s="1" t="str">
        <f t="shared" si="69"/>
        <v>WOMAN</v>
      </c>
      <c r="AK78" s="1" t="str">
        <f t="shared" si="61"/>
        <v>PA</v>
      </c>
      <c r="AP78" s="1" t="str">
        <f t="shared" si="62"/>
        <v>False</v>
      </c>
      <c r="AR78" s="1" t="str">
        <f t="shared" ref="AR78:AR84" si="73">"ETNA"</f>
        <v>ETNA</v>
      </c>
      <c r="AY78" s="1" t="str">
        <f t="shared" si="63"/>
        <v>PF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 t="str">
        <f>"A+TOMAIA PU"</f>
        <v>A+TOMAIA PU</v>
      </c>
      <c r="BF78" s="1" t="str">
        <f t="shared" si="64"/>
        <v>Bonis SpA</v>
      </c>
      <c r="BO78" s="1">
        <v>0</v>
      </c>
      <c r="BP78" s="1">
        <v>0</v>
      </c>
      <c r="BQ78" s="1">
        <v>0</v>
      </c>
    </row>
    <row r="79" spans="2:69" x14ac:dyDescent="0.25">
      <c r="B79" s="1">
        <v>1735</v>
      </c>
      <c r="C79" s="1" t="str">
        <f t="shared" ref="C79:C84" si="74">"ETNA4094S7/Y3"</f>
        <v>ETNA4094S7/Y3</v>
      </c>
      <c r="D79" s="1" t="str">
        <f>"ODA16N00296-202"</f>
        <v>ODA16N00296-202</v>
      </c>
      <c r="E79" s="1" t="str">
        <f t="shared" ref="E79:E84" si="75">"D12 USPA"</f>
        <v>D12 USPA</v>
      </c>
      <c r="F79" s="1" t="str">
        <f t="shared" si="49"/>
        <v>BONIS SPA</v>
      </c>
      <c r="G79" s="1" t="str">
        <f t="shared" si="50"/>
        <v>STOCK TERRA MP</v>
      </c>
      <c r="H79" s="1" t="str">
        <f>"RED"</f>
        <v>RED</v>
      </c>
      <c r="J79" s="1">
        <v>1</v>
      </c>
      <c r="K79" s="1">
        <f t="shared" si="70"/>
        <v>12</v>
      </c>
      <c r="L79" s="1" t="str">
        <f t="shared" si="51"/>
        <v>01</v>
      </c>
      <c r="M79" s="1" t="str">
        <f t="shared" si="52"/>
        <v>101</v>
      </c>
      <c r="N79" s="1" t="str">
        <f t="shared" si="71"/>
        <v>004</v>
      </c>
      <c r="O79" s="1" t="str">
        <f t="shared" si="53"/>
        <v>00</v>
      </c>
      <c r="P79" s="1" t="str">
        <f t="shared" si="54"/>
        <v>S</v>
      </c>
      <c r="Q79" s="1" t="str">
        <f t="shared" si="55"/>
        <v>P</v>
      </c>
      <c r="R79" s="1" t="str">
        <f t="shared" si="56"/>
        <v>01</v>
      </c>
      <c r="S79" s="1" t="str">
        <f t="shared" si="57"/>
        <v>03</v>
      </c>
      <c r="T79" s="1" t="str">
        <f t="shared" si="58"/>
        <v>False</v>
      </c>
      <c r="U79" s="1" t="str">
        <f t="shared" si="59"/>
        <v>True</v>
      </c>
      <c r="V79" s="1" t="str">
        <f t="shared" si="72"/>
        <v>U0028015</v>
      </c>
      <c r="W79" s="1">
        <v>1</v>
      </c>
      <c r="Y79" s="1">
        <v>0</v>
      </c>
      <c r="Z79" s="1">
        <v>0</v>
      </c>
      <c r="AD79" s="1" t="str">
        <f t="shared" si="65"/>
        <v>4520271</v>
      </c>
      <c r="AE79" s="1" t="str">
        <f t="shared" si="66"/>
        <v>FUZHOU KINGDOM SHOES CO., LTD</v>
      </c>
      <c r="AG79" s="1">
        <v>0</v>
      </c>
      <c r="AH79" s="1">
        <v>0</v>
      </c>
      <c r="AI79" s="1" t="str">
        <f t="shared" si="60"/>
        <v>F06</v>
      </c>
      <c r="AJ79" s="1" t="str">
        <f t="shared" si="69"/>
        <v>WOMAN</v>
      </c>
      <c r="AK79" s="1" t="str">
        <f t="shared" si="61"/>
        <v>PA</v>
      </c>
      <c r="AP79" s="1" t="str">
        <f t="shared" si="62"/>
        <v>False</v>
      </c>
      <c r="AR79" s="1" t="str">
        <f t="shared" si="73"/>
        <v>ETNA</v>
      </c>
      <c r="AY79" s="1" t="str">
        <f t="shared" si="63"/>
        <v>PF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 t="str">
        <f t="shared" ref="BE79:BE84" si="76">"A+TOMAIA SYNTHETIC PU VACCHETT"</f>
        <v>A+TOMAIA SYNTHETIC PU VACCHETT</v>
      </c>
      <c r="BF79" s="1" t="str">
        <f t="shared" si="64"/>
        <v>Bonis SpA</v>
      </c>
      <c r="BO79" s="1">
        <v>0</v>
      </c>
      <c r="BP79" s="1">
        <v>0</v>
      </c>
      <c r="BQ79" s="1">
        <v>0</v>
      </c>
    </row>
    <row r="80" spans="2:69" x14ac:dyDescent="0.25">
      <c r="B80" s="1">
        <v>1735</v>
      </c>
      <c r="C80" s="1" t="str">
        <f t="shared" si="74"/>
        <v>ETNA4094S7/Y3</v>
      </c>
      <c r="D80" s="1" t="str">
        <f>"ODA16N00296-206"</f>
        <v>ODA16N00296-206</v>
      </c>
      <c r="E80" s="1" t="str">
        <f t="shared" si="75"/>
        <v>D12 USPA</v>
      </c>
      <c r="F80" s="1" t="str">
        <f t="shared" si="49"/>
        <v>BONIS SPA</v>
      </c>
      <c r="G80" s="1" t="str">
        <f t="shared" si="50"/>
        <v>STOCK TERRA MP</v>
      </c>
      <c r="H80" s="1" t="str">
        <f>"RED"</f>
        <v>RED</v>
      </c>
      <c r="J80" s="1">
        <v>1</v>
      </c>
      <c r="K80" s="1">
        <f t="shared" si="70"/>
        <v>12</v>
      </c>
      <c r="L80" s="1" t="str">
        <f t="shared" si="51"/>
        <v>01</v>
      </c>
      <c r="M80" s="1" t="str">
        <f t="shared" si="52"/>
        <v>101</v>
      </c>
      <c r="N80" s="1" t="str">
        <f t="shared" si="71"/>
        <v>004</v>
      </c>
      <c r="O80" s="1" t="str">
        <f t="shared" si="53"/>
        <v>00</v>
      </c>
      <c r="P80" s="1" t="str">
        <f t="shared" si="54"/>
        <v>S</v>
      </c>
      <c r="Q80" s="1" t="str">
        <f t="shared" si="55"/>
        <v>P</v>
      </c>
      <c r="R80" s="1" t="str">
        <f t="shared" si="56"/>
        <v>01</v>
      </c>
      <c r="S80" s="1" t="str">
        <f t="shared" si="57"/>
        <v>03</v>
      </c>
      <c r="T80" s="1" t="str">
        <f t="shared" si="58"/>
        <v>False</v>
      </c>
      <c r="U80" s="1" t="str">
        <f t="shared" si="59"/>
        <v>True</v>
      </c>
      <c r="V80" s="1" t="str">
        <f t="shared" si="72"/>
        <v>U0028015</v>
      </c>
      <c r="W80" s="1">
        <v>1</v>
      </c>
      <c r="Y80" s="1">
        <v>0</v>
      </c>
      <c r="Z80" s="1">
        <v>0</v>
      </c>
      <c r="AD80" s="1" t="str">
        <f t="shared" si="65"/>
        <v>4520271</v>
      </c>
      <c r="AE80" s="1" t="str">
        <f t="shared" si="66"/>
        <v>FUZHOU KINGDOM SHOES CO., LTD</v>
      </c>
      <c r="AG80" s="1">
        <v>0</v>
      </c>
      <c r="AH80" s="1">
        <v>0</v>
      </c>
      <c r="AI80" s="1" t="str">
        <f t="shared" si="60"/>
        <v>F06</v>
      </c>
      <c r="AJ80" s="1" t="str">
        <f t="shared" si="69"/>
        <v>WOMAN</v>
      </c>
      <c r="AK80" s="1" t="str">
        <f t="shared" si="61"/>
        <v>PA</v>
      </c>
      <c r="AP80" s="1" t="str">
        <f t="shared" si="62"/>
        <v>False</v>
      </c>
      <c r="AR80" s="1" t="str">
        <f t="shared" si="73"/>
        <v>ETNA</v>
      </c>
      <c r="AY80" s="1" t="str">
        <f t="shared" si="63"/>
        <v>PF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 t="str">
        <f t="shared" si="76"/>
        <v>A+TOMAIA SYNTHETIC PU VACCHETT</v>
      </c>
      <c r="BF80" s="1" t="str">
        <f t="shared" si="64"/>
        <v>Bonis SpA</v>
      </c>
      <c r="BO80" s="1">
        <v>0</v>
      </c>
      <c r="BP80" s="1">
        <v>0</v>
      </c>
      <c r="BQ80" s="1">
        <v>0</v>
      </c>
    </row>
    <row r="81" spans="2:69" x14ac:dyDescent="0.25">
      <c r="B81" s="1">
        <v>1735</v>
      </c>
      <c r="C81" s="1" t="str">
        <f t="shared" si="74"/>
        <v>ETNA4094S7/Y3</v>
      </c>
      <c r="D81" s="1" t="str">
        <f>"ODA16N00296-210"</f>
        <v>ODA16N00296-210</v>
      </c>
      <c r="E81" s="1" t="str">
        <f t="shared" si="75"/>
        <v>D12 USPA</v>
      </c>
      <c r="F81" s="1" t="str">
        <f t="shared" si="49"/>
        <v>BONIS SPA</v>
      </c>
      <c r="G81" s="1" t="str">
        <f t="shared" si="50"/>
        <v>STOCK TERRA MP</v>
      </c>
      <c r="H81" s="1" t="str">
        <f>"RED"</f>
        <v>RED</v>
      </c>
      <c r="J81" s="1">
        <v>1</v>
      </c>
      <c r="K81" s="1">
        <f t="shared" si="70"/>
        <v>12</v>
      </c>
      <c r="L81" s="1" t="str">
        <f t="shared" si="51"/>
        <v>01</v>
      </c>
      <c r="M81" s="1" t="str">
        <f t="shared" si="52"/>
        <v>101</v>
      </c>
      <c r="N81" s="1" t="str">
        <f t="shared" si="71"/>
        <v>004</v>
      </c>
      <c r="O81" s="1" t="str">
        <f t="shared" si="53"/>
        <v>00</v>
      </c>
      <c r="P81" s="1" t="str">
        <f t="shared" si="54"/>
        <v>S</v>
      </c>
      <c r="Q81" s="1" t="str">
        <f t="shared" si="55"/>
        <v>P</v>
      </c>
      <c r="R81" s="1" t="str">
        <f t="shared" si="56"/>
        <v>01</v>
      </c>
      <c r="S81" s="1" t="str">
        <f t="shared" si="57"/>
        <v>03</v>
      </c>
      <c r="T81" s="1" t="str">
        <f t="shared" si="58"/>
        <v>False</v>
      </c>
      <c r="U81" s="1" t="str">
        <f t="shared" si="59"/>
        <v>True</v>
      </c>
      <c r="V81" s="1" t="str">
        <f t="shared" si="72"/>
        <v>U0028015</v>
      </c>
      <c r="W81" s="1">
        <v>1</v>
      </c>
      <c r="Y81" s="1">
        <v>0</v>
      </c>
      <c r="Z81" s="1">
        <v>0</v>
      </c>
      <c r="AD81" s="1" t="str">
        <f t="shared" si="65"/>
        <v>4520271</v>
      </c>
      <c r="AE81" s="1" t="str">
        <f t="shared" si="66"/>
        <v>FUZHOU KINGDOM SHOES CO., LTD</v>
      </c>
      <c r="AG81" s="1">
        <v>0</v>
      </c>
      <c r="AH81" s="1">
        <v>0</v>
      </c>
      <c r="AI81" s="1" t="str">
        <f t="shared" si="60"/>
        <v>F06</v>
      </c>
      <c r="AJ81" s="1" t="str">
        <f t="shared" si="69"/>
        <v>WOMAN</v>
      </c>
      <c r="AK81" s="1" t="str">
        <f t="shared" si="61"/>
        <v>PA</v>
      </c>
      <c r="AP81" s="1" t="str">
        <f t="shared" si="62"/>
        <v>False</v>
      </c>
      <c r="AR81" s="1" t="str">
        <f t="shared" si="73"/>
        <v>ETNA</v>
      </c>
      <c r="AY81" s="1" t="str">
        <f t="shared" si="63"/>
        <v>PF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 t="str">
        <f t="shared" si="76"/>
        <v>A+TOMAIA SYNTHETIC PU VACCHETT</v>
      </c>
      <c r="BF81" s="1" t="str">
        <f t="shared" si="64"/>
        <v>Bonis SpA</v>
      </c>
      <c r="BO81" s="1">
        <v>0</v>
      </c>
      <c r="BP81" s="1">
        <v>0</v>
      </c>
      <c r="BQ81" s="1">
        <v>0</v>
      </c>
    </row>
    <row r="82" spans="2:69" x14ac:dyDescent="0.25">
      <c r="B82" s="1">
        <v>1735</v>
      </c>
      <c r="C82" s="1" t="str">
        <f t="shared" si="74"/>
        <v>ETNA4094S7/Y3</v>
      </c>
      <c r="D82" s="1" t="str">
        <f>"ODA16N00296-237"</f>
        <v>ODA16N00296-237</v>
      </c>
      <c r="E82" s="1" t="str">
        <f t="shared" si="75"/>
        <v>D12 USPA</v>
      </c>
      <c r="F82" s="1" t="str">
        <f t="shared" si="49"/>
        <v>BONIS SPA</v>
      </c>
      <c r="G82" s="1" t="str">
        <f t="shared" si="50"/>
        <v>STOCK TERRA MP</v>
      </c>
      <c r="H82" s="1" t="str">
        <f>"DKBL"</f>
        <v>DKBL</v>
      </c>
      <c r="J82" s="1">
        <v>1</v>
      </c>
      <c r="K82" s="1">
        <f t="shared" si="70"/>
        <v>12</v>
      </c>
      <c r="L82" s="1" t="str">
        <f t="shared" si="51"/>
        <v>01</v>
      </c>
      <c r="M82" s="1" t="str">
        <f t="shared" si="52"/>
        <v>101</v>
      </c>
      <c r="N82" s="1" t="str">
        <f t="shared" si="71"/>
        <v>004</v>
      </c>
      <c r="O82" s="1" t="str">
        <f t="shared" si="53"/>
        <v>00</v>
      </c>
      <c r="P82" s="1" t="str">
        <f t="shared" si="54"/>
        <v>S</v>
      </c>
      <c r="Q82" s="1" t="str">
        <f t="shared" si="55"/>
        <v>P</v>
      </c>
      <c r="R82" s="1" t="str">
        <f t="shared" si="56"/>
        <v>01</v>
      </c>
      <c r="S82" s="1" t="str">
        <f t="shared" si="57"/>
        <v>03</v>
      </c>
      <c r="T82" s="1" t="str">
        <f t="shared" si="58"/>
        <v>False</v>
      </c>
      <c r="U82" s="1" t="str">
        <f t="shared" si="59"/>
        <v>True</v>
      </c>
      <c r="V82" s="1" t="str">
        <f t="shared" si="72"/>
        <v>U0028015</v>
      </c>
      <c r="W82" s="1">
        <v>1</v>
      </c>
      <c r="Y82" s="1">
        <v>0</v>
      </c>
      <c r="Z82" s="1">
        <v>0</v>
      </c>
      <c r="AD82" s="1" t="str">
        <f t="shared" si="65"/>
        <v>4520271</v>
      </c>
      <c r="AE82" s="1" t="str">
        <f t="shared" si="66"/>
        <v>FUZHOU KINGDOM SHOES CO., LTD</v>
      </c>
      <c r="AG82" s="1">
        <v>0</v>
      </c>
      <c r="AH82" s="1">
        <v>0</v>
      </c>
      <c r="AI82" s="1" t="str">
        <f t="shared" si="60"/>
        <v>F06</v>
      </c>
      <c r="AJ82" s="1" t="str">
        <f t="shared" si="69"/>
        <v>WOMAN</v>
      </c>
      <c r="AK82" s="1" t="str">
        <f t="shared" si="61"/>
        <v>PA</v>
      </c>
      <c r="AP82" s="1" t="str">
        <f t="shared" si="62"/>
        <v>False</v>
      </c>
      <c r="AR82" s="1" t="str">
        <f t="shared" si="73"/>
        <v>ETNA</v>
      </c>
      <c r="AY82" s="1" t="str">
        <f t="shared" si="63"/>
        <v>PF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 t="str">
        <f t="shared" si="76"/>
        <v>A+TOMAIA SYNTHETIC PU VACCHETT</v>
      </c>
      <c r="BF82" s="1" t="str">
        <f t="shared" si="64"/>
        <v>Bonis SpA</v>
      </c>
      <c r="BO82" s="1">
        <v>0</v>
      </c>
      <c r="BP82" s="1">
        <v>0</v>
      </c>
      <c r="BQ82" s="1">
        <v>0</v>
      </c>
    </row>
    <row r="83" spans="2:69" x14ac:dyDescent="0.25">
      <c r="B83" s="1">
        <v>1735</v>
      </c>
      <c r="C83" s="1" t="str">
        <f t="shared" si="74"/>
        <v>ETNA4094S7/Y3</v>
      </c>
      <c r="D83" s="1" t="str">
        <f>"ODA16N00296-240"</f>
        <v>ODA16N00296-240</v>
      </c>
      <c r="E83" s="1" t="str">
        <f t="shared" si="75"/>
        <v>D12 USPA</v>
      </c>
      <c r="F83" s="1" t="str">
        <f t="shared" si="49"/>
        <v>BONIS SPA</v>
      </c>
      <c r="G83" s="1" t="str">
        <f t="shared" si="50"/>
        <v>STOCK TERRA MP</v>
      </c>
      <c r="H83" s="1" t="str">
        <f>"DKBL"</f>
        <v>DKBL</v>
      </c>
      <c r="J83" s="1">
        <v>1</v>
      </c>
      <c r="K83" s="1">
        <f t="shared" si="70"/>
        <v>12</v>
      </c>
      <c r="L83" s="1" t="str">
        <f t="shared" si="51"/>
        <v>01</v>
      </c>
      <c r="M83" s="1" t="str">
        <f t="shared" si="52"/>
        <v>101</v>
      </c>
      <c r="N83" s="1" t="str">
        <f t="shared" si="71"/>
        <v>004</v>
      </c>
      <c r="O83" s="1" t="str">
        <f t="shared" si="53"/>
        <v>00</v>
      </c>
      <c r="P83" s="1" t="str">
        <f t="shared" si="54"/>
        <v>S</v>
      </c>
      <c r="Q83" s="1" t="str">
        <f t="shared" si="55"/>
        <v>P</v>
      </c>
      <c r="R83" s="1" t="str">
        <f t="shared" si="56"/>
        <v>01</v>
      </c>
      <c r="S83" s="1" t="str">
        <f t="shared" si="57"/>
        <v>03</v>
      </c>
      <c r="T83" s="1" t="str">
        <f t="shared" si="58"/>
        <v>False</v>
      </c>
      <c r="U83" s="1" t="str">
        <f t="shared" si="59"/>
        <v>True</v>
      </c>
      <c r="V83" s="1" t="str">
        <f t="shared" si="72"/>
        <v>U0028015</v>
      </c>
      <c r="W83" s="1">
        <v>1</v>
      </c>
      <c r="Y83" s="1">
        <v>0</v>
      </c>
      <c r="Z83" s="1">
        <v>0</v>
      </c>
      <c r="AD83" s="1" t="str">
        <f t="shared" si="65"/>
        <v>4520271</v>
      </c>
      <c r="AE83" s="1" t="str">
        <f t="shared" si="66"/>
        <v>FUZHOU KINGDOM SHOES CO., LTD</v>
      </c>
      <c r="AG83" s="1">
        <v>0</v>
      </c>
      <c r="AH83" s="1">
        <v>0</v>
      </c>
      <c r="AI83" s="1" t="str">
        <f t="shared" si="60"/>
        <v>F06</v>
      </c>
      <c r="AJ83" s="1" t="str">
        <f t="shared" si="69"/>
        <v>WOMAN</v>
      </c>
      <c r="AK83" s="1" t="str">
        <f t="shared" si="61"/>
        <v>PA</v>
      </c>
      <c r="AP83" s="1" t="str">
        <f t="shared" si="62"/>
        <v>False</v>
      </c>
      <c r="AR83" s="1" t="str">
        <f t="shared" si="73"/>
        <v>ETNA</v>
      </c>
      <c r="AY83" s="1" t="str">
        <f t="shared" si="63"/>
        <v>PF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 t="str">
        <f t="shared" si="76"/>
        <v>A+TOMAIA SYNTHETIC PU VACCHETT</v>
      </c>
      <c r="BF83" s="1" t="str">
        <f t="shared" si="64"/>
        <v>Bonis SpA</v>
      </c>
      <c r="BO83" s="1">
        <v>0</v>
      </c>
      <c r="BP83" s="1">
        <v>0</v>
      </c>
      <c r="BQ83" s="1">
        <v>0</v>
      </c>
    </row>
    <row r="84" spans="2:69" x14ac:dyDescent="0.25">
      <c r="B84" s="1">
        <v>1735</v>
      </c>
      <c r="C84" s="1" t="str">
        <f t="shared" si="74"/>
        <v>ETNA4094S7/Y3</v>
      </c>
      <c r="D84" s="1" t="str">
        <f>"ODA16N00296-244"</f>
        <v>ODA16N00296-244</v>
      </c>
      <c r="E84" s="1" t="str">
        <f t="shared" si="75"/>
        <v>D12 USPA</v>
      </c>
      <c r="F84" s="1" t="str">
        <f t="shared" si="49"/>
        <v>BONIS SPA</v>
      </c>
      <c r="G84" s="1" t="str">
        <f t="shared" si="50"/>
        <v>STOCK TERRA MP</v>
      </c>
      <c r="H84" s="1" t="str">
        <f>"DKBL"</f>
        <v>DKBL</v>
      </c>
      <c r="J84" s="1">
        <v>1</v>
      </c>
      <c r="K84" s="1">
        <f t="shared" si="70"/>
        <v>12</v>
      </c>
      <c r="L84" s="1" t="str">
        <f t="shared" si="51"/>
        <v>01</v>
      </c>
      <c r="M84" s="1" t="str">
        <f t="shared" si="52"/>
        <v>101</v>
      </c>
      <c r="N84" s="1" t="str">
        <f t="shared" si="71"/>
        <v>004</v>
      </c>
      <c r="O84" s="1" t="str">
        <f t="shared" si="53"/>
        <v>00</v>
      </c>
      <c r="P84" s="1" t="str">
        <f t="shared" si="54"/>
        <v>S</v>
      </c>
      <c r="Q84" s="1" t="str">
        <f t="shared" si="55"/>
        <v>P</v>
      </c>
      <c r="R84" s="1" t="str">
        <f t="shared" si="56"/>
        <v>01</v>
      </c>
      <c r="S84" s="1" t="str">
        <f t="shared" si="57"/>
        <v>03</v>
      </c>
      <c r="T84" s="1" t="str">
        <f t="shared" si="58"/>
        <v>False</v>
      </c>
      <c r="U84" s="1" t="str">
        <f t="shared" si="59"/>
        <v>True</v>
      </c>
      <c r="V84" s="1" t="str">
        <f t="shared" si="72"/>
        <v>U0028015</v>
      </c>
      <c r="W84" s="1">
        <v>1</v>
      </c>
      <c r="Y84" s="1">
        <v>0</v>
      </c>
      <c r="Z84" s="1">
        <v>0</v>
      </c>
      <c r="AD84" s="1" t="str">
        <f t="shared" si="65"/>
        <v>4520271</v>
      </c>
      <c r="AE84" s="1" t="str">
        <f t="shared" si="66"/>
        <v>FUZHOU KINGDOM SHOES CO., LTD</v>
      </c>
      <c r="AG84" s="1">
        <v>0</v>
      </c>
      <c r="AH84" s="1">
        <v>0</v>
      </c>
      <c r="AI84" s="1" t="str">
        <f t="shared" si="60"/>
        <v>F06</v>
      </c>
      <c r="AJ84" s="1" t="str">
        <f t="shared" si="69"/>
        <v>WOMAN</v>
      </c>
      <c r="AK84" s="1" t="str">
        <f t="shared" si="61"/>
        <v>PA</v>
      </c>
      <c r="AP84" s="1" t="str">
        <f t="shared" si="62"/>
        <v>False</v>
      </c>
      <c r="AR84" s="1" t="str">
        <f t="shared" si="73"/>
        <v>ETNA</v>
      </c>
      <c r="AY84" s="1" t="str">
        <f t="shared" si="63"/>
        <v>PF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 t="str">
        <f t="shared" si="76"/>
        <v>A+TOMAIA SYNTHETIC PU VACCHETT</v>
      </c>
      <c r="BF84" s="1" t="str">
        <f t="shared" si="64"/>
        <v>Bonis SpA</v>
      </c>
      <c r="BO84" s="1">
        <v>0</v>
      </c>
      <c r="BP84" s="1">
        <v>0</v>
      </c>
      <c r="BQ84" s="1">
        <v>0</v>
      </c>
    </row>
    <row r="85" spans="2:69" x14ac:dyDescent="0.25">
      <c r="B85" s="1">
        <v>1735</v>
      </c>
      <c r="C85" s="1" t="str">
        <f>"VAIAN4209S7/G1"</f>
        <v>VAIAN4209S7/G1</v>
      </c>
      <c r="D85" s="1" t="str">
        <f>"ODA16N00302-892"</f>
        <v>ODA16N00302-892</v>
      </c>
      <c r="E85" s="1" t="str">
        <f>"C12 USPA"</f>
        <v>C12 USPA</v>
      </c>
      <c r="F85" s="1" t="str">
        <f t="shared" si="49"/>
        <v>BONIS SPA</v>
      </c>
      <c r="G85" s="1" t="str">
        <f t="shared" si="50"/>
        <v>STOCK TERRA MP</v>
      </c>
      <c r="H85" s="1" t="str">
        <f>"SKBL"</f>
        <v>SKBL</v>
      </c>
      <c r="J85" s="1">
        <v>1</v>
      </c>
      <c r="K85" s="1">
        <f t="shared" si="70"/>
        <v>12</v>
      </c>
      <c r="L85" s="1" t="str">
        <f t="shared" si="51"/>
        <v>01</v>
      </c>
      <c r="M85" s="1" t="str">
        <f t="shared" si="52"/>
        <v>101</v>
      </c>
      <c r="N85" s="1" t="str">
        <f t="shared" si="71"/>
        <v>004</v>
      </c>
      <c r="O85" s="1" t="str">
        <f t="shared" si="53"/>
        <v>00</v>
      </c>
      <c r="P85" s="1" t="str">
        <f t="shared" si="54"/>
        <v>S</v>
      </c>
      <c r="Q85" s="1" t="str">
        <f t="shared" si="55"/>
        <v>P</v>
      </c>
      <c r="R85" s="1" t="str">
        <f t="shared" si="56"/>
        <v>01</v>
      </c>
      <c r="S85" s="1" t="str">
        <f t="shared" si="57"/>
        <v>03</v>
      </c>
      <c r="T85" s="1" t="str">
        <f t="shared" si="58"/>
        <v>False</v>
      </c>
      <c r="U85" s="1" t="str">
        <f t="shared" si="59"/>
        <v>True</v>
      </c>
      <c r="V85" s="1" t="str">
        <f t="shared" si="72"/>
        <v>U0028015</v>
      </c>
      <c r="W85" s="1">
        <v>1</v>
      </c>
      <c r="Y85" s="1">
        <v>0</v>
      </c>
      <c r="Z85" s="1">
        <v>0</v>
      </c>
      <c r="AD85" s="1" t="str">
        <f t="shared" si="65"/>
        <v>4520271</v>
      </c>
      <c r="AE85" s="1" t="str">
        <f t="shared" si="66"/>
        <v>FUZHOU KINGDOM SHOES CO., LTD</v>
      </c>
      <c r="AG85" s="1">
        <v>0</v>
      </c>
      <c r="AH85" s="1">
        <v>0</v>
      </c>
      <c r="AI85" s="1" t="str">
        <f t="shared" si="60"/>
        <v>F06</v>
      </c>
      <c r="AJ85" s="1" t="str">
        <f>"UNISEX"</f>
        <v>UNISEX</v>
      </c>
      <c r="AK85" s="1" t="str">
        <f t="shared" si="61"/>
        <v>PA</v>
      </c>
      <c r="AP85" s="1" t="str">
        <f t="shared" si="62"/>
        <v>False</v>
      </c>
      <c r="AR85" s="1" t="str">
        <f>"VAIAN"</f>
        <v>VAIAN</v>
      </c>
      <c r="AY85" s="1" t="str">
        <f t="shared" si="63"/>
        <v>PF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 t="str">
        <f>"TOMAIA GOMMA"</f>
        <v>TOMAIA GOMMA</v>
      </c>
      <c r="BF85" s="1" t="str">
        <f t="shared" si="64"/>
        <v>Bonis SpA</v>
      </c>
      <c r="BO85" s="1">
        <v>0</v>
      </c>
      <c r="BP85" s="1">
        <v>0</v>
      </c>
      <c r="BQ85" s="1">
        <v>0</v>
      </c>
    </row>
    <row r="86" spans="2:69" x14ac:dyDescent="0.25">
      <c r="B86" s="1">
        <v>1737</v>
      </c>
      <c r="C86" s="1" t="str">
        <f>"ELCOR4059S7/MH1"</f>
        <v>ELCOR4059S7/MH1</v>
      </c>
      <c r="D86" s="1" t="str">
        <f>"ODA16N00332-150"</f>
        <v>ODA16N00332-150</v>
      </c>
      <c r="E86" s="1" t="str">
        <f>"A8 USPA"</f>
        <v>A8 USPA</v>
      </c>
      <c r="F86" s="1" t="str">
        <f t="shared" si="49"/>
        <v>BONIS SPA</v>
      </c>
      <c r="G86" s="1" t="str">
        <f t="shared" si="50"/>
        <v>STOCK TERRA MP</v>
      </c>
      <c r="H86" s="1" t="str">
        <f>"WHI"</f>
        <v>WHI</v>
      </c>
      <c r="J86" s="1">
        <v>1</v>
      </c>
      <c r="K86" s="1">
        <f>8*J86</f>
        <v>8</v>
      </c>
      <c r="L86" s="1" t="str">
        <f t="shared" si="51"/>
        <v>01</v>
      </c>
      <c r="M86" s="1" t="str">
        <f t="shared" si="52"/>
        <v>101</v>
      </c>
      <c r="N86" s="1" t="str">
        <f>"006"</f>
        <v>006</v>
      </c>
      <c r="O86" s="1" t="str">
        <f t="shared" si="53"/>
        <v>00</v>
      </c>
      <c r="P86" s="1" t="str">
        <f t="shared" si="54"/>
        <v>S</v>
      </c>
      <c r="Q86" s="1" t="str">
        <f t="shared" si="55"/>
        <v>P</v>
      </c>
      <c r="R86" s="1" t="str">
        <f t="shared" si="56"/>
        <v>01</v>
      </c>
      <c r="S86" s="1" t="str">
        <f t="shared" si="57"/>
        <v>03</v>
      </c>
      <c r="T86" s="1" t="str">
        <f t="shared" si="58"/>
        <v>False</v>
      </c>
      <c r="U86" s="1" t="str">
        <f t="shared" si="59"/>
        <v>True</v>
      </c>
      <c r="V86" s="1" t="str">
        <f>"U0024638"</f>
        <v>U0024638</v>
      </c>
      <c r="W86" s="1">
        <v>1</v>
      </c>
      <c r="Y86" s="1">
        <v>0</v>
      </c>
      <c r="Z86" s="1">
        <v>0</v>
      </c>
      <c r="AD86" s="1" t="str">
        <f>"4520243"</f>
        <v>4520243</v>
      </c>
      <c r="AE86" s="1" t="str">
        <f>"XIAMEN UNIBEST IMP. EXP. CO."</f>
        <v>XIAMEN UNIBEST IMP. EXP. CO.</v>
      </c>
      <c r="AG86" s="1">
        <v>0</v>
      </c>
      <c r="AH86" s="1">
        <v>0</v>
      </c>
      <c r="AI86" s="1" t="str">
        <f t="shared" si="60"/>
        <v>F06</v>
      </c>
      <c r="AJ86" s="1" t="str">
        <f>"MAN"</f>
        <v>MAN</v>
      </c>
      <c r="AK86" s="1" t="str">
        <f t="shared" si="61"/>
        <v>PA</v>
      </c>
      <c r="AP86" s="1" t="str">
        <f t="shared" si="62"/>
        <v>False</v>
      </c>
      <c r="AR86" s="1" t="str">
        <f>"ELCOR"</f>
        <v>ELCOR</v>
      </c>
      <c r="AY86" s="1" t="str">
        <f t="shared" si="63"/>
        <v>PF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 t="str">
        <f>"BBER CUTING (ELCOR) MESH+MICRO"</f>
        <v>BBER CUTING (ELCOR) MESH+MICRO</v>
      </c>
      <c r="BF86" s="1" t="str">
        <f t="shared" si="64"/>
        <v>Bonis SpA</v>
      </c>
      <c r="BO86" s="1">
        <v>0</v>
      </c>
      <c r="BP86" s="1">
        <v>0</v>
      </c>
      <c r="BQ86" s="1">
        <v>0</v>
      </c>
    </row>
    <row r="87" spans="2:69" x14ac:dyDescent="0.25">
      <c r="B87" s="1">
        <v>1737</v>
      </c>
      <c r="C87" s="1" t="str">
        <f>"EGLE4009S7/MH1"</f>
        <v>EGLE4009S7/MH1</v>
      </c>
      <c r="D87" s="1" t="str">
        <f>"ODA16N00336-070"</f>
        <v>ODA16N00336-070</v>
      </c>
      <c r="E87" s="1" t="str">
        <f>"D12 USPA"</f>
        <v>D12 USPA</v>
      </c>
      <c r="F87" s="1" t="str">
        <f t="shared" si="49"/>
        <v>BONIS SPA</v>
      </c>
      <c r="G87" s="1" t="str">
        <f t="shared" si="50"/>
        <v>STOCK TERRA MP</v>
      </c>
      <c r="H87" s="1" t="str">
        <f>"LIBL"</f>
        <v>LIBL</v>
      </c>
      <c r="J87" s="1">
        <v>1</v>
      </c>
      <c r="K87" s="1">
        <f t="shared" ref="K87:K88" si="77">12*J87</f>
        <v>12</v>
      </c>
      <c r="L87" s="1" t="str">
        <f t="shared" si="51"/>
        <v>01</v>
      </c>
      <c r="M87" s="1" t="str">
        <f t="shared" si="52"/>
        <v>101</v>
      </c>
      <c r="N87" s="1" t="str">
        <f>"006"</f>
        <v>006</v>
      </c>
      <c r="O87" s="1" t="str">
        <f t="shared" si="53"/>
        <v>00</v>
      </c>
      <c r="P87" s="1" t="str">
        <f t="shared" si="54"/>
        <v>S</v>
      </c>
      <c r="Q87" s="1" t="str">
        <f t="shared" si="55"/>
        <v>P</v>
      </c>
      <c r="R87" s="1" t="str">
        <f t="shared" si="56"/>
        <v>01</v>
      </c>
      <c r="S87" s="1" t="str">
        <f t="shared" si="57"/>
        <v>03</v>
      </c>
      <c r="T87" s="1" t="str">
        <f t="shared" si="58"/>
        <v>False</v>
      </c>
      <c r="U87" s="1" t="str">
        <f t="shared" si="59"/>
        <v>True</v>
      </c>
      <c r="V87" s="1" t="str">
        <f>"U0024638"</f>
        <v>U0024638</v>
      </c>
      <c r="W87" s="1">
        <v>1</v>
      </c>
      <c r="Y87" s="1">
        <v>0</v>
      </c>
      <c r="Z87" s="1">
        <v>0</v>
      </c>
      <c r="AD87" s="1" t="str">
        <f>"4520243"</f>
        <v>4520243</v>
      </c>
      <c r="AE87" s="1" t="str">
        <f>"XIAMEN UNIBEST IMP. EXP. CO."</f>
        <v>XIAMEN UNIBEST IMP. EXP. CO.</v>
      </c>
      <c r="AG87" s="1">
        <v>0</v>
      </c>
      <c r="AH87" s="1">
        <v>0</v>
      </c>
      <c r="AI87" s="1" t="str">
        <f t="shared" si="60"/>
        <v>F06</v>
      </c>
      <c r="AJ87" s="1" t="str">
        <f>"WOMAN"</f>
        <v>WOMAN</v>
      </c>
      <c r="AK87" s="1" t="str">
        <f t="shared" si="61"/>
        <v>PA</v>
      </c>
      <c r="AP87" s="1" t="str">
        <f t="shared" si="62"/>
        <v>False</v>
      </c>
      <c r="AR87" s="1" t="str">
        <f>"EGLE"</f>
        <v>EGLE</v>
      </c>
      <c r="AY87" s="1" t="str">
        <f t="shared" si="63"/>
        <v>PF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 t="str">
        <f>"ER-EVA MESH + MICROSUEDE"</f>
        <v>ER-EVA MESH + MICROSUEDE</v>
      </c>
      <c r="BF87" s="1" t="str">
        <f t="shared" si="64"/>
        <v>Bonis SpA</v>
      </c>
      <c r="BO87" s="1">
        <v>0</v>
      </c>
      <c r="BP87" s="1">
        <v>0</v>
      </c>
      <c r="BQ87" s="1">
        <v>0</v>
      </c>
    </row>
    <row r="88" spans="2:69" x14ac:dyDescent="0.25">
      <c r="B88" s="1">
        <v>1737</v>
      </c>
      <c r="C88" s="1" t="str">
        <f>"EGLE4009S7/MH1"</f>
        <v>EGLE4009S7/MH1</v>
      </c>
      <c r="D88" s="1" t="str">
        <f>"ODA16N00336-087"</f>
        <v>ODA16N00336-087</v>
      </c>
      <c r="E88" s="1" t="str">
        <f>"D12 USPA"</f>
        <v>D12 USPA</v>
      </c>
      <c r="F88" s="1" t="str">
        <f t="shared" si="49"/>
        <v>BONIS SPA</v>
      </c>
      <c r="G88" s="1" t="str">
        <f t="shared" si="50"/>
        <v>STOCK TERRA MP</v>
      </c>
      <c r="H88" s="1" t="str">
        <f>"LIBL"</f>
        <v>LIBL</v>
      </c>
      <c r="J88" s="1">
        <v>1</v>
      </c>
      <c r="K88" s="1">
        <f t="shared" si="77"/>
        <v>12</v>
      </c>
      <c r="L88" s="1" t="str">
        <f t="shared" si="51"/>
        <v>01</v>
      </c>
      <c r="M88" s="1" t="str">
        <f t="shared" si="52"/>
        <v>101</v>
      </c>
      <c r="N88" s="1" t="str">
        <f>"006"</f>
        <v>006</v>
      </c>
      <c r="O88" s="1" t="str">
        <f t="shared" si="53"/>
        <v>00</v>
      </c>
      <c r="P88" s="1" t="str">
        <f t="shared" si="54"/>
        <v>S</v>
      </c>
      <c r="Q88" s="1" t="str">
        <f t="shared" si="55"/>
        <v>P</v>
      </c>
      <c r="R88" s="1" t="str">
        <f t="shared" si="56"/>
        <v>01</v>
      </c>
      <c r="S88" s="1" t="str">
        <f t="shared" si="57"/>
        <v>03</v>
      </c>
      <c r="T88" s="1" t="str">
        <f t="shared" si="58"/>
        <v>False</v>
      </c>
      <c r="U88" s="1" t="str">
        <f t="shared" si="59"/>
        <v>True</v>
      </c>
      <c r="V88" s="1" t="str">
        <f>"U0024638"</f>
        <v>U0024638</v>
      </c>
      <c r="W88" s="1">
        <v>1</v>
      </c>
      <c r="Y88" s="1">
        <v>0</v>
      </c>
      <c r="Z88" s="1">
        <v>0</v>
      </c>
      <c r="AD88" s="1" t="str">
        <f>"4520243"</f>
        <v>4520243</v>
      </c>
      <c r="AE88" s="1" t="str">
        <f>"XIAMEN UNIBEST IMP. EXP. CO."</f>
        <v>XIAMEN UNIBEST IMP. EXP. CO.</v>
      </c>
      <c r="AG88" s="1">
        <v>0</v>
      </c>
      <c r="AH88" s="1">
        <v>0</v>
      </c>
      <c r="AI88" s="1" t="str">
        <f t="shared" si="60"/>
        <v>F06</v>
      </c>
      <c r="AJ88" s="1" t="str">
        <f>"WOMAN"</f>
        <v>WOMAN</v>
      </c>
      <c r="AK88" s="1" t="str">
        <f t="shared" si="61"/>
        <v>PA</v>
      </c>
      <c r="AP88" s="1" t="str">
        <f t="shared" si="62"/>
        <v>False</v>
      </c>
      <c r="AR88" s="1" t="str">
        <f>"EGLE"</f>
        <v>EGLE</v>
      </c>
      <c r="AY88" s="1" t="str">
        <f t="shared" si="63"/>
        <v>PF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 t="str">
        <f>"ER-EVA MESH + MICROSUEDE"</f>
        <v>ER-EVA MESH + MICROSUEDE</v>
      </c>
      <c r="BF88" s="1" t="str">
        <f t="shared" si="64"/>
        <v>Bonis SpA</v>
      </c>
      <c r="BO88" s="1">
        <v>0</v>
      </c>
      <c r="BP88" s="1">
        <v>0</v>
      </c>
      <c r="BQ88" s="1">
        <v>0</v>
      </c>
    </row>
    <row r="89" spans="2:69" x14ac:dyDescent="0.25">
      <c r="B89" s="1">
        <v>1734</v>
      </c>
      <c r="C89" s="1" t="str">
        <f>"NOBIW4132S7/NH1"</f>
        <v>NOBIW4132S7/NH1</v>
      </c>
      <c r="D89" s="1" t="str">
        <f>"ODA16N00345-109"</f>
        <v>ODA16N00345-109</v>
      </c>
      <c r="E89" s="1" t="str">
        <f>"K8 USPA"</f>
        <v>K8 USPA</v>
      </c>
      <c r="F89" s="1" t="str">
        <f t="shared" si="49"/>
        <v>BONIS SPA</v>
      </c>
      <c r="G89" s="1" t="str">
        <f t="shared" si="50"/>
        <v>STOCK TERRA MP</v>
      </c>
      <c r="H89" s="1" t="str">
        <f>"FUX"</f>
        <v>FUX</v>
      </c>
      <c r="J89" s="1">
        <v>1</v>
      </c>
      <c r="K89" s="1">
        <f>8*J89</f>
        <v>8</v>
      </c>
      <c r="L89" s="1" t="str">
        <f t="shared" si="51"/>
        <v>01</v>
      </c>
      <c r="M89" s="1" t="str">
        <f t="shared" si="52"/>
        <v>101</v>
      </c>
      <c r="N89" s="1" t="str">
        <f>"003"</f>
        <v>003</v>
      </c>
      <c r="O89" s="1" t="str">
        <f t="shared" si="53"/>
        <v>00</v>
      </c>
      <c r="P89" s="1" t="str">
        <f t="shared" si="54"/>
        <v>S</v>
      </c>
      <c r="Q89" s="1" t="str">
        <f t="shared" si="55"/>
        <v>P</v>
      </c>
      <c r="R89" s="1" t="str">
        <f t="shared" si="56"/>
        <v>01</v>
      </c>
      <c r="S89" s="1" t="str">
        <f t="shared" si="57"/>
        <v>03</v>
      </c>
      <c r="T89" s="1" t="str">
        <f t="shared" si="58"/>
        <v>False</v>
      </c>
      <c r="U89" s="1" t="str">
        <f t="shared" si="59"/>
        <v>True</v>
      </c>
      <c r="V89" s="1" t="str">
        <f>"U0023945"</f>
        <v>U0023945</v>
      </c>
      <c r="W89" s="1">
        <v>1</v>
      </c>
      <c r="Y89" s="1">
        <v>0</v>
      </c>
      <c r="Z89" s="1">
        <v>0</v>
      </c>
      <c r="AD89" s="1" t="str">
        <f>"4520182"</f>
        <v>4520182</v>
      </c>
      <c r="AE89" s="1" t="str">
        <f>"32 Joint Stock Company (Aseco)"</f>
        <v>32 Joint Stock Company (Aseco)</v>
      </c>
      <c r="AG89" s="1">
        <v>0</v>
      </c>
      <c r="AH89" s="1">
        <v>0</v>
      </c>
      <c r="AI89" s="1" t="str">
        <f t="shared" si="60"/>
        <v>F06</v>
      </c>
      <c r="AJ89" s="1" t="str">
        <f>"WOMAN"</f>
        <v>WOMAN</v>
      </c>
      <c r="AK89" s="1" t="str">
        <f t="shared" si="61"/>
        <v>PA</v>
      </c>
      <c r="AP89" s="1" t="str">
        <f t="shared" si="62"/>
        <v>False</v>
      </c>
      <c r="AR89" s="1" t="str">
        <f>"NOBIW"</f>
        <v>NOBIW</v>
      </c>
      <c r="AY89" s="1" t="str">
        <f t="shared" si="63"/>
        <v>PF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 t="str">
        <f>"UBBER FLAT MOL.NYLON+MICROSUED"</f>
        <v>UBBER FLAT MOL.NYLON+MICROSUED</v>
      </c>
      <c r="BF89" s="1" t="str">
        <f t="shared" si="64"/>
        <v>Bonis SpA</v>
      </c>
      <c r="BO89" s="1">
        <v>0</v>
      </c>
      <c r="BP89" s="1">
        <v>0</v>
      </c>
      <c r="BQ89" s="1">
        <v>0</v>
      </c>
    </row>
    <row r="90" spans="2:69" x14ac:dyDescent="0.25">
      <c r="B90" s="1">
        <v>1745</v>
      </c>
      <c r="C90" s="1" t="str">
        <f t="shared" ref="C90:C134" si="78">"NOBIL4044S6/NH1A"</f>
        <v>NOBIL4044S6/NH1A</v>
      </c>
      <c r="D90" s="1" t="str">
        <f>"ODA16N00394-505"</f>
        <v>ODA16N00394-505</v>
      </c>
      <c r="E90" s="1" t="str">
        <f t="shared" ref="E90:E134" si="79">"C12 USPA"</f>
        <v>C12 USPA</v>
      </c>
      <c r="F90" s="1" t="str">
        <f t="shared" si="49"/>
        <v>BONIS SPA</v>
      </c>
      <c r="G90" s="1" t="str">
        <f t="shared" si="50"/>
        <v>STOCK TERRA MP</v>
      </c>
      <c r="H90" s="1" t="str">
        <f t="shared" ref="H90:H134" si="80">"WHI"</f>
        <v>WHI</v>
      </c>
      <c r="J90" s="1">
        <v>1</v>
      </c>
      <c r="K90" s="1">
        <f t="shared" ref="K90:K153" si="81">12*J90</f>
        <v>12</v>
      </c>
      <c r="L90" s="1" t="str">
        <f t="shared" si="51"/>
        <v>01</v>
      </c>
      <c r="M90" s="1" t="str">
        <f t="shared" si="52"/>
        <v>101</v>
      </c>
      <c r="N90" s="1" t="str">
        <f>"014"</f>
        <v>014</v>
      </c>
      <c r="O90" s="1" t="str">
        <f t="shared" si="53"/>
        <v>00</v>
      </c>
      <c r="P90" s="1" t="str">
        <f t="shared" si="54"/>
        <v>S</v>
      </c>
      <c r="Q90" s="1" t="str">
        <f t="shared" si="55"/>
        <v>P</v>
      </c>
      <c r="R90" s="1" t="str">
        <f t="shared" si="56"/>
        <v>01</v>
      </c>
      <c r="S90" s="1" t="str">
        <f t="shared" si="57"/>
        <v>03</v>
      </c>
      <c r="T90" s="1" t="str">
        <f t="shared" si="58"/>
        <v>False</v>
      </c>
      <c r="U90" s="1" t="str">
        <f t="shared" si="59"/>
        <v>True</v>
      </c>
      <c r="V90" s="1" t="str">
        <f>"U0031249"</f>
        <v>U0031249</v>
      </c>
      <c r="W90" s="1">
        <v>1</v>
      </c>
      <c r="Y90" s="1">
        <v>0</v>
      </c>
      <c r="Z90" s="1">
        <v>0</v>
      </c>
      <c r="AB90" s="1" t="str">
        <f t="shared" ref="AB90:AB121" si="82">"SMU"</f>
        <v>SMU</v>
      </c>
      <c r="AD90" s="1" t="str">
        <f t="shared" ref="AD90:AD134" si="83">"4520307"</f>
        <v>4520307</v>
      </c>
      <c r="AE90" s="1" t="str">
        <f t="shared" ref="AE90:AE134" si="84">"CHENGDU JOY SHINE FOOTWEAR LTD"</f>
        <v>CHENGDU JOY SHINE FOOTWEAR LTD</v>
      </c>
      <c r="AG90" s="1">
        <v>0</v>
      </c>
      <c r="AH90" s="1">
        <v>0</v>
      </c>
      <c r="AI90" s="1" t="str">
        <f t="shared" si="60"/>
        <v>F06</v>
      </c>
      <c r="AJ90" s="1" t="str">
        <f t="shared" ref="AJ90:AJ134" si="85">"MAN"</f>
        <v>MAN</v>
      </c>
      <c r="AK90" s="1" t="str">
        <f t="shared" si="61"/>
        <v>PA</v>
      </c>
      <c r="AP90" s="1" t="str">
        <f t="shared" si="62"/>
        <v>False</v>
      </c>
      <c r="AR90" s="1" t="str">
        <f t="shared" ref="AR90:AR134" si="86">"NOBIL"</f>
        <v>NOBIL</v>
      </c>
      <c r="AY90" s="1" t="str">
        <f t="shared" si="63"/>
        <v>PF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 t="str">
        <f t="shared" ref="BE90:BE134" si="87">"BBER FLAT MOL.NYLON+MICROSUEDE"</f>
        <v>BBER FLAT MOL.NYLON+MICROSUEDE</v>
      </c>
      <c r="BF90" s="1" t="str">
        <f t="shared" si="64"/>
        <v>Bonis SpA</v>
      </c>
      <c r="BO90" s="1">
        <v>0</v>
      </c>
      <c r="BP90" s="1">
        <v>0</v>
      </c>
      <c r="BQ90" s="1">
        <v>0</v>
      </c>
    </row>
    <row r="91" spans="2:69" x14ac:dyDescent="0.25">
      <c r="B91" s="1">
        <v>1745</v>
      </c>
      <c r="C91" s="1" t="str">
        <f t="shared" si="78"/>
        <v>NOBIL4044S6/NH1A</v>
      </c>
      <c r="D91" s="1" t="str">
        <f>"ODA16N00394-506"</f>
        <v>ODA16N00394-506</v>
      </c>
      <c r="E91" s="1" t="str">
        <f t="shared" si="79"/>
        <v>C12 USPA</v>
      </c>
      <c r="F91" s="1" t="str">
        <f t="shared" si="49"/>
        <v>BONIS SPA</v>
      </c>
      <c r="G91" s="1" t="str">
        <f t="shared" si="50"/>
        <v>STOCK TERRA MP</v>
      </c>
      <c r="H91" s="1" t="str">
        <f t="shared" si="80"/>
        <v>WHI</v>
      </c>
      <c r="J91" s="1">
        <v>1</v>
      </c>
      <c r="K91" s="1">
        <f t="shared" si="81"/>
        <v>12</v>
      </c>
      <c r="L91" s="1" t="str">
        <f t="shared" si="51"/>
        <v>01</v>
      </c>
      <c r="M91" s="1" t="str">
        <f t="shared" si="52"/>
        <v>101</v>
      </c>
      <c r="N91" s="1" t="str">
        <f>"014"</f>
        <v>014</v>
      </c>
      <c r="O91" s="1" t="str">
        <f t="shared" si="53"/>
        <v>00</v>
      </c>
      <c r="P91" s="1" t="str">
        <f t="shared" si="54"/>
        <v>S</v>
      </c>
      <c r="Q91" s="1" t="str">
        <f t="shared" si="55"/>
        <v>P</v>
      </c>
      <c r="R91" s="1" t="str">
        <f t="shared" si="56"/>
        <v>01</v>
      </c>
      <c r="S91" s="1" t="str">
        <f t="shared" si="57"/>
        <v>03</v>
      </c>
      <c r="T91" s="1" t="str">
        <f t="shared" si="58"/>
        <v>False</v>
      </c>
      <c r="U91" s="1" t="str">
        <f t="shared" si="59"/>
        <v>True</v>
      </c>
      <c r="V91" s="1" t="str">
        <f>"U0031249"</f>
        <v>U0031249</v>
      </c>
      <c r="W91" s="1">
        <v>1</v>
      </c>
      <c r="Y91" s="1">
        <v>0</v>
      </c>
      <c r="Z91" s="1">
        <v>0</v>
      </c>
      <c r="AB91" s="1" t="str">
        <f t="shared" si="82"/>
        <v>SMU</v>
      </c>
      <c r="AD91" s="1" t="str">
        <f t="shared" si="83"/>
        <v>4520307</v>
      </c>
      <c r="AE91" s="1" t="str">
        <f t="shared" si="84"/>
        <v>CHENGDU JOY SHINE FOOTWEAR LTD</v>
      </c>
      <c r="AG91" s="1">
        <v>0</v>
      </c>
      <c r="AH91" s="1">
        <v>0</v>
      </c>
      <c r="AI91" s="1" t="str">
        <f t="shared" si="60"/>
        <v>F06</v>
      </c>
      <c r="AJ91" s="1" t="str">
        <f t="shared" si="85"/>
        <v>MAN</v>
      </c>
      <c r="AK91" s="1" t="str">
        <f t="shared" si="61"/>
        <v>PA</v>
      </c>
      <c r="AP91" s="1" t="str">
        <f t="shared" si="62"/>
        <v>False</v>
      </c>
      <c r="AR91" s="1" t="str">
        <f t="shared" si="86"/>
        <v>NOBIL</v>
      </c>
      <c r="AY91" s="1" t="str">
        <f t="shared" si="63"/>
        <v>PF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 t="str">
        <f t="shared" si="87"/>
        <v>BBER FLAT MOL.NYLON+MICROSUEDE</v>
      </c>
      <c r="BF91" s="1" t="str">
        <f t="shared" si="64"/>
        <v>Bonis SpA</v>
      </c>
      <c r="BO91" s="1">
        <v>0</v>
      </c>
      <c r="BP91" s="1">
        <v>0</v>
      </c>
      <c r="BQ91" s="1">
        <v>0</v>
      </c>
    </row>
    <row r="92" spans="2:69" x14ac:dyDescent="0.25">
      <c r="B92" s="1">
        <v>1745</v>
      </c>
      <c r="C92" s="1" t="str">
        <f t="shared" si="78"/>
        <v>NOBIL4044S6/NH1A</v>
      </c>
      <c r="D92" s="1" t="str">
        <f>"ODA16N00394-507"</f>
        <v>ODA16N00394-507</v>
      </c>
      <c r="E92" s="1" t="str">
        <f t="shared" si="79"/>
        <v>C12 USPA</v>
      </c>
      <c r="F92" s="1" t="str">
        <f t="shared" si="49"/>
        <v>BONIS SPA</v>
      </c>
      <c r="G92" s="1" t="str">
        <f t="shared" si="50"/>
        <v>STOCK TERRA MP</v>
      </c>
      <c r="H92" s="1" t="str">
        <f t="shared" si="80"/>
        <v>WHI</v>
      </c>
      <c r="J92" s="1">
        <v>1</v>
      </c>
      <c r="K92" s="1">
        <f t="shared" si="81"/>
        <v>12</v>
      </c>
      <c r="L92" s="1" t="str">
        <f t="shared" si="51"/>
        <v>01</v>
      </c>
      <c r="M92" s="1" t="str">
        <f t="shared" si="52"/>
        <v>101</v>
      </c>
      <c r="N92" s="1" t="str">
        <f>"014"</f>
        <v>014</v>
      </c>
      <c r="O92" s="1" t="str">
        <f t="shared" si="53"/>
        <v>00</v>
      </c>
      <c r="P92" s="1" t="str">
        <f t="shared" si="54"/>
        <v>S</v>
      </c>
      <c r="Q92" s="1" t="str">
        <f t="shared" si="55"/>
        <v>P</v>
      </c>
      <c r="R92" s="1" t="str">
        <f t="shared" si="56"/>
        <v>01</v>
      </c>
      <c r="S92" s="1" t="str">
        <f t="shared" si="57"/>
        <v>03</v>
      </c>
      <c r="T92" s="1" t="str">
        <f t="shared" si="58"/>
        <v>False</v>
      </c>
      <c r="U92" s="1" t="str">
        <f t="shared" si="59"/>
        <v>True</v>
      </c>
      <c r="V92" s="1" t="str">
        <f>"U0031249"</f>
        <v>U0031249</v>
      </c>
      <c r="W92" s="1">
        <v>1</v>
      </c>
      <c r="Y92" s="1">
        <v>0</v>
      </c>
      <c r="Z92" s="1">
        <v>0</v>
      </c>
      <c r="AB92" s="1" t="str">
        <f t="shared" si="82"/>
        <v>SMU</v>
      </c>
      <c r="AD92" s="1" t="str">
        <f t="shared" si="83"/>
        <v>4520307</v>
      </c>
      <c r="AE92" s="1" t="str">
        <f t="shared" si="84"/>
        <v>CHENGDU JOY SHINE FOOTWEAR LTD</v>
      </c>
      <c r="AG92" s="1">
        <v>0</v>
      </c>
      <c r="AH92" s="1">
        <v>0</v>
      </c>
      <c r="AI92" s="1" t="str">
        <f t="shared" si="60"/>
        <v>F06</v>
      </c>
      <c r="AJ92" s="1" t="str">
        <f t="shared" si="85"/>
        <v>MAN</v>
      </c>
      <c r="AK92" s="1" t="str">
        <f t="shared" si="61"/>
        <v>PA</v>
      </c>
      <c r="AP92" s="1" t="str">
        <f t="shared" si="62"/>
        <v>False</v>
      </c>
      <c r="AR92" s="1" t="str">
        <f t="shared" si="86"/>
        <v>NOBIL</v>
      </c>
      <c r="AY92" s="1" t="str">
        <f t="shared" si="63"/>
        <v>PF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 t="str">
        <f t="shared" si="87"/>
        <v>BBER FLAT MOL.NYLON+MICROSUEDE</v>
      </c>
      <c r="BF92" s="1" t="str">
        <f t="shared" si="64"/>
        <v>Bonis SpA</v>
      </c>
      <c r="BO92" s="1">
        <v>0</v>
      </c>
      <c r="BP92" s="1">
        <v>0</v>
      </c>
      <c r="BQ92" s="1">
        <v>0</v>
      </c>
    </row>
    <row r="93" spans="2:69" x14ac:dyDescent="0.25">
      <c r="B93" s="1">
        <v>1733</v>
      </c>
      <c r="C93" s="1" t="str">
        <f t="shared" si="78"/>
        <v>NOBIL4044S6/NH1A</v>
      </c>
      <c r="D93" s="1" t="str">
        <f>"ODA16N00394-508"</f>
        <v>ODA16N00394-508</v>
      </c>
      <c r="E93" s="1" t="str">
        <f t="shared" si="79"/>
        <v>C12 USPA</v>
      </c>
      <c r="F93" s="1" t="str">
        <f t="shared" si="49"/>
        <v>BONIS SPA</v>
      </c>
      <c r="G93" s="1" t="str">
        <f t="shared" si="50"/>
        <v>STOCK TERRA MP</v>
      </c>
      <c r="H93" s="1" t="str">
        <f t="shared" si="80"/>
        <v>WHI</v>
      </c>
      <c r="J93" s="1">
        <v>1</v>
      </c>
      <c r="K93" s="1">
        <f t="shared" si="81"/>
        <v>12</v>
      </c>
      <c r="L93" s="1" t="str">
        <f t="shared" si="51"/>
        <v>01</v>
      </c>
      <c r="M93" s="1" t="str">
        <f t="shared" si="52"/>
        <v>101</v>
      </c>
      <c r="N93" s="1" t="str">
        <f>"002"</f>
        <v>002</v>
      </c>
      <c r="O93" s="1" t="str">
        <f t="shared" si="53"/>
        <v>00</v>
      </c>
      <c r="P93" s="1" t="str">
        <f t="shared" si="54"/>
        <v>S</v>
      </c>
      <c r="Q93" s="1" t="str">
        <f t="shared" si="55"/>
        <v>P</v>
      </c>
      <c r="R93" s="1" t="str">
        <f t="shared" si="56"/>
        <v>01</v>
      </c>
      <c r="S93" s="1" t="str">
        <f t="shared" si="57"/>
        <v>03</v>
      </c>
      <c r="T93" s="1" t="str">
        <f t="shared" si="58"/>
        <v>False</v>
      </c>
      <c r="U93" s="1" t="str">
        <f t="shared" si="59"/>
        <v>True</v>
      </c>
      <c r="V93" s="1" t="str">
        <f>"U0031247"</f>
        <v>U0031247</v>
      </c>
      <c r="W93" s="1">
        <v>1</v>
      </c>
      <c r="Y93" s="1">
        <v>0</v>
      </c>
      <c r="Z93" s="1">
        <v>0</v>
      </c>
      <c r="AB93" s="1" t="str">
        <f t="shared" si="82"/>
        <v>SMU</v>
      </c>
      <c r="AD93" s="1" t="str">
        <f t="shared" si="83"/>
        <v>4520307</v>
      </c>
      <c r="AE93" s="1" t="str">
        <f t="shared" si="84"/>
        <v>CHENGDU JOY SHINE FOOTWEAR LTD</v>
      </c>
      <c r="AG93" s="1">
        <v>0</v>
      </c>
      <c r="AH93" s="1">
        <v>0</v>
      </c>
      <c r="AI93" s="1" t="str">
        <f t="shared" si="60"/>
        <v>F06</v>
      </c>
      <c r="AJ93" s="1" t="str">
        <f t="shared" si="85"/>
        <v>MAN</v>
      </c>
      <c r="AK93" s="1" t="str">
        <f t="shared" si="61"/>
        <v>PA</v>
      </c>
      <c r="AP93" s="1" t="str">
        <f t="shared" si="62"/>
        <v>False</v>
      </c>
      <c r="AR93" s="1" t="str">
        <f t="shared" si="86"/>
        <v>NOBIL</v>
      </c>
      <c r="AY93" s="1" t="str">
        <f t="shared" si="63"/>
        <v>PF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 t="str">
        <f t="shared" si="87"/>
        <v>BBER FLAT MOL.NYLON+MICROSUEDE</v>
      </c>
      <c r="BF93" s="1" t="str">
        <f t="shared" si="64"/>
        <v>Bonis SpA</v>
      </c>
      <c r="BO93" s="1">
        <v>0</v>
      </c>
      <c r="BP93" s="1">
        <v>0</v>
      </c>
      <c r="BQ93" s="1">
        <v>0</v>
      </c>
    </row>
    <row r="94" spans="2:69" x14ac:dyDescent="0.25">
      <c r="B94" s="1">
        <v>1733</v>
      </c>
      <c r="C94" s="1" t="str">
        <f t="shared" si="78"/>
        <v>NOBIL4044S6/NH1A</v>
      </c>
      <c r="D94" s="1" t="str">
        <f>"ODA16N00394-509"</f>
        <v>ODA16N00394-509</v>
      </c>
      <c r="E94" s="1" t="str">
        <f t="shared" si="79"/>
        <v>C12 USPA</v>
      </c>
      <c r="F94" s="1" t="str">
        <f t="shared" si="49"/>
        <v>BONIS SPA</v>
      </c>
      <c r="G94" s="1" t="str">
        <f t="shared" si="50"/>
        <v>STOCK TERRA MP</v>
      </c>
      <c r="H94" s="1" t="str">
        <f t="shared" si="80"/>
        <v>WHI</v>
      </c>
      <c r="J94" s="1">
        <v>1</v>
      </c>
      <c r="K94" s="1">
        <f t="shared" si="81"/>
        <v>12</v>
      </c>
      <c r="L94" s="1" t="str">
        <f t="shared" si="51"/>
        <v>01</v>
      </c>
      <c r="M94" s="1" t="str">
        <f t="shared" si="52"/>
        <v>101</v>
      </c>
      <c r="N94" s="1" t="str">
        <f>"002"</f>
        <v>002</v>
      </c>
      <c r="O94" s="1" t="str">
        <f t="shared" si="53"/>
        <v>00</v>
      </c>
      <c r="P94" s="1" t="str">
        <f t="shared" si="54"/>
        <v>S</v>
      </c>
      <c r="Q94" s="1" t="str">
        <f t="shared" si="55"/>
        <v>P</v>
      </c>
      <c r="R94" s="1" t="str">
        <f t="shared" si="56"/>
        <v>01</v>
      </c>
      <c r="S94" s="1" t="str">
        <f t="shared" si="57"/>
        <v>03</v>
      </c>
      <c r="T94" s="1" t="str">
        <f t="shared" si="58"/>
        <v>False</v>
      </c>
      <c r="U94" s="1" t="str">
        <f t="shared" si="59"/>
        <v>True</v>
      </c>
      <c r="V94" s="1" t="str">
        <f>"U0031247"</f>
        <v>U0031247</v>
      </c>
      <c r="W94" s="1">
        <v>1</v>
      </c>
      <c r="Y94" s="1">
        <v>0</v>
      </c>
      <c r="Z94" s="1">
        <v>0</v>
      </c>
      <c r="AB94" s="1" t="str">
        <f t="shared" si="82"/>
        <v>SMU</v>
      </c>
      <c r="AD94" s="1" t="str">
        <f t="shared" si="83"/>
        <v>4520307</v>
      </c>
      <c r="AE94" s="1" t="str">
        <f t="shared" si="84"/>
        <v>CHENGDU JOY SHINE FOOTWEAR LTD</v>
      </c>
      <c r="AG94" s="1">
        <v>0</v>
      </c>
      <c r="AH94" s="1">
        <v>0</v>
      </c>
      <c r="AI94" s="1" t="str">
        <f t="shared" si="60"/>
        <v>F06</v>
      </c>
      <c r="AJ94" s="1" t="str">
        <f t="shared" si="85"/>
        <v>MAN</v>
      </c>
      <c r="AK94" s="1" t="str">
        <f t="shared" si="61"/>
        <v>PA</v>
      </c>
      <c r="AP94" s="1" t="str">
        <f t="shared" si="62"/>
        <v>False</v>
      </c>
      <c r="AR94" s="1" t="str">
        <f t="shared" si="86"/>
        <v>NOBIL</v>
      </c>
      <c r="AY94" s="1" t="str">
        <f t="shared" si="63"/>
        <v>PF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 t="str">
        <f t="shared" si="87"/>
        <v>BBER FLAT MOL.NYLON+MICROSUEDE</v>
      </c>
      <c r="BF94" s="1" t="str">
        <f t="shared" si="64"/>
        <v>Bonis SpA</v>
      </c>
      <c r="BO94" s="1">
        <v>0</v>
      </c>
      <c r="BP94" s="1">
        <v>0</v>
      </c>
      <c r="BQ94" s="1">
        <v>0</v>
      </c>
    </row>
    <row r="95" spans="2:69" x14ac:dyDescent="0.25">
      <c r="B95" s="1">
        <v>1745</v>
      </c>
      <c r="C95" s="1" t="str">
        <f t="shared" si="78"/>
        <v>NOBIL4044S6/NH1A</v>
      </c>
      <c r="D95" s="1" t="str">
        <f>"ODA16N00394-511"</f>
        <v>ODA16N00394-511</v>
      </c>
      <c r="E95" s="1" t="str">
        <f t="shared" si="79"/>
        <v>C12 USPA</v>
      </c>
      <c r="F95" s="1" t="str">
        <f t="shared" si="49"/>
        <v>BONIS SPA</v>
      </c>
      <c r="G95" s="1" t="str">
        <f t="shared" si="50"/>
        <v>STOCK TERRA MP</v>
      </c>
      <c r="H95" s="1" t="str">
        <f t="shared" si="80"/>
        <v>WHI</v>
      </c>
      <c r="J95" s="1">
        <v>1</v>
      </c>
      <c r="K95" s="1">
        <f t="shared" si="81"/>
        <v>12</v>
      </c>
      <c r="L95" s="1" t="str">
        <f t="shared" si="51"/>
        <v>01</v>
      </c>
      <c r="M95" s="1" t="str">
        <f t="shared" si="52"/>
        <v>101</v>
      </c>
      <c r="N95" s="1" t="str">
        <f>"014"</f>
        <v>014</v>
      </c>
      <c r="O95" s="1" t="str">
        <f t="shared" si="53"/>
        <v>00</v>
      </c>
      <c r="P95" s="1" t="str">
        <f t="shared" si="54"/>
        <v>S</v>
      </c>
      <c r="Q95" s="1" t="str">
        <f t="shared" si="55"/>
        <v>P</v>
      </c>
      <c r="R95" s="1" t="str">
        <f t="shared" si="56"/>
        <v>01</v>
      </c>
      <c r="S95" s="1" t="str">
        <f t="shared" si="57"/>
        <v>03</v>
      </c>
      <c r="T95" s="1" t="str">
        <f t="shared" si="58"/>
        <v>False</v>
      </c>
      <c r="U95" s="1" t="str">
        <f t="shared" si="59"/>
        <v>True</v>
      </c>
      <c r="V95" s="1" t="str">
        <f>"U0031249"</f>
        <v>U0031249</v>
      </c>
      <c r="W95" s="1">
        <v>1</v>
      </c>
      <c r="Y95" s="1">
        <v>0</v>
      </c>
      <c r="Z95" s="1">
        <v>0</v>
      </c>
      <c r="AB95" s="1" t="str">
        <f t="shared" si="82"/>
        <v>SMU</v>
      </c>
      <c r="AD95" s="1" t="str">
        <f t="shared" si="83"/>
        <v>4520307</v>
      </c>
      <c r="AE95" s="1" t="str">
        <f t="shared" si="84"/>
        <v>CHENGDU JOY SHINE FOOTWEAR LTD</v>
      </c>
      <c r="AG95" s="1">
        <v>0</v>
      </c>
      <c r="AH95" s="1">
        <v>0</v>
      </c>
      <c r="AI95" s="1" t="str">
        <f t="shared" si="60"/>
        <v>F06</v>
      </c>
      <c r="AJ95" s="1" t="str">
        <f t="shared" si="85"/>
        <v>MAN</v>
      </c>
      <c r="AK95" s="1" t="str">
        <f t="shared" si="61"/>
        <v>PA</v>
      </c>
      <c r="AP95" s="1" t="str">
        <f t="shared" si="62"/>
        <v>False</v>
      </c>
      <c r="AR95" s="1" t="str">
        <f t="shared" si="86"/>
        <v>NOBIL</v>
      </c>
      <c r="AY95" s="1" t="str">
        <f t="shared" si="63"/>
        <v>PF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 t="str">
        <f t="shared" si="87"/>
        <v>BBER FLAT MOL.NYLON+MICROSUEDE</v>
      </c>
      <c r="BF95" s="1" t="str">
        <f t="shared" si="64"/>
        <v>Bonis SpA</v>
      </c>
      <c r="BO95" s="1">
        <v>0</v>
      </c>
      <c r="BP95" s="1">
        <v>0</v>
      </c>
      <c r="BQ95" s="1">
        <v>0</v>
      </c>
    </row>
    <row r="96" spans="2:69" x14ac:dyDescent="0.25">
      <c r="B96" s="1">
        <v>1745</v>
      </c>
      <c r="C96" s="1" t="str">
        <f t="shared" si="78"/>
        <v>NOBIL4044S6/NH1A</v>
      </c>
      <c r="D96" s="1" t="str">
        <f>"ODA16N00394-514"</f>
        <v>ODA16N00394-514</v>
      </c>
      <c r="E96" s="1" t="str">
        <f t="shared" si="79"/>
        <v>C12 USPA</v>
      </c>
      <c r="F96" s="1" t="str">
        <f t="shared" si="49"/>
        <v>BONIS SPA</v>
      </c>
      <c r="G96" s="1" t="str">
        <f t="shared" si="50"/>
        <v>STOCK TERRA MP</v>
      </c>
      <c r="H96" s="1" t="str">
        <f t="shared" si="80"/>
        <v>WHI</v>
      </c>
      <c r="J96" s="1">
        <v>1</v>
      </c>
      <c r="K96" s="1">
        <f t="shared" si="81"/>
        <v>12</v>
      </c>
      <c r="L96" s="1" t="str">
        <f t="shared" si="51"/>
        <v>01</v>
      </c>
      <c r="M96" s="1" t="str">
        <f t="shared" si="52"/>
        <v>101</v>
      </c>
      <c r="N96" s="1" t="str">
        <f>"014"</f>
        <v>014</v>
      </c>
      <c r="O96" s="1" t="str">
        <f t="shared" si="53"/>
        <v>00</v>
      </c>
      <c r="P96" s="1" t="str">
        <f t="shared" si="54"/>
        <v>S</v>
      </c>
      <c r="Q96" s="1" t="str">
        <f t="shared" si="55"/>
        <v>P</v>
      </c>
      <c r="R96" s="1" t="str">
        <f t="shared" si="56"/>
        <v>01</v>
      </c>
      <c r="S96" s="1" t="str">
        <f t="shared" si="57"/>
        <v>03</v>
      </c>
      <c r="T96" s="1" t="str">
        <f t="shared" si="58"/>
        <v>False</v>
      </c>
      <c r="U96" s="1" t="str">
        <f t="shared" si="59"/>
        <v>True</v>
      </c>
      <c r="V96" s="1" t="str">
        <f>"U0031249"</f>
        <v>U0031249</v>
      </c>
      <c r="W96" s="1">
        <v>1</v>
      </c>
      <c r="Y96" s="1">
        <v>0</v>
      </c>
      <c r="Z96" s="1">
        <v>0</v>
      </c>
      <c r="AB96" s="1" t="str">
        <f t="shared" si="82"/>
        <v>SMU</v>
      </c>
      <c r="AD96" s="1" t="str">
        <f t="shared" si="83"/>
        <v>4520307</v>
      </c>
      <c r="AE96" s="1" t="str">
        <f t="shared" si="84"/>
        <v>CHENGDU JOY SHINE FOOTWEAR LTD</v>
      </c>
      <c r="AG96" s="1">
        <v>0</v>
      </c>
      <c r="AH96" s="1">
        <v>0</v>
      </c>
      <c r="AI96" s="1" t="str">
        <f t="shared" si="60"/>
        <v>F06</v>
      </c>
      <c r="AJ96" s="1" t="str">
        <f t="shared" si="85"/>
        <v>MAN</v>
      </c>
      <c r="AK96" s="1" t="str">
        <f t="shared" si="61"/>
        <v>PA</v>
      </c>
      <c r="AP96" s="1" t="str">
        <f t="shared" si="62"/>
        <v>False</v>
      </c>
      <c r="AR96" s="1" t="str">
        <f t="shared" si="86"/>
        <v>NOBIL</v>
      </c>
      <c r="AY96" s="1" t="str">
        <f t="shared" si="63"/>
        <v>PF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 t="str">
        <f t="shared" si="87"/>
        <v>BBER FLAT MOL.NYLON+MICROSUEDE</v>
      </c>
      <c r="BF96" s="1" t="str">
        <f t="shared" si="64"/>
        <v>Bonis SpA</v>
      </c>
      <c r="BO96" s="1">
        <v>0</v>
      </c>
      <c r="BP96" s="1">
        <v>0</v>
      </c>
      <c r="BQ96" s="1">
        <v>0</v>
      </c>
    </row>
    <row r="97" spans="2:69" x14ac:dyDescent="0.25">
      <c r="B97" s="1">
        <v>1733</v>
      </c>
      <c r="C97" s="1" t="str">
        <f t="shared" si="78"/>
        <v>NOBIL4044S6/NH1A</v>
      </c>
      <c r="D97" s="1" t="str">
        <f>"ODA16N00394-515"</f>
        <v>ODA16N00394-515</v>
      </c>
      <c r="E97" s="1" t="str">
        <f t="shared" si="79"/>
        <v>C12 USPA</v>
      </c>
      <c r="F97" s="1" t="str">
        <f t="shared" si="49"/>
        <v>BONIS SPA</v>
      </c>
      <c r="G97" s="1" t="str">
        <f t="shared" si="50"/>
        <v>STOCK TERRA MP</v>
      </c>
      <c r="H97" s="1" t="str">
        <f t="shared" si="80"/>
        <v>WHI</v>
      </c>
      <c r="J97" s="1">
        <v>1</v>
      </c>
      <c r="K97" s="1">
        <f t="shared" si="81"/>
        <v>12</v>
      </c>
      <c r="L97" s="1" t="str">
        <f t="shared" si="51"/>
        <v>01</v>
      </c>
      <c r="M97" s="1" t="str">
        <f t="shared" si="52"/>
        <v>101</v>
      </c>
      <c r="N97" s="1" t="str">
        <f>"002"</f>
        <v>002</v>
      </c>
      <c r="O97" s="1" t="str">
        <f t="shared" si="53"/>
        <v>00</v>
      </c>
      <c r="P97" s="1" t="str">
        <f t="shared" si="54"/>
        <v>S</v>
      </c>
      <c r="Q97" s="1" t="str">
        <f t="shared" si="55"/>
        <v>P</v>
      </c>
      <c r="R97" s="1" t="str">
        <f t="shared" si="56"/>
        <v>01</v>
      </c>
      <c r="S97" s="1" t="str">
        <f t="shared" si="57"/>
        <v>03</v>
      </c>
      <c r="T97" s="1" t="str">
        <f t="shared" si="58"/>
        <v>False</v>
      </c>
      <c r="U97" s="1" t="str">
        <f t="shared" si="59"/>
        <v>True</v>
      </c>
      <c r="V97" s="1" t="str">
        <f>"U0031247"</f>
        <v>U0031247</v>
      </c>
      <c r="W97" s="1">
        <v>1</v>
      </c>
      <c r="Y97" s="1">
        <v>0</v>
      </c>
      <c r="Z97" s="1">
        <v>0</v>
      </c>
      <c r="AB97" s="1" t="str">
        <f t="shared" si="82"/>
        <v>SMU</v>
      </c>
      <c r="AD97" s="1" t="str">
        <f t="shared" si="83"/>
        <v>4520307</v>
      </c>
      <c r="AE97" s="1" t="str">
        <f t="shared" si="84"/>
        <v>CHENGDU JOY SHINE FOOTWEAR LTD</v>
      </c>
      <c r="AG97" s="1">
        <v>0</v>
      </c>
      <c r="AH97" s="1">
        <v>0</v>
      </c>
      <c r="AI97" s="1" t="str">
        <f t="shared" si="60"/>
        <v>F06</v>
      </c>
      <c r="AJ97" s="1" t="str">
        <f t="shared" si="85"/>
        <v>MAN</v>
      </c>
      <c r="AK97" s="1" t="str">
        <f t="shared" si="61"/>
        <v>PA</v>
      </c>
      <c r="AP97" s="1" t="str">
        <f t="shared" si="62"/>
        <v>False</v>
      </c>
      <c r="AR97" s="1" t="str">
        <f t="shared" si="86"/>
        <v>NOBIL</v>
      </c>
      <c r="AY97" s="1" t="str">
        <f t="shared" si="63"/>
        <v>PF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 t="str">
        <f t="shared" si="87"/>
        <v>BBER FLAT MOL.NYLON+MICROSUEDE</v>
      </c>
      <c r="BF97" s="1" t="str">
        <f t="shared" si="64"/>
        <v>Bonis SpA</v>
      </c>
      <c r="BO97" s="1">
        <v>0</v>
      </c>
      <c r="BP97" s="1">
        <v>0</v>
      </c>
      <c r="BQ97" s="1">
        <v>0</v>
      </c>
    </row>
    <row r="98" spans="2:69" x14ac:dyDescent="0.25">
      <c r="B98" s="1">
        <v>1745</v>
      </c>
      <c r="C98" s="1" t="str">
        <f t="shared" si="78"/>
        <v>NOBIL4044S6/NH1A</v>
      </c>
      <c r="D98" s="1" t="str">
        <f>"ODA16N00394-518"</f>
        <v>ODA16N00394-518</v>
      </c>
      <c r="E98" s="1" t="str">
        <f t="shared" si="79"/>
        <v>C12 USPA</v>
      </c>
      <c r="F98" s="1" t="str">
        <f t="shared" si="49"/>
        <v>BONIS SPA</v>
      </c>
      <c r="G98" s="1" t="str">
        <f t="shared" si="50"/>
        <v>STOCK TERRA MP</v>
      </c>
      <c r="H98" s="1" t="str">
        <f t="shared" si="80"/>
        <v>WHI</v>
      </c>
      <c r="J98" s="1">
        <v>1</v>
      </c>
      <c r="K98" s="1">
        <f t="shared" si="81"/>
        <v>12</v>
      </c>
      <c r="L98" s="1" t="str">
        <f t="shared" si="51"/>
        <v>01</v>
      </c>
      <c r="M98" s="1" t="str">
        <f t="shared" si="52"/>
        <v>101</v>
      </c>
      <c r="N98" s="1" t="str">
        <f>"014"</f>
        <v>014</v>
      </c>
      <c r="O98" s="1" t="str">
        <f t="shared" si="53"/>
        <v>00</v>
      </c>
      <c r="P98" s="1" t="str">
        <f t="shared" si="54"/>
        <v>S</v>
      </c>
      <c r="Q98" s="1" t="str">
        <f t="shared" si="55"/>
        <v>P</v>
      </c>
      <c r="R98" s="1" t="str">
        <f t="shared" si="56"/>
        <v>01</v>
      </c>
      <c r="S98" s="1" t="str">
        <f t="shared" si="57"/>
        <v>03</v>
      </c>
      <c r="T98" s="1" t="str">
        <f t="shared" si="58"/>
        <v>False</v>
      </c>
      <c r="U98" s="1" t="str">
        <f t="shared" si="59"/>
        <v>True</v>
      </c>
      <c r="V98" s="1" t="str">
        <f>"U0031249"</f>
        <v>U0031249</v>
      </c>
      <c r="W98" s="1">
        <v>1</v>
      </c>
      <c r="Y98" s="1">
        <v>0</v>
      </c>
      <c r="Z98" s="1">
        <v>0</v>
      </c>
      <c r="AB98" s="1" t="str">
        <f t="shared" si="82"/>
        <v>SMU</v>
      </c>
      <c r="AD98" s="1" t="str">
        <f t="shared" si="83"/>
        <v>4520307</v>
      </c>
      <c r="AE98" s="1" t="str">
        <f t="shared" si="84"/>
        <v>CHENGDU JOY SHINE FOOTWEAR LTD</v>
      </c>
      <c r="AG98" s="1">
        <v>0</v>
      </c>
      <c r="AH98" s="1">
        <v>0</v>
      </c>
      <c r="AI98" s="1" t="str">
        <f t="shared" si="60"/>
        <v>F06</v>
      </c>
      <c r="AJ98" s="1" t="str">
        <f t="shared" si="85"/>
        <v>MAN</v>
      </c>
      <c r="AK98" s="1" t="str">
        <f t="shared" si="61"/>
        <v>PA</v>
      </c>
      <c r="AP98" s="1" t="str">
        <f t="shared" si="62"/>
        <v>False</v>
      </c>
      <c r="AR98" s="1" t="str">
        <f t="shared" si="86"/>
        <v>NOBIL</v>
      </c>
      <c r="AY98" s="1" t="str">
        <f t="shared" si="63"/>
        <v>PF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 t="str">
        <f t="shared" si="87"/>
        <v>BBER FLAT MOL.NYLON+MICROSUEDE</v>
      </c>
      <c r="BF98" s="1" t="str">
        <f t="shared" si="64"/>
        <v>Bonis SpA</v>
      </c>
      <c r="BO98" s="1">
        <v>0</v>
      </c>
      <c r="BP98" s="1">
        <v>0</v>
      </c>
      <c r="BQ98" s="1">
        <v>0</v>
      </c>
    </row>
    <row r="99" spans="2:69" x14ac:dyDescent="0.25">
      <c r="B99" s="1">
        <v>1733</v>
      </c>
      <c r="C99" s="1" t="str">
        <f t="shared" si="78"/>
        <v>NOBIL4044S6/NH1A</v>
      </c>
      <c r="D99" s="1" t="str">
        <f>"ODA16N00394-522"</f>
        <v>ODA16N00394-522</v>
      </c>
      <c r="E99" s="1" t="str">
        <f t="shared" si="79"/>
        <v>C12 USPA</v>
      </c>
      <c r="F99" s="1" t="str">
        <f t="shared" si="49"/>
        <v>BONIS SPA</v>
      </c>
      <c r="G99" s="1" t="str">
        <f t="shared" si="50"/>
        <v>STOCK TERRA MP</v>
      </c>
      <c r="H99" s="1" t="str">
        <f t="shared" si="80"/>
        <v>WHI</v>
      </c>
      <c r="J99" s="1">
        <v>1</v>
      </c>
      <c r="K99" s="1">
        <f t="shared" si="81"/>
        <v>12</v>
      </c>
      <c r="L99" s="1" t="str">
        <f t="shared" si="51"/>
        <v>01</v>
      </c>
      <c r="M99" s="1" t="str">
        <f t="shared" si="52"/>
        <v>101</v>
      </c>
      <c r="N99" s="1" t="str">
        <f>"002"</f>
        <v>002</v>
      </c>
      <c r="O99" s="1" t="str">
        <f t="shared" si="53"/>
        <v>00</v>
      </c>
      <c r="P99" s="1" t="str">
        <f t="shared" si="54"/>
        <v>S</v>
      </c>
      <c r="Q99" s="1" t="str">
        <f t="shared" si="55"/>
        <v>P</v>
      </c>
      <c r="R99" s="1" t="str">
        <f t="shared" si="56"/>
        <v>01</v>
      </c>
      <c r="S99" s="1" t="str">
        <f t="shared" si="57"/>
        <v>03</v>
      </c>
      <c r="T99" s="1" t="str">
        <f t="shared" si="58"/>
        <v>False</v>
      </c>
      <c r="U99" s="1" t="str">
        <f t="shared" si="59"/>
        <v>True</v>
      </c>
      <c r="V99" s="1" t="str">
        <f>"U0031247"</f>
        <v>U0031247</v>
      </c>
      <c r="W99" s="1">
        <v>1</v>
      </c>
      <c r="Y99" s="1">
        <v>0</v>
      </c>
      <c r="Z99" s="1">
        <v>0</v>
      </c>
      <c r="AB99" s="1" t="str">
        <f t="shared" si="82"/>
        <v>SMU</v>
      </c>
      <c r="AD99" s="1" t="str">
        <f t="shared" si="83"/>
        <v>4520307</v>
      </c>
      <c r="AE99" s="1" t="str">
        <f t="shared" si="84"/>
        <v>CHENGDU JOY SHINE FOOTWEAR LTD</v>
      </c>
      <c r="AG99" s="1">
        <v>0</v>
      </c>
      <c r="AH99" s="1">
        <v>0</v>
      </c>
      <c r="AI99" s="1" t="str">
        <f t="shared" si="60"/>
        <v>F06</v>
      </c>
      <c r="AJ99" s="1" t="str">
        <f t="shared" si="85"/>
        <v>MAN</v>
      </c>
      <c r="AK99" s="1" t="str">
        <f t="shared" si="61"/>
        <v>PA</v>
      </c>
      <c r="AP99" s="1" t="str">
        <f t="shared" si="62"/>
        <v>False</v>
      </c>
      <c r="AR99" s="1" t="str">
        <f t="shared" si="86"/>
        <v>NOBIL</v>
      </c>
      <c r="AY99" s="1" t="str">
        <f t="shared" si="63"/>
        <v>PF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 t="str">
        <f t="shared" si="87"/>
        <v>BBER FLAT MOL.NYLON+MICROSUEDE</v>
      </c>
      <c r="BF99" s="1" t="str">
        <f t="shared" si="64"/>
        <v>Bonis SpA</v>
      </c>
      <c r="BO99" s="1">
        <v>0</v>
      </c>
      <c r="BP99" s="1">
        <v>0</v>
      </c>
      <c r="BQ99" s="1">
        <v>0</v>
      </c>
    </row>
    <row r="100" spans="2:69" x14ac:dyDescent="0.25">
      <c r="B100" s="1">
        <v>1733</v>
      </c>
      <c r="C100" s="1" t="str">
        <f t="shared" si="78"/>
        <v>NOBIL4044S6/NH1A</v>
      </c>
      <c r="D100" s="1" t="str">
        <f>"ODA16N00394-527"</f>
        <v>ODA16N00394-527</v>
      </c>
      <c r="E100" s="1" t="str">
        <f t="shared" si="79"/>
        <v>C12 USPA</v>
      </c>
      <c r="F100" s="1" t="str">
        <f t="shared" si="49"/>
        <v>BONIS SPA</v>
      </c>
      <c r="G100" s="1" t="str">
        <f t="shared" si="50"/>
        <v>STOCK TERRA MP</v>
      </c>
      <c r="H100" s="1" t="str">
        <f t="shared" si="80"/>
        <v>WHI</v>
      </c>
      <c r="J100" s="1">
        <v>1</v>
      </c>
      <c r="K100" s="1">
        <f t="shared" si="81"/>
        <v>12</v>
      </c>
      <c r="L100" s="1" t="str">
        <f t="shared" si="51"/>
        <v>01</v>
      </c>
      <c r="M100" s="1" t="str">
        <f t="shared" si="52"/>
        <v>101</v>
      </c>
      <c r="N100" s="1" t="str">
        <f>"002"</f>
        <v>002</v>
      </c>
      <c r="O100" s="1" t="str">
        <f t="shared" si="53"/>
        <v>00</v>
      </c>
      <c r="P100" s="1" t="str">
        <f t="shared" si="54"/>
        <v>S</v>
      </c>
      <c r="Q100" s="1" t="str">
        <f t="shared" si="55"/>
        <v>P</v>
      </c>
      <c r="R100" s="1" t="str">
        <f t="shared" si="56"/>
        <v>01</v>
      </c>
      <c r="S100" s="1" t="str">
        <f t="shared" si="57"/>
        <v>03</v>
      </c>
      <c r="T100" s="1" t="str">
        <f t="shared" si="58"/>
        <v>False</v>
      </c>
      <c r="U100" s="1" t="str">
        <f t="shared" si="59"/>
        <v>True</v>
      </c>
      <c r="V100" s="1" t="str">
        <f>"U0031247"</f>
        <v>U0031247</v>
      </c>
      <c r="W100" s="1">
        <v>1</v>
      </c>
      <c r="Y100" s="1">
        <v>0</v>
      </c>
      <c r="Z100" s="1">
        <v>0</v>
      </c>
      <c r="AB100" s="1" t="str">
        <f t="shared" si="82"/>
        <v>SMU</v>
      </c>
      <c r="AD100" s="1" t="str">
        <f t="shared" si="83"/>
        <v>4520307</v>
      </c>
      <c r="AE100" s="1" t="str">
        <f t="shared" si="84"/>
        <v>CHENGDU JOY SHINE FOOTWEAR LTD</v>
      </c>
      <c r="AG100" s="1">
        <v>0</v>
      </c>
      <c r="AH100" s="1">
        <v>0</v>
      </c>
      <c r="AI100" s="1" t="str">
        <f t="shared" si="60"/>
        <v>F06</v>
      </c>
      <c r="AJ100" s="1" t="str">
        <f t="shared" si="85"/>
        <v>MAN</v>
      </c>
      <c r="AK100" s="1" t="str">
        <f t="shared" si="61"/>
        <v>PA</v>
      </c>
      <c r="AP100" s="1" t="str">
        <f t="shared" si="62"/>
        <v>False</v>
      </c>
      <c r="AR100" s="1" t="str">
        <f t="shared" si="86"/>
        <v>NOBIL</v>
      </c>
      <c r="AY100" s="1" t="str">
        <f t="shared" si="63"/>
        <v>PF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 t="str">
        <f t="shared" si="87"/>
        <v>BBER FLAT MOL.NYLON+MICROSUEDE</v>
      </c>
      <c r="BF100" s="1" t="str">
        <f t="shared" si="64"/>
        <v>Bonis SpA</v>
      </c>
      <c r="BO100" s="1">
        <v>0</v>
      </c>
      <c r="BP100" s="1">
        <v>0</v>
      </c>
      <c r="BQ100" s="1">
        <v>0</v>
      </c>
    </row>
    <row r="101" spans="2:69" x14ac:dyDescent="0.25">
      <c r="B101" s="1">
        <v>1733</v>
      </c>
      <c r="C101" s="1" t="str">
        <f t="shared" si="78"/>
        <v>NOBIL4044S6/NH1A</v>
      </c>
      <c r="D101" s="1" t="str">
        <f>"ODA16N00394-528"</f>
        <v>ODA16N00394-528</v>
      </c>
      <c r="E101" s="1" t="str">
        <f t="shared" si="79"/>
        <v>C12 USPA</v>
      </c>
      <c r="F101" s="1" t="str">
        <f t="shared" si="49"/>
        <v>BONIS SPA</v>
      </c>
      <c r="G101" s="1" t="str">
        <f t="shared" si="50"/>
        <v>STOCK TERRA MP</v>
      </c>
      <c r="H101" s="1" t="str">
        <f t="shared" si="80"/>
        <v>WHI</v>
      </c>
      <c r="J101" s="1">
        <v>1</v>
      </c>
      <c r="K101" s="1">
        <f t="shared" si="81"/>
        <v>12</v>
      </c>
      <c r="L101" s="1" t="str">
        <f t="shared" si="51"/>
        <v>01</v>
      </c>
      <c r="M101" s="1" t="str">
        <f t="shared" si="52"/>
        <v>101</v>
      </c>
      <c r="N101" s="1" t="str">
        <f>"002"</f>
        <v>002</v>
      </c>
      <c r="O101" s="1" t="str">
        <f t="shared" si="53"/>
        <v>00</v>
      </c>
      <c r="P101" s="1" t="str">
        <f t="shared" si="54"/>
        <v>S</v>
      </c>
      <c r="Q101" s="1" t="str">
        <f t="shared" si="55"/>
        <v>P</v>
      </c>
      <c r="R101" s="1" t="str">
        <f t="shared" si="56"/>
        <v>01</v>
      </c>
      <c r="S101" s="1" t="str">
        <f t="shared" si="57"/>
        <v>03</v>
      </c>
      <c r="T101" s="1" t="str">
        <f t="shared" si="58"/>
        <v>False</v>
      </c>
      <c r="U101" s="1" t="str">
        <f t="shared" si="59"/>
        <v>True</v>
      </c>
      <c r="V101" s="1" t="str">
        <f>"U0031247"</f>
        <v>U0031247</v>
      </c>
      <c r="W101" s="1">
        <v>1</v>
      </c>
      <c r="Y101" s="1">
        <v>0</v>
      </c>
      <c r="Z101" s="1">
        <v>0</v>
      </c>
      <c r="AB101" s="1" t="str">
        <f t="shared" si="82"/>
        <v>SMU</v>
      </c>
      <c r="AD101" s="1" t="str">
        <f t="shared" si="83"/>
        <v>4520307</v>
      </c>
      <c r="AE101" s="1" t="str">
        <f t="shared" si="84"/>
        <v>CHENGDU JOY SHINE FOOTWEAR LTD</v>
      </c>
      <c r="AG101" s="1">
        <v>0</v>
      </c>
      <c r="AH101" s="1">
        <v>0</v>
      </c>
      <c r="AI101" s="1" t="str">
        <f t="shared" si="60"/>
        <v>F06</v>
      </c>
      <c r="AJ101" s="1" t="str">
        <f t="shared" si="85"/>
        <v>MAN</v>
      </c>
      <c r="AK101" s="1" t="str">
        <f t="shared" si="61"/>
        <v>PA</v>
      </c>
      <c r="AP101" s="1" t="str">
        <f t="shared" si="62"/>
        <v>False</v>
      </c>
      <c r="AR101" s="1" t="str">
        <f t="shared" si="86"/>
        <v>NOBIL</v>
      </c>
      <c r="AY101" s="1" t="str">
        <f t="shared" si="63"/>
        <v>PF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 t="str">
        <f t="shared" si="87"/>
        <v>BBER FLAT MOL.NYLON+MICROSUEDE</v>
      </c>
      <c r="BF101" s="1" t="str">
        <f t="shared" si="64"/>
        <v>Bonis SpA</v>
      </c>
      <c r="BO101" s="1">
        <v>0</v>
      </c>
      <c r="BP101" s="1">
        <v>0</v>
      </c>
      <c r="BQ101" s="1">
        <v>0</v>
      </c>
    </row>
    <row r="102" spans="2:69" x14ac:dyDescent="0.25">
      <c r="B102" s="1">
        <v>1745</v>
      </c>
      <c r="C102" s="1" t="str">
        <f t="shared" si="78"/>
        <v>NOBIL4044S6/NH1A</v>
      </c>
      <c r="D102" s="1" t="str">
        <f>"ODA16N00394-530"</f>
        <v>ODA16N00394-530</v>
      </c>
      <c r="E102" s="1" t="str">
        <f t="shared" si="79"/>
        <v>C12 USPA</v>
      </c>
      <c r="F102" s="1" t="str">
        <f t="shared" si="49"/>
        <v>BONIS SPA</v>
      </c>
      <c r="G102" s="1" t="str">
        <f t="shared" si="50"/>
        <v>STOCK TERRA MP</v>
      </c>
      <c r="H102" s="1" t="str">
        <f t="shared" si="80"/>
        <v>WHI</v>
      </c>
      <c r="J102" s="1">
        <v>1</v>
      </c>
      <c r="K102" s="1">
        <f t="shared" si="81"/>
        <v>12</v>
      </c>
      <c r="L102" s="1" t="str">
        <f t="shared" si="51"/>
        <v>01</v>
      </c>
      <c r="M102" s="1" t="str">
        <f t="shared" si="52"/>
        <v>101</v>
      </c>
      <c r="N102" s="1" t="str">
        <f>"014"</f>
        <v>014</v>
      </c>
      <c r="O102" s="1" t="str">
        <f t="shared" si="53"/>
        <v>00</v>
      </c>
      <c r="P102" s="1" t="str">
        <f t="shared" si="54"/>
        <v>S</v>
      </c>
      <c r="Q102" s="1" t="str">
        <f t="shared" si="55"/>
        <v>P</v>
      </c>
      <c r="R102" s="1" t="str">
        <f t="shared" si="56"/>
        <v>01</v>
      </c>
      <c r="S102" s="1" t="str">
        <f t="shared" si="57"/>
        <v>03</v>
      </c>
      <c r="T102" s="1" t="str">
        <f t="shared" si="58"/>
        <v>False</v>
      </c>
      <c r="U102" s="1" t="str">
        <f t="shared" si="59"/>
        <v>True</v>
      </c>
      <c r="V102" s="1" t="str">
        <f>"U0031249"</f>
        <v>U0031249</v>
      </c>
      <c r="W102" s="1">
        <v>1</v>
      </c>
      <c r="Y102" s="1">
        <v>0</v>
      </c>
      <c r="Z102" s="1">
        <v>0</v>
      </c>
      <c r="AB102" s="1" t="str">
        <f t="shared" si="82"/>
        <v>SMU</v>
      </c>
      <c r="AD102" s="1" t="str">
        <f t="shared" si="83"/>
        <v>4520307</v>
      </c>
      <c r="AE102" s="1" t="str">
        <f t="shared" si="84"/>
        <v>CHENGDU JOY SHINE FOOTWEAR LTD</v>
      </c>
      <c r="AG102" s="1">
        <v>0</v>
      </c>
      <c r="AH102" s="1">
        <v>0</v>
      </c>
      <c r="AI102" s="1" t="str">
        <f t="shared" si="60"/>
        <v>F06</v>
      </c>
      <c r="AJ102" s="1" t="str">
        <f t="shared" si="85"/>
        <v>MAN</v>
      </c>
      <c r="AK102" s="1" t="str">
        <f t="shared" si="61"/>
        <v>PA</v>
      </c>
      <c r="AP102" s="1" t="str">
        <f t="shared" si="62"/>
        <v>False</v>
      </c>
      <c r="AR102" s="1" t="str">
        <f t="shared" si="86"/>
        <v>NOBIL</v>
      </c>
      <c r="AY102" s="1" t="str">
        <f t="shared" si="63"/>
        <v>PF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 t="str">
        <f t="shared" si="87"/>
        <v>BBER FLAT MOL.NYLON+MICROSUEDE</v>
      </c>
      <c r="BF102" s="1" t="str">
        <f t="shared" si="64"/>
        <v>Bonis SpA</v>
      </c>
      <c r="BO102" s="1">
        <v>0</v>
      </c>
      <c r="BP102" s="1">
        <v>0</v>
      </c>
      <c r="BQ102" s="1">
        <v>0</v>
      </c>
    </row>
    <row r="103" spans="2:69" x14ac:dyDescent="0.25">
      <c r="B103" s="1">
        <v>1733</v>
      </c>
      <c r="C103" s="1" t="str">
        <f t="shared" si="78"/>
        <v>NOBIL4044S6/NH1A</v>
      </c>
      <c r="D103" s="1" t="str">
        <f>"ODA16N00394-531"</f>
        <v>ODA16N00394-531</v>
      </c>
      <c r="E103" s="1" t="str">
        <f t="shared" si="79"/>
        <v>C12 USPA</v>
      </c>
      <c r="F103" s="1" t="str">
        <f t="shared" si="49"/>
        <v>BONIS SPA</v>
      </c>
      <c r="G103" s="1" t="str">
        <f t="shared" si="50"/>
        <v>STOCK TERRA MP</v>
      </c>
      <c r="H103" s="1" t="str">
        <f t="shared" si="80"/>
        <v>WHI</v>
      </c>
      <c r="J103" s="1">
        <v>1</v>
      </c>
      <c r="K103" s="1">
        <f t="shared" si="81"/>
        <v>12</v>
      </c>
      <c r="L103" s="1" t="str">
        <f t="shared" si="51"/>
        <v>01</v>
      </c>
      <c r="M103" s="1" t="str">
        <f t="shared" si="52"/>
        <v>101</v>
      </c>
      <c r="N103" s="1" t="str">
        <f>"002"</f>
        <v>002</v>
      </c>
      <c r="O103" s="1" t="str">
        <f t="shared" si="53"/>
        <v>00</v>
      </c>
      <c r="P103" s="1" t="str">
        <f t="shared" si="54"/>
        <v>S</v>
      </c>
      <c r="Q103" s="1" t="str">
        <f t="shared" si="55"/>
        <v>P</v>
      </c>
      <c r="R103" s="1" t="str">
        <f t="shared" si="56"/>
        <v>01</v>
      </c>
      <c r="S103" s="1" t="str">
        <f t="shared" si="57"/>
        <v>03</v>
      </c>
      <c r="T103" s="1" t="str">
        <f t="shared" si="58"/>
        <v>False</v>
      </c>
      <c r="U103" s="1" t="str">
        <f t="shared" si="59"/>
        <v>True</v>
      </c>
      <c r="V103" s="1" t="str">
        <f>"U0031247"</f>
        <v>U0031247</v>
      </c>
      <c r="W103" s="1">
        <v>1</v>
      </c>
      <c r="Y103" s="1">
        <v>0</v>
      </c>
      <c r="Z103" s="1">
        <v>0</v>
      </c>
      <c r="AB103" s="1" t="str">
        <f t="shared" si="82"/>
        <v>SMU</v>
      </c>
      <c r="AD103" s="1" t="str">
        <f t="shared" si="83"/>
        <v>4520307</v>
      </c>
      <c r="AE103" s="1" t="str">
        <f t="shared" si="84"/>
        <v>CHENGDU JOY SHINE FOOTWEAR LTD</v>
      </c>
      <c r="AG103" s="1">
        <v>0</v>
      </c>
      <c r="AH103" s="1">
        <v>0</v>
      </c>
      <c r="AI103" s="1" t="str">
        <f t="shared" si="60"/>
        <v>F06</v>
      </c>
      <c r="AJ103" s="1" t="str">
        <f t="shared" si="85"/>
        <v>MAN</v>
      </c>
      <c r="AK103" s="1" t="str">
        <f t="shared" si="61"/>
        <v>PA</v>
      </c>
      <c r="AP103" s="1" t="str">
        <f t="shared" si="62"/>
        <v>False</v>
      </c>
      <c r="AR103" s="1" t="str">
        <f t="shared" si="86"/>
        <v>NOBIL</v>
      </c>
      <c r="AY103" s="1" t="str">
        <f t="shared" si="63"/>
        <v>PF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 t="str">
        <f t="shared" si="87"/>
        <v>BBER FLAT MOL.NYLON+MICROSUEDE</v>
      </c>
      <c r="BF103" s="1" t="str">
        <f t="shared" si="64"/>
        <v>Bonis SpA</v>
      </c>
      <c r="BO103" s="1">
        <v>0</v>
      </c>
      <c r="BP103" s="1">
        <v>0</v>
      </c>
      <c r="BQ103" s="1">
        <v>0</v>
      </c>
    </row>
    <row r="104" spans="2:69" x14ac:dyDescent="0.25">
      <c r="B104" s="1">
        <v>1733</v>
      </c>
      <c r="C104" s="1" t="str">
        <f t="shared" si="78"/>
        <v>NOBIL4044S6/NH1A</v>
      </c>
      <c r="D104" s="1" t="str">
        <f>"ODA16N00394-532"</f>
        <v>ODA16N00394-532</v>
      </c>
      <c r="E104" s="1" t="str">
        <f t="shared" si="79"/>
        <v>C12 USPA</v>
      </c>
      <c r="F104" s="1" t="str">
        <f t="shared" si="49"/>
        <v>BONIS SPA</v>
      </c>
      <c r="G104" s="1" t="str">
        <f t="shared" si="50"/>
        <v>STOCK TERRA MP</v>
      </c>
      <c r="H104" s="1" t="str">
        <f t="shared" si="80"/>
        <v>WHI</v>
      </c>
      <c r="J104" s="1">
        <v>1</v>
      </c>
      <c r="K104" s="1">
        <f t="shared" si="81"/>
        <v>12</v>
      </c>
      <c r="L104" s="1" t="str">
        <f t="shared" si="51"/>
        <v>01</v>
      </c>
      <c r="M104" s="1" t="str">
        <f t="shared" si="52"/>
        <v>101</v>
      </c>
      <c r="N104" s="1" t="str">
        <f>"002"</f>
        <v>002</v>
      </c>
      <c r="O104" s="1" t="str">
        <f t="shared" si="53"/>
        <v>00</v>
      </c>
      <c r="P104" s="1" t="str">
        <f t="shared" si="54"/>
        <v>S</v>
      </c>
      <c r="Q104" s="1" t="str">
        <f t="shared" si="55"/>
        <v>P</v>
      </c>
      <c r="R104" s="1" t="str">
        <f t="shared" si="56"/>
        <v>01</v>
      </c>
      <c r="S104" s="1" t="str">
        <f t="shared" si="57"/>
        <v>03</v>
      </c>
      <c r="T104" s="1" t="str">
        <f t="shared" si="58"/>
        <v>False</v>
      </c>
      <c r="U104" s="1" t="str">
        <f t="shared" si="59"/>
        <v>True</v>
      </c>
      <c r="V104" s="1" t="str">
        <f>"U0031247"</f>
        <v>U0031247</v>
      </c>
      <c r="W104" s="1">
        <v>1</v>
      </c>
      <c r="Y104" s="1">
        <v>0</v>
      </c>
      <c r="Z104" s="1">
        <v>0</v>
      </c>
      <c r="AB104" s="1" t="str">
        <f t="shared" si="82"/>
        <v>SMU</v>
      </c>
      <c r="AD104" s="1" t="str">
        <f t="shared" si="83"/>
        <v>4520307</v>
      </c>
      <c r="AE104" s="1" t="str">
        <f t="shared" si="84"/>
        <v>CHENGDU JOY SHINE FOOTWEAR LTD</v>
      </c>
      <c r="AG104" s="1">
        <v>0</v>
      </c>
      <c r="AH104" s="1">
        <v>0</v>
      </c>
      <c r="AI104" s="1" t="str">
        <f t="shared" si="60"/>
        <v>F06</v>
      </c>
      <c r="AJ104" s="1" t="str">
        <f t="shared" si="85"/>
        <v>MAN</v>
      </c>
      <c r="AK104" s="1" t="str">
        <f t="shared" si="61"/>
        <v>PA</v>
      </c>
      <c r="AP104" s="1" t="str">
        <f t="shared" si="62"/>
        <v>False</v>
      </c>
      <c r="AR104" s="1" t="str">
        <f t="shared" si="86"/>
        <v>NOBIL</v>
      </c>
      <c r="AY104" s="1" t="str">
        <f t="shared" si="63"/>
        <v>PF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 t="str">
        <f t="shared" si="87"/>
        <v>BBER FLAT MOL.NYLON+MICROSUEDE</v>
      </c>
      <c r="BF104" s="1" t="str">
        <f t="shared" si="64"/>
        <v>Bonis SpA</v>
      </c>
      <c r="BO104" s="1">
        <v>0</v>
      </c>
      <c r="BP104" s="1">
        <v>0</v>
      </c>
      <c r="BQ104" s="1">
        <v>0</v>
      </c>
    </row>
    <row r="105" spans="2:69" x14ac:dyDescent="0.25">
      <c r="B105" s="1">
        <v>1745</v>
      </c>
      <c r="C105" s="1" t="str">
        <f t="shared" si="78"/>
        <v>NOBIL4044S6/NH1A</v>
      </c>
      <c r="D105" s="1" t="str">
        <f>"ODA16N00394-533"</f>
        <v>ODA16N00394-533</v>
      </c>
      <c r="E105" s="1" t="str">
        <f t="shared" si="79"/>
        <v>C12 USPA</v>
      </c>
      <c r="F105" s="1" t="str">
        <f t="shared" si="49"/>
        <v>BONIS SPA</v>
      </c>
      <c r="G105" s="1" t="str">
        <f t="shared" si="50"/>
        <v>STOCK TERRA MP</v>
      </c>
      <c r="H105" s="1" t="str">
        <f t="shared" si="80"/>
        <v>WHI</v>
      </c>
      <c r="J105" s="1">
        <v>1</v>
      </c>
      <c r="K105" s="1">
        <f t="shared" si="81"/>
        <v>12</v>
      </c>
      <c r="L105" s="1" t="str">
        <f t="shared" si="51"/>
        <v>01</v>
      </c>
      <c r="M105" s="1" t="str">
        <f t="shared" si="52"/>
        <v>101</v>
      </c>
      <c r="N105" s="1" t="str">
        <f>"014"</f>
        <v>014</v>
      </c>
      <c r="O105" s="1" t="str">
        <f t="shared" si="53"/>
        <v>00</v>
      </c>
      <c r="P105" s="1" t="str">
        <f t="shared" si="54"/>
        <v>S</v>
      </c>
      <c r="Q105" s="1" t="str">
        <f t="shared" si="55"/>
        <v>P</v>
      </c>
      <c r="R105" s="1" t="str">
        <f t="shared" si="56"/>
        <v>01</v>
      </c>
      <c r="S105" s="1" t="str">
        <f t="shared" si="57"/>
        <v>03</v>
      </c>
      <c r="T105" s="1" t="str">
        <f t="shared" si="58"/>
        <v>False</v>
      </c>
      <c r="U105" s="1" t="str">
        <f t="shared" si="59"/>
        <v>True</v>
      </c>
      <c r="V105" s="1" t="str">
        <f>"U0031249"</f>
        <v>U0031249</v>
      </c>
      <c r="W105" s="1">
        <v>1</v>
      </c>
      <c r="Y105" s="1">
        <v>0</v>
      </c>
      <c r="Z105" s="1">
        <v>0</v>
      </c>
      <c r="AB105" s="1" t="str">
        <f t="shared" si="82"/>
        <v>SMU</v>
      </c>
      <c r="AD105" s="1" t="str">
        <f t="shared" si="83"/>
        <v>4520307</v>
      </c>
      <c r="AE105" s="1" t="str">
        <f t="shared" si="84"/>
        <v>CHENGDU JOY SHINE FOOTWEAR LTD</v>
      </c>
      <c r="AG105" s="1">
        <v>0</v>
      </c>
      <c r="AH105" s="1">
        <v>0</v>
      </c>
      <c r="AI105" s="1" t="str">
        <f t="shared" si="60"/>
        <v>F06</v>
      </c>
      <c r="AJ105" s="1" t="str">
        <f t="shared" si="85"/>
        <v>MAN</v>
      </c>
      <c r="AK105" s="1" t="str">
        <f t="shared" si="61"/>
        <v>PA</v>
      </c>
      <c r="AP105" s="1" t="str">
        <f t="shared" si="62"/>
        <v>False</v>
      </c>
      <c r="AR105" s="1" t="str">
        <f t="shared" si="86"/>
        <v>NOBIL</v>
      </c>
      <c r="AY105" s="1" t="str">
        <f t="shared" si="63"/>
        <v>PF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 t="str">
        <f t="shared" si="87"/>
        <v>BBER FLAT MOL.NYLON+MICROSUEDE</v>
      </c>
      <c r="BF105" s="1" t="str">
        <f t="shared" si="64"/>
        <v>Bonis SpA</v>
      </c>
      <c r="BO105" s="1">
        <v>0</v>
      </c>
      <c r="BP105" s="1">
        <v>0</v>
      </c>
      <c r="BQ105" s="1">
        <v>0</v>
      </c>
    </row>
    <row r="106" spans="2:69" x14ac:dyDescent="0.25">
      <c r="B106" s="1">
        <v>1745</v>
      </c>
      <c r="C106" s="1" t="str">
        <f t="shared" si="78"/>
        <v>NOBIL4044S6/NH1A</v>
      </c>
      <c r="D106" s="1" t="str">
        <f>"ODA16N00394-534"</f>
        <v>ODA16N00394-534</v>
      </c>
      <c r="E106" s="1" t="str">
        <f t="shared" si="79"/>
        <v>C12 USPA</v>
      </c>
      <c r="F106" s="1" t="str">
        <f t="shared" si="49"/>
        <v>BONIS SPA</v>
      </c>
      <c r="G106" s="1" t="str">
        <f t="shared" si="50"/>
        <v>STOCK TERRA MP</v>
      </c>
      <c r="H106" s="1" t="str">
        <f t="shared" si="80"/>
        <v>WHI</v>
      </c>
      <c r="J106" s="1">
        <v>1</v>
      </c>
      <c r="K106" s="1">
        <f t="shared" si="81"/>
        <v>12</v>
      </c>
      <c r="L106" s="1" t="str">
        <f t="shared" si="51"/>
        <v>01</v>
      </c>
      <c r="M106" s="1" t="str">
        <f t="shared" si="52"/>
        <v>101</v>
      </c>
      <c r="N106" s="1" t="str">
        <f>"014"</f>
        <v>014</v>
      </c>
      <c r="O106" s="1" t="str">
        <f t="shared" si="53"/>
        <v>00</v>
      </c>
      <c r="P106" s="1" t="str">
        <f t="shared" si="54"/>
        <v>S</v>
      </c>
      <c r="Q106" s="1" t="str">
        <f t="shared" si="55"/>
        <v>P</v>
      </c>
      <c r="R106" s="1" t="str">
        <f t="shared" si="56"/>
        <v>01</v>
      </c>
      <c r="S106" s="1" t="str">
        <f t="shared" si="57"/>
        <v>03</v>
      </c>
      <c r="T106" s="1" t="str">
        <f t="shared" si="58"/>
        <v>False</v>
      </c>
      <c r="U106" s="1" t="str">
        <f t="shared" si="59"/>
        <v>True</v>
      </c>
      <c r="V106" s="1" t="str">
        <f>"U0031249"</f>
        <v>U0031249</v>
      </c>
      <c r="W106" s="1">
        <v>1</v>
      </c>
      <c r="Y106" s="1">
        <v>0</v>
      </c>
      <c r="Z106" s="1">
        <v>0</v>
      </c>
      <c r="AB106" s="1" t="str">
        <f t="shared" si="82"/>
        <v>SMU</v>
      </c>
      <c r="AD106" s="1" t="str">
        <f t="shared" si="83"/>
        <v>4520307</v>
      </c>
      <c r="AE106" s="1" t="str">
        <f t="shared" si="84"/>
        <v>CHENGDU JOY SHINE FOOTWEAR LTD</v>
      </c>
      <c r="AG106" s="1">
        <v>0</v>
      </c>
      <c r="AH106" s="1">
        <v>0</v>
      </c>
      <c r="AI106" s="1" t="str">
        <f t="shared" si="60"/>
        <v>F06</v>
      </c>
      <c r="AJ106" s="1" t="str">
        <f t="shared" si="85"/>
        <v>MAN</v>
      </c>
      <c r="AK106" s="1" t="str">
        <f t="shared" si="61"/>
        <v>PA</v>
      </c>
      <c r="AP106" s="1" t="str">
        <f t="shared" si="62"/>
        <v>False</v>
      </c>
      <c r="AR106" s="1" t="str">
        <f t="shared" si="86"/>
        <v>NOBIL</v>
      </c>
      <c r="AY106" s="1" t="str">
        <f t="shared" si="63"/>
        <v>PF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 t="str">
        <f t="shared" si="87"/>
        <v>BBER FLAT MOL.NYLON+MICROSUEDE</v>
      </c>
      <c r="BF106" s="1" t="str">
        <f t="shared" si="64"/>
        <v>Bonis SpA</v>
      </c>
      <c r="BO106" s="1">
        <v>0</v>
      </c>
      <c r="BP106" s="1">
        <v>0</v>
      </c>
      <c r="BQ106" s="1">
        <v>0</v>
      </c>
    </row>
    <row r="107" spans="2:69" x14ac:dyDescent="0.25">
      <c r="B107" s="1">
        <v>1733</v>
      </c>
      <c r="C107" s="1" t="str">
        <f t="shared" si="78"/>
        <v>NOBIL4044S6/NH1A</v>
      </c>
      <c r="D107" s="1" t="str">
        <f>"ODA16N00394-539"</f>
        <v>ODA16N00394-539</v>
      </c>
      <c r="E107" s="1" t="str">
        <f t="shared" si="79"/>
        <v>C12 USPA</v>
      </c>
      <c r="F107" s="1" t="str">
        <f t="shared" si="49"/>
        <v>BONIS SPA</v>
      </c>
      <c r="G107" s="1" t="str">
        <f t="shared" si="50"/>
        <v>STOCK TERRA MP</v>
      </c>
      <c r="H107" s="1" t="str">
        <f t="shared" si="80"/>
        <v>WHI</v>
      </c>
      <c r="J107" s="1">
        <v>1</v>
      </c>
      <c r="K107" s="1">
        <f t="shared" si="81"/>
        <v>12</v>
      </c>
      <c r="L107" s="1" t="str">
        <f t="shared" si="51"/>
        <v>01</v>
      </c>
      <c r="M107" s="1" t="str">
        <f t="shared" si="52"/>
        <v>101</v>
      </c>
      <c r="N107" s="1" t="str">
        <f t="shared" ref="N107:N114" si="88">"002"</f>
        <v>002</v>
      </c>
      <c r="O107" s="1" t="str">
        <f t="shared" si="53"/>
        <v>00</v>
      </c>
      <c r="P107" s="1" t="str">
        <f t="shared" si="54"/>
        <v>S</v>
      </c>
      <c r="Q107" s="1" t="str">
        <f t="shared" si="55"/>
        <v>P</v>
      </c>
      <c r="R107" s="1" t="str">
        <f t="shared" si="56"/>
        <v>01</v>
      </c>
      <c r="S107" s="1" t="str">
        <f t="shared" si="57"/>
        <v>03</v>
      </c>
      <c r="T107" s="1" t="str">
        <f t="shared" si="58"/>
        <v>False</v>
      </c>
      <c r="U107" s="1" t="str">
        <f t="shared" si="59"/>
        <v>True</v>
      </c>
      <c r="V107" s="1" t="str">
        <f t="shared" ref="V107:V114" si="89">"U0031247"</f>
        <v>U0031247</v>
      </c>
      <c r="W107" s="1">
        <v>1</v>
      </c>
      <c r="Y107" s="1">
        <v>0</v>
      </c>
      <c r="Z107" s="1">
        <v>0</v>
      </c>
      <c r="AB107" s="1" t="str">
        <f t="shared" si="82"/>
        <v>SMU</v>
      </c>
      <c r="AD107" s="1" t="str">
        <f t="shared" si="83"/>
        <v>4520307</v>
      </c>
      <c r="AE107" s="1" t="str">
        <f t="shared" si="84"/>
        <v>CHENGDU JOY SHINE FOOTWEAR LTD</v>
      </c>
      <c r="AG107" s="1">
        <v>0</v>
      </c>
      <c r="AH107" s="1">
        <v>0</v>
      </c>
      <c r="AI107" s="1" t="str">
        <f t="shared" si="60"/>
        <v>F06</v>
      </c>
      <c r="AJ107" s="1" t="str">
        <f t="shared" si="85"/>
        <v>MAN</v>
      </c>
      <c r="AK107" s="1" t="str">
        <f t="shared" si="61"/>
        <v>PA</v>
      </c>
      <c r="AP107" s="1" t="str">
        <f t="shared" si="62"/>
        <v>False</v>
      </c>
      <c r="AR107" s="1" t="str">
        <f t="shared" si="86"/>
        <v>NOBIL</v>
      </c>
      <c r="AY107" s="1" t="str">
        <f t="shared" si="63"/>
        <v>PF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 t="str">
        <f t="shared" si="87"/>
        <v>BBER FLAT MOL.NYLON+MICROSUEDE</v>
      </c>
      <c r="BF107" s="1" t="str">
        <f t="shared" si="64"/>
        <v>Bonis SpA</v>
      </c>
      <c r="BO107" s="1">
        <v>0</v>
      </c>
      <c r="BP107" s="1">
        <v>0</v>
      </c>
      <c r="BQ107" s="1">
        <v>0</v>
      </c>
    </row>
    <row r="108" spans="2:69" x14ac:dyDescent="0.25">
      <c r="B108" s="1">
        <v>1733</v>
      </c>
      <c r="C108" s="1" t="str">
        <f t="shared" si="78"/>
        <v>NOBIL4044S6/NH1A</v>
      </c>
      <c r="D108" s="1" t="str">
        <f>"ODA16N00394-540"</f>
        <v>ODA16N00394-540</v>
      </c>
      <c r="E108" s="1" t="str">
        <f t="shared" si="79"/>
        <v>C12 USPA</v>
      </c>
      <c r="F108" s="1" t="str">
        <f t="shared" si="49"/>
        <v>BONIS SPA</v>
      </c>
      <c r="G108" s="1" t="str">
        <f t="shared" si="50"/>
        <v>STOCK TERRA MP</v>
      </c>
      <c r="H108" s="1" t="str">
        <f t="shared" si="80"/>
        <v>WHI</v>
      </c>
      <c r="J108" s="1">
        <v>1</v>
      </c>
      <c r="K108" s="1">
        <f t="shared" si="81"/>
        <v>12</v>
      </c>
      <c r="L108" s="1" t="str">
        <f t="shared" si="51"/>
        <v>01</v>
      </c>
      <c r="M108" s="1" t="str">
        <f t="shared" si="52"/>
        <v>101</v>
      </c>
      <c r="N108" s="1" t="str">
        <f t="shared" si="88"/>
        <v>002</v>
      </c>
      <c r="O108" s="1" t="str">
        <f t="shared" si="53"/>
        <v>00</v>
      </c>
      <c r="P108" s="1" t="str">
        <f t="shared" si="54"/>
        <v>S</v>
      </c>
      <c r="Q108" s="1" t="str">
        <f t="shared" si="55"/>
        <v>P</v>
      </c>
      <c r="R108" s="1" t="str">
        <f t="shared" si="56"/>
        <v>01</v>
      </c>
      <c r="S108" s="1" t="str">
        <f t="shared" si="57"/>
        <v>03</v>
      </c>
      <c r="T108" s="1" t="str">
        <f t="shared" si="58"/>
        <v>False</v>
      </c>
      <c r="U108" s="1" t="str">
        <f t="shared" si="59"/>
        <v>True</v>
      </c>
      <c r="V108" s="1" t="str">
        <f t="shared" si="89"/>
        <v>U0031247</v>
      </c>
      <c r="W108" s="1">
        <v>1</v>
      </c>
      <c r="Y108" s="1">
        <v>0</v>
      </c>
      <c r="Z108" s="1">
        <v>0</v>
      </c>
      <c r="AB108" s="1" t="str">
        <f t="shared" si="82"/>
        <v>SMU</v>
      </c>
      <c r="AD108" s="1" t="str">
        <f t="shared" si="83"/>
        <v>4520307</v>
      </c>
      <c r="AE108" s="1" t="str">
        <f t="shared" si="84"/>
        <v>CHENGDU JOY SHINE FOOTWEAR LTD</v>
      </c>
      <c r="AG108" s="1">
        <v>0</v>
      </c>
      <c r="AH108" s="1">
        <v>0</v>
      </c>
      <c r="AI108" s="1" t="str">
        <f t="shared" si="60"/>
        <v>F06</v>
      </c>
      <c r="AJ108" s="1" t="str">
        <f t="shared" si="85"/>
        <v>MAN</v>
      </c>
      <c r="AK108" s="1" t="str">
        <f t="shared" si="61"/>
        <v>PA</v>
      </c>
      <c r="AP108" s="1" t="str">
        <f t="shared" si="62"/>
        <v>False</v>
      </c>
      <c r="AR108" s="1" t="str">
        <f t="shared" si="86"/>
        <v>NOBIL</v>
      </c>
      <c r="AY108" s="1" t="str">
        <f t="shared" si="63"/>
        <v>PF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 t="str">
        <f t="shared" si="87"/>
        <v>BBER FLAT MOL.NYLON+MICROSUEDE</v>
      </c>
      <c r="BF108" s="1" t="str">
        <f t="shared" si="64"/>
        <v>Bonis SpA</v>
      </c>
      <c r="BO108" s="1">
        <v>0</v>
      </c>
      <c r="BP108" s="1">
        <v>0</v>
      </c>
      <c r="BQ108" s="1">
        <v>0</v>
      </c>
    </row>
    <row r="109" spans="2:69" x14ac:dyDescent="0.25">
      <c r="B109" s="1">
        <v>1733</v>
      </c>
      <c r="C109" s="1" t="str">
        <f t="shared" si="78"/>
        <v>NOBIL4044S6/NH1A</v>
      </c>
      <c r="D109" s="1" t="str">
        <f>"ODA16N00394-553"</f>
        <v>ODA16N00394-553</v>
      </c>
      <c r="E109" s="1" t="str">
        <f t="shared" si="79"/>
        <v>C12 USPA</v>
      </c>
      <c r="F109" s="1" t="str">
        <f t="shared" si="49"/>
        <v>BONIS SPA</v>
      </c>
      <c r="G109" s="1" t="str">
        <f t="shared" si="50"/>
        <v>STOCK TERRA MP</v>
      </c>
      <c r="H109" s="1" t="str">
        <f t="shared" si="80"/>
        <v>WHI</v>
      </c>
      <c r="J109" s="1">
        <v>1</v>
      </c>
      <c r="K109" s="1">
        <f t="shared" si="81"/>
        <v>12</v>
      </c>
      <c r="L109" s="1" t="str">
        <f t="shared" si="51"/>
        <v>01</v>
      </c>
      <c r="M109" s="1" t="str">
        <f t="shared" si="52"/>
        <v>101</v>
      </c>
      <c r="N109" s="1" t="str">
        <f t="shared" si="88"/>
        <v>002</v>
      </c>
      <c r="O109" s="1" t="str">
        <f t="shared" si="53"/>
        <v>00</v>
      </c>
      <c r="P109" s="1" t="str">
        <f t="shared" si="54"/>
        <v>S</v>
      </c>
      <c r="Q109" s="1" t="str">
        <f t="shared" si="55"/>
        <v>P</v>
      </c>
      <c r="R109" s="1" t="str">
        <f t="shared" si="56"/>
        <v>01</v>
      </c>
      <c r="S109" s="1" t="str">
        <f t="shared" si="57"/>
        <v>03</v>
      </c>
      <c r="T109" s="1" t="str">
        <f t="shared" si="58"/>
        <v>False</v>
      </c>
      <c r="U109" s="1" t="str">
        <f t="shared" si="59"/>
        <v>True</v>
      </c>
      <c r="V109" s="1" t="str">
        <f t="shared" si="89"/>
        <v>U0031247</v>
      </c>
      <c r="W109" s="1">
        <v>1</v>
      </c>
      <c r="Y109" s="1">
        <v>0</v>
      </c>
      <c r="Z109" s="1">
        <v>0</v>
      </c>
      <c r="AB109" s="1" t="str">
        <f t="shared" si="82"/>
        <v>SMU</v>
      </c>
      <c r="AD109" s="1" t="str">
        <f t="shared" si="83"/>
        <v>4520307</v>
      </c>
      <c r="AE109" s="1" t="str">
        <f t="shared" si="84"/>
        <v>CHENGDU JOY SHINE FOOTWEAR LTD</v>
      </c>
      <c r="AG109" s="1">
        <v>0</v>
      </c>
      <c r="AH109" s="1">
        <v>0</v>
      </c>
      <c r="AI109" s="1" t="str">
        <f t="shared" si="60"/>
        <v>F06</v>
      </c>
      <c r="AJ109" s="1" t="str">
        <f t="shared" si="85"/>
        <v>MAN</v>
      </c>
      <c r="AK109" s="1" t="str">
        <f t="shared" si="61"/>
        <v>PA</v>
      </c>
      <c r="AP109" s="1" t="str">
        <f t="shared" si="62"/>
        <v>False</v>
      </c>
      <c r="AR109" s="1" t="str">
        <f t="shared" si="86"/>
        <v>NOBIL</v>
      </c>
      <c r="AY109" s="1" t="str">
        <f t="shared" si="63"/>
        <v>PF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 t="str">
        <f t="shared" si="87"/>
        <v>BBER FLAT MOL.NYLON+MICROSUEDE</v>
      </c>
      <c r="BF109" s="1" t="str">
        <f t="shared" si="64"/>
        <v>Bonis SpA</v>
      </c>
      <c r="BO109" s="1">
        <v>0</v>
      </c>
      <c r="BP109" s="1">
        <v>0</v>
      </c>
      <c r="BQ109" s="1">
        <v>0</v>
      </c>
    </row>
    <row r="110" spans="2:69" x14ac:dyDescent="0.25">
      <c r="B110" s="1">
        <v>1733</v>
      </c>
      <c r="C110" s="1" t="str">
        <f t="shared" si="78"/>
        <v>NOBIL4044S6/NH1A</v>
      </c>
      <c r="D110" s="1" t="str">
        <f>"ODA16N00394-554"</f>
        <v>ODA16N00394-554</v>
      </c>
      <c r="E110" s="1" t="str">
        <f t="shared" si="79"/>
        <v>C12 USPA</v>
      </c>
      <c r="F110" s="1" t="str">
        <f t="shared" si="49"/>
        <v>BONIS SPA</v>
      </c>
      <c r="G110" s="1" t="str">
        <f t="shared" si="50"/>
        <v>STOCK TERRA MP</v>
      </c>
      <c r="H110" s="1" t="str">
        <f t="shared" si="80"/>
        <v>WHI</v>
      </c>
      <c r="J110" s="1">
        <v>1</v>
      </c>
      <c r="K110" s="1">
        <f t="shared" si="81"/>
        <v>12</v>
      </c>
      <c r="L110" s="1" t="str">
        <f t="shared" si="51"/>
        <v>01</v>
      </c>
      <c r="M110" s="1" t="str">
        <f t="shared" si="52"/>
        <v>101</v>
      </c>
      <c r="N110" s="1" t="str">
        <f t="shared" si="88"/>
        <v>002</v>
      </c>
      <c r="O110" s="1" t="str">
        <f t="shared" si="53"/>
        <v>00</v>
      </c>
      <c r="P110" s="1" t="str">
        <f t="shared" si="54"/>
        <v>S</v>
      </c>
      <c r="Q110" s="1" t="str">
        <f t="shared" si="55"/>
        <v>P</v>
      </c>
      <c r="R110" s="1" t="str">
        <f t="shared" si="56"/>
        <v>01</v>
      </c>
      <c r="S110" s="1" t="str">
        <f t="shared" si="57"/>
        <v>03</v>
      </c>
      <c r="T110" s="1" t="str">
        <f t="shared" si="58"/>
        <v>False</v>
      </c>
      <c r="U110" s="1" t="str">
        <f t="shared" si="59"/>
        <v>True</v>
      </c>
      <c r="V110" s="1" t="str">
        <f t="shared" si="89"/>
        <v>U0031247</v>
      </c>
      <c r="W110" s="1">
        <v>1</v>
      </c>
      <c r="Y110" s="1">
        <v>0</v>
      </c>
      <c r="Z110" s="1">
        <v>0</v>
      </c>
      <c r="AB110" s="1" t="str">
        <f t="shared" si="82"/>
        <v>SMU</v>
      </c>
      <c r="AD110" s="1" t="str">
        <f t="shared" si="83"/>
        <v>4520307</v>
      </c>
      <c r="AE110" s="1" t="str">
        <f t="shared" si="84"/>
        <v>CHENGDU JOY SHINE FOOTWEAR LTD</v>
      </c>
      <c r="AG110" s="1">
        <v>0</v>
      </c>
      <c r="AH110" s="1">
        <v>0</v>
      </c>
      <c r="AI110" s="1" t="str">
        <f t="shared" si="60"/>
        <v>F06</v>
      </c>
      <c r="AJ110" s="1" t="str">
        <f t="shared" si="85"/>
        <v>MAN</v>
      </c>
      <c r="AK110" s="1" t="str">
        <f t="shared" si="61"/>
        <v>PA</v>
      </c>
      <c r="AP110" s="1" t="str">
        <f t="shared" si="62"/>
        <v>False</v>
      </c>
      <c r="AR110" s="1" t="str">
        <f t="shared" si="86"/>
        <v>NOBIL</v>
      </c>
      <c r="AY110" s="1" t="str">
        <f t="shared" si="63"/>
        <v>PF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 t="str">
        <f t="shared" si="87"/>
        <v>BBER FLAT MOL.NYLON+MICROSUEDE</v>
      </c>
      <c r="BF110" s="1" t="str">
        <f t="shared" si="64"/>
        <v>Bonis SpA</v>
      </c>
      <c r="BO110" s="1">
        <v>0</v>
      </c>
      <c r="BP110" s="1">
        <v>0</v>
      </c>
      <c r="BQ110" s="1">
        <v>0</v>
      </c>
    </row>
    <row r="111" spans="2:69" x14ac:dyDescent="0.25">
      <c r="B111" s="1">
        <v>1733</v>
      </c>
      <c r="C111" s="1" t="str">
        <f t="shared" si="78"/>
        <v>NOBIL4044S6/NH1A</v>
      </c>
      <c r="D111" s="1" t="str">
        <f>"ODA16N00394-561"</f>
        <v>ODA16N00394-561</v>
      </c>
      <c r="E111" s="1" t="str">
        <f t="shared" si="79"/>
        <v>C12 USPA</v>
      </c>
      <c r="F111" s="1" t="str">
        <f t="shared" si="49"/>
        <v>BONIS SPA</v>
      </c>
      <c r="G111" s="1" t="str">
        <f t="shared" si="50"/>
        <v>STOCK TERRA MP</v>
      </c>
      <c r="H111" s="1" t="str">
        <f t="shared" si="80"/>
        <v>WHI</v>
      </c>
      <c r="J111" s="1">
        <v>1</v>
      </c>
      <c r="K111" s="1">
        <f t="shared" si="81"/>
        <v>12</v>
      </c>
      <c r="L111" s="1" t="str">
        <f t="shared" si="51"/>
        <v>01</v>
      </c>
      <c r="M111" s="1" t="str">
        <f t="shared" si="52"/>
        <v>101</v>
      </c>
      <c r="N111" s="1" t="str">
        <f t="shared" si="88"/>
        <v>002</v>
      </c>
      <c r="O111" s="1" t="str">
        <f t="shared" si="53"/>
        <v>00</v>
      </c>
      <c r="P111" s="1" t="str">
        <f t="shared" si="54"/>
        <v>S</v>
      </c>
      <c r="Q111" s="1" t="str">
        <f t="shared" si="55"/>
        <v>P</v>
      </c>
      <c r="R111" s="1" t="str">
        <f t="shared" si="56"/>
        <v>01</v>
      </c>
      <c r="S111" s="1" t="str">
        <f t="shared" si="57"/>
        <v>03</v>
      </c>
      <c r="T111" s="1" t="str">
        <f t="shared" si="58"/>
        <v>False</v>
      </c>
      <c r="U111" s="1" t="str">
        <f t="shared" si="59"/>
        <v>True</v>
      </c>
      <c r="V111" s="1" t="str">
        <f t="shared" si="89"/>
        <v>U0031247</v>
      </c>
      <c r="W111" s="1">
        <v>1</v>
      </c>
      <c r="Y111" s="1">
        <v>0</v>
      </c>
      <c r="Z111" s="1">
        <v>0</v>
      </c>
      <c r="AB111" s="1" t="str">
        <f t="shared" si="82"/>
        <v>SMU</v>
      </c>
      <c r="AD111" s="1" t="str">
        <f t="shared" si="83"/>
        <v>4520307</v>
      </c>
      <c r="AE111" s="1" t="str">
        <f t="shared" si="84"/>
        <v>CHENGDU JOY SHINE FOOTWEAR LTD</v>
      </c>
      <c r="AG111" s="1">
        <v>0</v>
      </c>
      <c r="AH111" s="1">
        <v>0</v>
      </c>
      <c r="AI111" s="1" t="str">
        <f t="shared" si="60"/>
        <v>F06</v>
      </c>
      <c r="AJ111" s="1" t="str">
        <f t="shared" si="85"/>
        <v>MAN</v>
      </c>
      <c r="AK111" s="1" t="str">
        <f t="shared" si="61"/>
        <v>PA</v>
      </c>
      <c r="AP111" s="1" t="str">
        <f t="shared" si="62"/>
        <v>False</v>
      </c>
      <c r="AR111" s="1" t="str">
        <f t="shared" si="86"/>
        <v>NOBIL</v>
      </c>
      <c r="AY111" s="1" t="str">
        <f t="shared" si="63"/>
        <v>PF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 t="str">
        <f t="shared" si="87"/>
        <v>BBER FLAT MOL.NYLON+MICROSUEDE</v>
      </c>
      <c r="BF111" s="1" t="str">
        <f t="shared" si="64"/>
        <v>Bonis SpA</v>
      </c>
      <c r="BO111" s="1">
        <v>0</v>
      </c>
      <c r="BP111" s="1">
        <v>0</v>
      </c>
      <c r="BQ111" s="1">
        <v>0</v>
      </c>
    </row>
    <row r="112" spans="2:69" x14ac:dyDescent="0.25">
      <c r="B112" s="1">
        <v>1733</v>
      </c>
      <c r="C112" s="1" t="str">
        <f t="shared" si="78"/>
        <v>NOBIL4044S6/NH1A</v>
      </c>
      <c r="D112" s="1" t="str">
        <f>"ODA16N00394-565"</f>
        <v>ODA16N00394-565</v>
      </c>
      <c r="E112" s="1" t="str">
        <f t="shared" si="79"/>
        <v>C12 USPA</v>
      </c>
      <c r="F112" s="1" t="str">
        <f t="shared" si="49"/>
        <v>BONIS SPA</v>
      </c>
      <c r="G112" s="1" t="str">
        <f t="shared" si="50"/>
        <v>STOCK TERRA MP</v>
      </c>
      <c r="H112" s="1" t="str">
        <f t="shared" si="80"/>
        <v>WHI</v>
      </c>
      <c r="J112" s="1">
        <v>1</v>
      </c>
      <c r="K112" s="1">
        <f t="shared" si="81"/>
        <v>12</v>
      </c>
      <c r="L112" s="1" t="str">
        <f t="shared" si="51"/>
        <v>01</v>
      </c>
      <c r="M112" s="1" t="str">
        <f t="shared" si="52"/>
        <v>101</v>
      </c>
      <c r="N112" s="1" t="str">
        <f t="shared" si="88"/>
        <v>002</v>
      </c>
      <c r="O112" s="1" t="str">
        <f t="shared" si="53"/>
        <v>00</v>
      </c>
      <c r="P112" s="1" t="str">
        <f t="shared" si="54"/>
        <v>S</v>
      </c>
      <c r="Q112" s="1" t="str">
        <f t="shared" si="55"/>
        <v>P</v>
      </c>
      <c r="R112" s="1" t="str">
        <f t="shared" si="56"/>
        <v>01</v>
      </c>
      <c r="S112" s="1" t="str">
        <f t="shared" si="57"/>
        <v>03</v>
      </c>
      <c r="T112" s="1" t="str">
        <f t="shared" si="58"/>
        <v>False</v>
      </c>
      <c r="U112" s="1" t="str">
        <f t="shared" si="59"/>
        <v>True</v>
      </c>
      <c r="V112" s="1" t="str">
        <f t="shared" si="89"/>
        <v>U0031247</v>
      </c>
      <c r="W112" s="1">
        <v>1</v>
      </c>
      <c r="Y112" s="1">
        <v>0</v>
      </c>
      <c r="Z112" s="1">
        <v>0</v>
      </c>
      <c r="AB112" s="1" t="str">
        <f t="shared" si="82"/>
        <v>SMU</v>
      </c>
      <c r="AD112" s="1" t="str">
        <f t="shared" si="83"/>
        <v>4520307</v>
      </c>
      <c r="AE112" s="1" t="str">
        <f t="shared" si="84"/>
        <v>CHENGDU JOY SHINE FOOTWEAR LTD</v>
      </c>
      <c r="AG112" s="1">
        <v>0</v>
      </c>
      <c r="AH112" s="1">
        <v>0</v>
      </c>
      <c r="AI112" s="1" t="str">
        <f t="shared" si="60"/>
        <v>F06</v>
      </c>
      <c r="AJ112" s="1" t="str">
        <f t="shared" si="85"/>
        <v>MAN</v>
      </c>
      <c r="AK112" s="1" t="str">
        <f t="shared" si="61"/>
        <v>PA</v>
      </c>
      <c r="AP112" s="1" t="str">
        <f t="shared" si="62"/>
        <v>False</v>
      </c>
      <c r="AR112" s="1" t="str">
        <f t="shared" si="86"/>
        <v>NOBIL</v>
      </c>
      <c r="AY112" s="1" t="str">
        <f t="shared" si="63"/>
        <v>PF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 t="str">
        <f t="shared" si="87"/>
        <v>BBER FLAT MOL.NYLON+MICROSUEDE</v>
      </c>
      <c r="BF112" s="1" t="str">
        <f t="shared" si="64"/>
        <v>Bonis SpA</v>
      </c>
      <c r="BO112" s="1">
        <v>0</v>
      </c>
      <c r="BP112" s="1">
        <v>0</v>
      </c>
      <c r="BQ112" s="1">
        <v>0</v>
      </c>
    </row>
    <row r="113" spans="2:69" x14ac:dyDescent="0.25">
      <c r="B113" s="1">
        <v>1733</v>
      </c>
      <c r="C113" s="1" t="str">
        <f t="shared" si="78"/>
        <v>NOBIL4044S6/NH1A</v>
      </c>
      <c r="D113" s="1" t="str">
        <f>"ODA16N00394-567"</f>
        <v>ODA16N00394-567</v>
      </c>
      <c r="E113" s="1" t="str">
        <f t="shared" si="79"/>
        <v>C12 USPA</v>
      </c>
      <c r="F113" s="1" t="str">
        <f t="shared" si="49"/>
        <v>BONIS SPA</v>
      </c>
      <c r="G113" s="1" t="str">
        <f t="shared" si="50"/>
        <v>STOCK TERRA MP</v>
      </c>
      <c r="H113" s="1" t="str">
        <f t="shared" si="80"/>
        <v>WHI</v>
      </c>
      <c r="J113" s="1">
        <v>1</v>
      </c>
      <c r="K113" s="1">
        <f t="shared" si="81"/>
        <v>12</v>
      </c>
      <c r="L113" s="1" t="str">
        <f t="shared" si="51"/>
        <v>01</v>
      </c>
      <c r="M113" s="1" t="str">
        <f t="shared" si="52"/>
        <v>101</v>
      </c>
      <c r="N113" s="1" t="str">
        <f t="shared" si="88"/>
        <v>002</v>
      </c>
      <c r="O113" s="1" t="str">
        <f t="shared" si="53"/>
        <v>00</v>
      </c>
      <c r="P113" s="1" t="str">
        <f t="shared" si="54"/>
        <v>S</v>
      </c>
      <c r="Q113" s="1" t="str">
        <f t="shared" si="55"/>
        <v>P</v>
      </c>
      <c r="R113" s="1" t="str">
        <f t="shared" si="56"/>
        <v>01</v>
      </c>
      <c r="S113" s="1" t="str">
        <f t="shared" si="57"/>
        <v>03</v>
      </c>
      <c r="T113" s="1" t="str">
        <f t="shared" si="58"/>
        <v>False</v>
      </c>
      <c r="U113" s="1" t="str">
        <f t="shared" si="59"/>
        <v>True</v>
      </c>
      <c r="V113" s="1" t="str">
        <f t="shared" si="89"/>
        <v>U0031247</v>
      </c>
      <c r="W113" s="1">
        <v>1</v>
      </c>
      <c r="Y113" s="1">
        <v>0</v>
      </c>
      <c r="Z113" s="1">
        <v>0</v>
      </c>
      <c r="AB113" s="1" t="str">
        <f t="shared" si="82"/>
        <v>SMU</v>
      </c>
      <c r="AD113" s="1" t="str">
        <f t="shared" si="83"/>
        <v>4520307</v>
      </c>
      <c r="AE113" s="1" t="str">
        <f t="shared" si="84"/>
        <v>CHENGDU JOY SHINE FOOTWEAR LTD</v>
      </c>
      <c r="AG113" s="1">
        <v>0</v>
      </c>
      <c r="AH113" s="1">
        <v>0</v>
      </c>
      <c r="AI113" s="1" t="str">
        <f t="shared" si="60"/>
        <v>F06</v>
      </c>
      <c r="AJ113" s="1" t="str">
        <f t="shared" si="85"/>
        <v>MAN</v>
      </c>
      <c r="AK113" s="1" t="str">
        <f t="shared" si="61"/>
        <v>PA</v>
      </c>
      <c r="AP113" s="1" t="str">
        <f t="shared" si="62"/>
        <v>False</v>
      </c>
      <c r="AR113" s="1" t="str">
        <f t="shared" si="86"/>
        <v>NOBIL</v>
      </c>
      <c r="AY113" s="1" t="str">
        <f t="shared" si="63"/>
        <v>PF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 t="str">
        <f t="shared" si="87"/>
        <v>BBER FLAT MOL.NYLON+MICROSUEDE</v>
      </c>
      <c r="BF113" s="1" t="str">
        <f t="shared" si="64"/>
        <v>Bonis SpA</v>
      </c>
      <c r="BO113" s="1">
        <v>0</v>
      </c>
      <c r="BP113" s="1">
        <v>0</v>
      </c>
      <c r="BQ113" s="1">
        <v>0</v>
      </c>
    </row>
    <row r="114" spans="2:69" x14ac:dyDescent="0.25">
      <c r="B114" s="1">
        <v>1733</v>
      </c>
      <c r="C114" s="1" t="str">
        <f t="shared" si="78"/>
        <v>NOBIL4044S6/NH1A</v>
      </c>
      <c r="D114" s="1" t="str">
        <f>"ODA16N00394-570"</f>
        <v>ODA16N00394-570</v>
      </c>
      <c r="E114" s="1" t="str">
        <f t="shared" si="79"/>
        <v>C12 USPA</v>
      </c>
      <c r="F114" s="1" t="str">
        <f t="shared" si="49"/>
        <v>BONIS SPA</v>
      </c>
      <c r="G114" s="1" t="str">
        <f t="shared" si="50"/>
        <v>STOCK TERRA MP</v>
      </c>
      <c r="H114" s="1" t="str">
        <f t="shared" si="80"/>
        <v>WHI</v>
      </c>
      <c r="J114" s="1">
        <v>1</v>
      </c>
      <c r="K114" s="1">
        <f t="shared" si="81"/>
        <v>12</v>
      </c>
      <c r="L114" s="1" t="str">
        <f t="shared" si="51"/>
        <v>01</v>
      </c>
      <c r="M114" s="1" t="str">
        <f t="shared" si="52"/>
        <v>101</v>
      </c>
      <c r="N114" s="1" t="str">
        <f t="shared" si="88"/>
        <v>002</v>
      </c>
      <c r="O114" s="1" t="str">
        <f t="shared" si="53"/>
        <v>00</v>
      </c>
      <c r="P114" s="1" t="str">
        <f t="shared" si="54"/>
        <v>S</v>
      </c>
      <c r="Q114" s="1" t="str">
        <f t="shared" si="55"/>
        <v>P</v>
      </c>
      <c r="R114" s="1" t="str">
        <f t="shared" si="56"/>
        <v>01</v>
      </c>
      <c r="S114" s="1" t="str">
        <f t="shared" si="57"/>
        <v>03</v>
      </c>
      <c r="T114" s="1" t="str">
        <f t="shared" si="58"/>
        <v>False</v>
      </c>
      <c r="U114" s="1" t="str">
        <f t="shared" si="59"/>
        <v>True</v>
      </c>
      <c r="V114" s="1" t="str">
        <f t="shared" si="89"/>
        <v>U0031247</v>
      </c>
      <c r="W114" s="1">
        <v>1</v>
      </c>
      <c r="Y114" s="1">
        <v>0</v>
      </c>
      <c r="Z114" s="1">
        <v>0</v>
      </c>
      <c r="AB114" s="1" t="str">
        <f t="shared" si="82"/>
        <v>SMU</v>
      </c>
      <c r="AD114" s="1" t="str">
        <f t="shared" si="83"/>
        <v>4520307</v>
      </c>
      <c r="AE114" s="1" t="str">
        <f t="shared" si="84"/>
        <v>CHENGDU JOY SHINE FOOTWEAR LTD</v>
      </c>
      <c r="AG114" s="1">
        <v>0</v>
      </c>
      <c r="AH114" s="1">
        <v>0</v>
      </c>
      <c r="AI114" s="1" t="str">
        <f t="shared" si="60"/>
        <v>F06</v>
      </c>
      <c r="AJ114" s="1" t="str">
        <f t="shared" si="85"/>
        <v>MAN</v>
      </c>
      <c r="AK114" s="1" t="str">
        <f t="shared" si="61"/>
        <v>PA</v>
      </c>
      <c r="AP114" s="1" t="str">
        <f t="shared" si="62"/>
        <v>False</v>
      </c>
      <c r="AR114" s="1" t="str">
        <f t="shared" si="86"/>
        <v>NOBIL</v>
      </c>
      <c r="AY114" s="1" t="str">
        <f t="shared" si="63"/>
        <v>PF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 t="str">
        <f t="shared" si="87"/>
        <v>BBER FLAT MOL.NYLON+MICROSUEDE</v>
      </c>
      <c r="BF114" s="1" t="str">
        <f t="shared" si="64"/>
        <v>Bonis SpA</v>
      </c>
      <c r="BO114" s="1">
        <v>0</v>
      </c>
      <c r="BP114" s="1">
        <v>0</v>
      </c>
      <c r="BQ114" s="1">
        <v>0</v>
      </c>
    </row>
    <row r="115" spans="2:69" x14ac:dyDescent="0.25">
      <c r="B115" s="1">
        <v>1745</v>
      </c>
      <c r="C115" s="1" t="str">
        <f t="shared" si="78"/>
        <v>NOBIL4044S6/NH1A</v>
      </c>
      <c r="D115" s="1" t="str">
        <f>"ODA16N00394-577"</f>
        <v>ODA16N00394-577</v>
      </c>
      <c r="E115" s="1" t="str">
        <f t="shared" si="79"/>
        <v>C12 USPA</v>
      </c>
      <c r="F115" s="1" t="str">
        <f t="shared" si="49"/>
        <v>BONIS SPA</v>
      </c>
      <c r="G115" s="1" t="str">
        <f t="shared" si="50"/>
        <v>STOCK TERRA MP</v>
      </c>
      <c r="H115" s="1" t="str">
        <f t="shared" si="80"/>
        <v>WHI</v>
      </c>
      <c r="J115" s="1">
        <v>1</v>
      </c>
      <c r="K115" s="1">
        <f t="shared" si="81"/>
        <v>12</v>
      </c>
      <c r="L115" s="1" t="str">
        <f t="shared" si="51"/>
        <v>01</v>
      </c>
      <c r="M115" s="1" t="str">
        <f t="shared" si="52"/>
        <v>101</v>
      </c>
      <c r="N115" s="1" t="str">
        <f t="shared" ref="N115:N121" si="90">"014"</f>
        <v>014</v>
      </c>
      <c r="O115" s="1" t="str">
        <f t="shared" si="53"/>
        <v>00</v>
      </c>
      <c r="P115" s="1" t="str">
        <f t="shared" si="54"/>
        <v>S</v>
      </c>
      <c r="Q115" s="1" t="str">
        <f t="shared" si="55"/>
        <v>P</v>
      </c>
      <c r="R115" s="1" t="str">
        <f t="shared" si="56"/>
        <v>01</v>
      </c>
      <c r="S115" s="1" t="str">
        <f t="shared" si="57"/>
        <v>03</v>
      </c>
      <c r="T115" s="1" t="str">
        <f t="shared" si="58"/>
        <v>False</v>
      </c>
      <c r="U115" s="1" t="str">
        <f t="shared" si="59"/>
        <v>True</v>
      </c>
      <c r="V115" s="1" t="str">
        <f t="shared" ref="V115:V121" si="91">"U0031249"</f>
        <v>U0031249</v>
      </c>
      <c r="W115" s="1">
        <v>1</v>
      </c>
      <c r="Y115" s="1">
        <v>0</v>
      </c>
      <c r="Z115" s="1">
        <v>0</v>
      </c>
      <c r="AB115" s="1" t="str">
        <f t="shared" si="82"/>
        <v>SMU</v>
      </c>
      <c r="AD115" s="1" t="str">
        <f t="shared" si="83"/>
        <v>4520307</v>
      </c>
      <c r="AE115" s="1" t="str">
        <f t="shared" si="84"/>
        <v>CHENGDU JOY SHINE FOOTWEAR LTD</v>
      </c>
      <c r="AG115" s="1">
        <v>0</v>
      </c>
      <c r="AH115" s="1">
        <v>0</v>
      </c>
      <c r="AI115" s="1" t="str">
        <f t="shared" si="60"/>
        <v>F06</v>
      </c>
      <c r="AJ115" s="1" t="str">
        <f t="shared" si="85"/>
        <v>MAN</v>
      </c>
      <c r="AK115" s="1" t="str">
        <f t="shared" si="61"/>
        <v>PA</v>
      </c>
      <c r="AP115" s="1" t="str">
        <f t="shared" si="62"/>
        <v>False</v>
      </c>
      <c r="AR115" s="1" t="str">
        <f t="shared" si="86"/>
        <v>NOBIL</v>
      </c>
      <c r="AY115" s="1" t="str">
        <f t="shared" si="63"/>
        <v>PF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 t="str">
        <f t="shared" si="87"/>
        <v>BBER FLAT MOL.NYLON+MICROSUEDE</v>
      </c>
      <c r="BF115" s="1" t="str">
        <f t="shared" si="64"/>
        <v>Bonis SpA</v>
      </c>
      <c r="BO115" s="1">
        <v>0</v>
      </c>
      <c r="BP115" s="1">
        <v>0</v>
      </c>
      <c r="BQ115" s="1">
        <v>0</v>
      </c>
    </row>
    <row r="116" spans="2:69" x14ac:dyDescent="0.25">
      <c r="B116" s="1">
        <v>1745</v>
      </c>
      <c r="C116" s="1" t="str">
        <f t="shared" si="78"/>
        <v>NOBIL4044S6/NH1A</v>
      </c>
      <c r="D116" s="1" t="str">
        <f>"ODA16N00394-579"</f>
        <v>ODA16N00394-579</v>
      </c>
      <c r="E116" s="1" t="str">
        <f t="shared" si="79"/>
        <v>C12 USPA</v>
      </c>
      <c r="F116" s="1" t="str">
        <f t="shared" si="49"/>
        <v>BONIS SPA</v>
      </c>
      <c r="G116" s="1" t="str">
        <f t="shared" si="50"/>
        <v>STOCK TERRA MP</v>
      </c>
      <c r="H116" s="1" t="str">
        <f t="shared" si="80"/>
        <v>WHI</v>
      </c>
      <c r="J116" s="1">
        <v>1</v>
      </c>
      <c r="K116" s="1">
        <f t="shared" si="81"/>
        <v>12</v>
      </c>
      <c r="L116" s="1" t="str">
        <f t="shared" si="51"/>
        <v>01</v>
      </c>
      <c r="M116" s="1" t="str">
        <f t="shared" si="52"/>
        <v>101</v>
      </c>
      <c r="N116" s="1" t="str">
        <f t="shared" si="90"/>
        <v>014</v>
      </c>
      <c r="O116" s="1" t="str">
        <f t="shared" si="53"/>
        <v>00</v>
      </c>
      <c r="P116" s="1" t="str">
        <f t="shared" si="54"/>
        <v>S</v>
      </c>
      <c r="Q116" s="1" t="str">
        <f t="shared" si="55"/>
        <v>P</v>
      </c>
      <c r="R116" s="1" t="str">
        <f t="shared" si="56"/>
        <v>01</v>
      </c>
      <c r="S116" s="1" t="str">
        <f t="shared" si="57"/>
        <v>03</v>
      </c>
      <c r="T116" s="1" t="str">
        <f t="shared" si="58"/>
        <v>False</v>
      </c>
      <c r="U116" s="1" t="str">
        <f t="shared" si="59"/>
        <v>True</v>
      </c>
      <c r="V116" s="1" t="str">
        <f t="shared" si="91"/>
        <v>U0031249</v>
      </c>
      <c r="W116" s="1">
        <v>1</v>
      </c>
      <c r="Y116" s="1">
        <v>0</v>
      </c>
      <c r="Z116" s="1">
        <v>0</v>
      </c>
      <c r="AB116" s="1" t="str">
        <f t="shared" si="82"/>
        <v>SMU</v>
      </c>
      <c r="AD116" s="1" t="str">
        <f t="shared" si="83"/>
        <v>4520307</v>
      </c>
      <c r="AE116" s="1" t="str">
        <f t="shared" si="84"/>
        <v>CHENGDU JOY SHINE FOOTWEAR LTD</v>
      </c>
      <c r="AG116" s="1">
        <v>0</v>
      </c>
      <c r="AH116" s="1">
        <v>0</v>
      </c>
      <c r="AI116" s="1" t="str">
        <f t="shared" si="60"/>
        <v>F06</v>
      </c>
      <c r="AJ116" s="1" t="str">
        <f t="shared" si="85"/>
        <v>MAN</v>
      </c>
      <c r="AK116" s="1" t="str">
        <f t="shared" si="61"/>
        <v>PA</v>
      </c>
      <c r="AP116" s="1" t="str">
        <f t="shared" si="62"/>
        <v>False</v>
      </c>
      <c r="AR116" s="1" t="str">
        <f t="shared" si="86"/>
        <v>NOBIL</v>
      </c>
      <c r="AY116" s="1" t="str">
        <f t="shared" si="63"/>
        <v>PF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 t="str">
        <f t="shared" si="87"/>
        <v>BBER FLAT MOL.NYLON+MICROSUEDE</v>
      </c>
      <c r="BF116" s="1" t="str">
        <f t="shared" si="64"/>
        <v>Bonis SpA</v>
      </c>
      <c r="BO116" s="1">
        <v>0</v>
      </c>
      <c r="BP116" s="1">
        <v>0</v>
      </c>
      <c r="BQ116" s="1">
        <v>0</v>
      </c>
    </row>
    <row r="117" spans="2:69" x14ac:dyDescent="0.25">
      <c r="B117" s="1">
        <v>1745</v>
      </c>
      <c r="C117" s="1" t="str">
        <f t="shared" si="78"/>
        <v>NOBIL4044S6/NH1A</v>
      </c>
      <c r="D117" s="1" t="str">
        <f>"ODA16N00394-582"</f>
        <v>ODA16N00394-582</v>
      </c>
      <c r="E117" s="1" t="str">
        <f t="shared" si="79"/>
        <v>C12 USPA</v>
      </c>
      <c r="F117" s="1" t="str">
        <f t="shared" si="49"/>
        <v>BONIS SPA</v>
      </c>
      <c r="G117" s="1" t="str">
        <f t="shared" si="50"/>
        <v>STOCK TERRA MP</v>
      </c>
      <c r="H117" s="1" t="str">
        <f t="shared" si="80"/>
        <v>WHI</v>
      </c>
      <c r="J117" s="1">
        <v>1</v>
      </c>
      <c r="K117" s="1">
        <f t="shared" si="81"/>
        <v>12</v>
      </c>
      <c r="L117" s="1" t="str">
        <f t="shared" si="51"/>
        <v>01</v>
      </c>
      <c r="M117" s="1" t="str">
        <f t="shared" si="52"/>
        <v>101</v>
      </c>
      <c r="N117" s="1" t="str">
        <f t="shared" si="90"/>
        <v>014</v>
      </c>
      <c r="O117" s="1" t="str">
        <f t="shared" si="53"/>
        <v>00</v>
      </c>
      <c r="P117" s="1" t="str">
        <f t="shared" si="54"/>
        <v>S</v>
      </c>
      <c r="Q117" s="1" t="str">
        <f t="shared" si="55"/>
        <v>P</v>
      </c>
      <c r="R117" s="1" t="str">
        <f t="shared" si="56"/>
        <v>01</v>
      </c>
      <c r="S117" s="1" t="str">
        <f t="shared" si="57"/>
        <v>03</v>
      </c>
      <c r="T117" s="1" t="str">
        <f t="shared" si="58"/>
        <v>False</v>
      </c>
      <c r="U117" s="1" t="str">
        <f t="shared" si="59"/>
        <v>True</v>
      </c>
      <c r="V117" s="1" t="str">
        <f t="shared" si="91"/>
        <v>U0031249</v>
      </c>
      <c r="W117" s="1">
        <v>1</v>
      </c>
      <c r="Y117" s="1">
        <v>0</v>
      </c>
      <c r="Z117" s="1">
        <v>0</v>
      </c>
      <c r="AB117" s="1" t="str">
        <f t="shared" si="82"/>
        <v>SMU</v>
      </c>
      <c r="AD117" s="1" t="str">
        <f t="shared" si="83"/>
        <v>4520307</v>
      </c>
      <c r="AE117" s="1" t="str">
        <f t="shared" si="84"/>
        <v>CHENGDU JOY SHINE FOOTWEAR LTD</v>
      </c>
      <c r="AG117" s="1">
        <v>0</v>
      </c>
      <c r="AH117" s="1">
        <v>0</v>
      </c>
      <c r="AI117" s="1" t="str">
        <f t="shared" si="60"/>
        <v>F06</v>
      </c>
      <c r="AJ117" s="1" t="str">
        <f t="shared" si="85"/>
        <v>MAN</v>
      </c>
      <c r="AK117" s="1" t="str">
        <f t="shared" si="61"/>
        <v>PA</v>
      </c>
      <c r="AP117" s="1" t="str">
        <f t="shared" si="62"/>
        <v>False</v>
      </c>
      <c r="AR117" s="1" t="str">
        <f t="shared" si="86"/>
        <v>NOBIL</v>
      </c>
      <c r="AY117" s="1" t="str">
        <f t="shared" si="63"/>
        <v>PF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 t="str">
        <f t="shared" si="87"/>
        <v>BBER FLAT MOL.NYLON+MICROSUEDE</v>
      </c>
      <c r="BF117" s="1" t="str">
        <f t="shared" si="64"/>
        <v>Bonis SpA</v>
      </c>
      <c r="BO117" s="1">
        <v>0</v>
      </c>
      <c r="BP117" s="1">
        <v>0</v>
      </c>
      <c r="BQ117" s="1">
        <v>0</v>
      </c>
    </row>
    <row r="118" spans="2:69" x14ac:dyDescent="0.25">
      <c r="B118" s="1">
        <v>1745</v>
      </c>
      <c r="C118" s="1" t="str">
        <f t="shared" si="78"/>
        <v>NOBIL4044S6/NH1A</v>
      </c>
      <c r="D118" s="1" t="str">
        <f>"ODA16N00394-588"</f>
        <v>ODA16N00394-588</v>
      </c>
      <c r="E118" s="1" t="str">
        <f t="shared" si="79"/>
        <v>C12 USPA</v>
      </c>
      <c r="F118" s="1" t="str">
        <f t="shared" si="49"/>
        <v>BONIS SPA</v>
      </c>
      <c r="G118" s="1" t="str">
        <f t="shared" si="50"/>
        <v>STOCK TERRA MP</v>
      </c>
      <c r="H118" s="1" t="str">
        <f t="shared" si="80"/>
        <v>WHI</v>
      </c>
      <c r="J118" s="1">
        <v>1</v>
      </c>
      <c r="K118" s="1">
        <f t="shared" si="81"/>
        <v>12</v>
      </c>
      <c r="L118" s="1" t="str">
        <f t="shared" si="51"/>
        <v>01</v>
      </c>
      <c r="M118" s="1" t="str">
        <f t="shared" si="52"/>
        <v>101</v>
      </c>
      <c r="N118" s="1" t="str">
        <f t="shared" si="90"/>
        <v>014</v>
      </c>
      <c r="O118" s="1" t="str">
        <f t="shared" si="53"/>
        <v>00</v>
      </c>
      <c r="P118" s="1" t="str">
        <f t="shared" si="54"/>
        <v>S</v>
      </c>
      <c r="Q118" s="1" t="str">
        <f t="shared" si="55"/>
        <v>P</v>
      </c>
      <c r="R118" s="1" t="str">
        <f t="shared" si="56"/>
        <v>01</v>
      </c>
      <c r="S118" s="1" t="str">
        <f t="shared" si="57"/>
        <v>03</v>
      </c>
      <c r="T118" s="1" t="str">
        <f t="shared" si="58"/>
        <v>False</v>
      </c>
      <c r="U118" s="1" t="str">
        <f t="shared" si="59"/>
        <v>True</v>
      </c>
      <c r="V118" s="1" t="str">
        <f t="shared" si="91"/>
        <v>U0031249</v>
      </c>
      <c r="W118" s="1">
        <v>1</v>
      </c>
      <c r="Y118" s="1">
        <v>0</v>
      </c>
      <c r="Z118" s="1">
        <v>0</v>
      </c>
      <c r="AB118" s="1" t="str">
        <f t="shared" si="82"/>
        <v>SMU</v>
      </c>
      <c r="AD118" s="1" t="str">
        <f t="shared" si="83"/>
        <v>4520307</v>
      </c>
      <c r="AE118" s="1" t="str">
        <f t="shared" si="84"/>
        <v>CHENGDU JOY SHINE FOOTWEAR LTD</v>
      </c>
      <c r="AG118" s="1">
        <v>0</v>
      </c>
      <c r="AH118" s="1">
        <v>0</v>
      </c>
      <c r="AI118" s="1" t="str">
        <f t="shared" si="60"/>
        <v>F06</v>
      </c>
      <c r="AJ118" s="1" t="str">
        <f t="shared" si="85"/>
        <v>MAN</v>
      </c>
      <c r="AK118" s="1" t="str">
        <f t="shared" si="61"/>
        <v>PA</v>
      </c>
      <c r="AP118" s="1" t="str">
        <f t="shared" si="62"/>
        <v>False</v>
      </c>
      <c r="AR118" s="1" t="str">
        <f t="shared" si="86"/>
        <v>NOBIL</v>
      </c>
      <c r="AY118" s="1" t="str">
        <f t="shared" si="63"/>
        <v>PF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 t="str">
        <f t="shared" si="87"/>
        <v>BBER FLAT MOL.NYLON+MICROSUEDE</v>
      </c>
      <c r="BF118" s="1" t="str">
        <f t="shared" si="64"/>
        <v>Bonis SpA</v>
      </c>
      <c r="BO118" s="1">
        <v>0</v>
      </c>
      <c r="BP118" s="1">
        <v>0</v>
      </c>
      <c r="BQ118" s="1">
        <v>0</v>
      </c>
    </row>
    <row r="119" spans="2:69" x14ac:dyDescent="0.25">
      <c r="B119" s="1">
        <v>1745</v>
      </c>
      <c r="C119" s="1" t="str">
        <f t="shared" si="78"/>
        <v>NOBIL4044S6/NH1A</v>
      </c>
      <c r="D119" s="1" t="str">
        <f>"ODA16N00394-592"</f>
        <v>ODA16N00394-592</v>
      </c>
      <c r="E119" s="1" t="str">
        <f t="shared" si="79"/>
        <v>C12 USPA</v>
      </c>
      <c r="F119" s="1" t="str">
        <f t="shared" si="49"/>
        <v>BONIS SPA</v>
      </c>
      <c r="G119" s="1" t="str">
        <f t="shared" si="50"/>
        <v>STOCK TERRA MP</v>
      </c>
      <c r="H119" s="1" t="str">
        <f t="shared" si="80"/>
        <v>WHI</v>
      </c>
      <c r="J119" s="1">
        <v>1</v>
      </c>
      <c r="K119" s="1">
        <f t="shared" si="81"/>
        <v>12</v>
      </c>
      <c r="L119" s="1" t="str">
        <f t="shared" si="51"/>
        <v>01</v>
      </c>
      <c r="M119" s="1" t="str">
        <f t="shared" si="52"/>
        <v>101</v>
      </c>
      <c r="N119" s="1" t="str">
        <f t="shared" si="90"/>
        <v>014</v>
      </c>
      <c r="O119" s="1" t="str">
        <f t="shared" si="53"/>
        <v>00</v>
      </c>
      <c r="P119" s="1" t="str">
        <f t="shared" si="54"/>
        <v>S</v>
      </c>
      <c r="Q119" s="1" t="str">
        <f t="shared" si="55"/>
        <v>P</v>
      </c>
      <c r="R119" s="1" t="str">
        <f t="shared" si="56"/>
        <v>01</v>
      </c>
      <c r="S119" s="1" t="str">
        <f t="shared" si="57"/>
        <v>03</v>
      </c>
      <c r="T119" s="1" t="str">
        <f t="shared" si="58"/>
        <v>False</v>
      </c>
      <c r="U119" s="1" t="str">
        <f t="shared" si="59"/>
        <v>True</v>
      </c>
      <c r="V119" s="1" t="str">
        <f t="shared" si="91"/>
        <v>U0031249</v>
      </c>
      <c r="W119" s="1">
        <v>1</v>
      </c>
      <c r="Y119" s="1">
        <v>0</v>
      </c>
      <c r="Z119" s="1">
        <v>0</v>
      </c>
      <c r="AB119" s="1" t="str">
        <f t="shared" si="82"/>
        <v>SMU</v>
      </c>
      <c r="AD119" s="1" t="str">
        <f t="shared" si="83"/>
        <v>4520307</v>
      </c>
      <c r="AE119" s="1" t="str">
        <f t="shared" si="84"/>
        <v>CHENGDU JOY SHINE FOOTWEAR LTD</v>
      </c>
      <c r="AG119" s="1">
        <v>0</v>
      </c>
      <c r="AH119" s="1">
        <v>0</v>
      </c>
      <c r="AI119" s="1" t="str">
        <f t="shared" si="60"/>
        <v>F06</v>
      </c>
      <c r="AJ119" s="1" t="str">
        <f t="shared" si="85"/>
        <v>MAN</v>
      </c>
      <c r="AK119" s="1" t="str">
        <f t="shared" si="61"/>
        <v>PA</v>
      </c>
      <c r="AP119" s="1" t="str">
        <f t="shared" si="62"/>
        <v>False</v>
      </c>
      <c r="AR119" s="1" t="str">
        <f t="shared" si="86"/>
        <v>NOBIL</v>
      </c>
      <c r="AY119" s="1" t="str">
        <f t="shared" si="63"/>
        <v>PF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 t="str">
        <f t="shared" si="87"/>
        <v>BBER FLAT MOL.NYLON+MICROSUEDE</v>
      </c>
      <c r="BF119" s="1" t="str">
        <f t="shared" si="64"/>
        <v>Bonis SpA</v>
      </c>
      <c r="BO119" s="1">
        <v>0</v>
      </c>
      <c r="BP119" s="1">
        <v>0</v>
      </c>
      <c r="BQ119" s="1">
        <v>0</v>
      </c>
    </row>
    <row r="120" spans="2:69" x14ac:dyDescent="0.25">
      <c r="B120" s="1">
        <v>1745</v>
      </c>
      <c r="C120" s="1" t="str">
        <f t="shared" si="78"/>
        <v>NOBIL4044S6/NH1A</v>
      </c>
      <c r="D120" s="1" t="str">
        <f>"ODA16N00394-593"</f>
        <v>ODA16N00394-593</v>
      </c>
      <c r="E120" s="1" t="str">
        <f t="shared" si="79"/>
        <v>C12 USPA</v>
      </c>
      <c r="F120" s="1" t="str">
        <f t="shared" si="49"/>
        <v>BONIS SPA</v>
      </c>
      <c r="G120" s="1" t="str">
        <f t="shared" si="50"/>
        <v>STOCK TERRA MP</v>
      </c>
      <c r="H120" s="1" t="str">
        <f t="shared" si="80"/>
        <v>WHI</v>
      </c>
      <c r="J120" s="1">
        <v>1</v>
      </c>
      <c r="K120" s="1">
        <f t="shared" si="81"/>
        <v>12</v>
      </c>
      <c r="L120" s="1" t="str">
        <f t="shared" si="51"/>
        <v>01</v>
      </c>
      <c r="M120" s="1" t="str">
        <f t="shared" si="52"/>
        <v>101</v>
      </c>
      <c r="N120" s="1" t="str">
        <f t="shared" si="90"/>
        <v>014</v>
      </c>
      <c r="O120" s="1" t="str">
        <f t="shared" si="53"/>
        <v>00</v>
      </c>
      <c r="P120" s="1" t="str">
        <f t="shared" si="54"/>
        <v>S</v>
      </c>
      <c r="Q120" s="1" t="str">
        <f t="shared" si="55"/>
        <v>P</v>
      </c>
      <c r="R120" s="1" t="str">
        <f t="shared" si="56"/>
        <v>01</v>
      </c>
      <c r="S120" s="1" t="str">
        <f t="shared" si="57"/>
        <v>03</v>
      </c>
      <c r="T120" s="1" t="str">
        <f t="shared" si="58"/>
        <v>False</v>
      </c>
      <c r="U120" s="1" t="str">
        <f t="shared" si="59"/>
        <v>True</v>
      </c>
      <c r="V120" s="1" t="str">
        <f t="shared" si="91"/>
        <v>U0031249</v>
      </c>
      <c r="W120" s="1">
        <v>1</v>
      </c>
      <c r="Y120" s="1">
        <v>0</v>
      </c>
      <c r="Z120" s="1">
        <v>0</v>
      </c>
      <c r="AB120" s="1" t="str">
        <f t="shared" si="82"/>
        <v>SMU</v>
      </c>
      <c r="AD120" s="1" t="str">
        <f t="shared" si="83"/>
        <v>4520307</v>
      </c>
      <c r="AE120" s="1" t="str">
        <f t="shared" si="84"/>
        <v>CHENGDU JOY SHINE FOOTWEAR LTD</v>
      </c>
      <c r="AG120" s="1">
        <v>0</v>
      </c>
      <c r="AH120" s="1">
        <v>0</v>
      </c>
      <c r="AI120" s="1" t="str">
        <f t="shared" si="60"/>
        <v>F06</v>
      </c>
      <c r="AJ120" s="1" t="str">
        <f t="shared" si="85"/>
        <v>MAN</v>
      </c>
      <c r="AK120" s="1" t="str">
        <f t="shared" si="61"/>
        <v>PA</v>
      </c>
      <c r="AP120" s="1" t="str">
        <f t="shared" si="62"/>
        <v>False</v>
      </c>
      <c r="AR120" s="1" t="str">
        <f t="shared" si="86"/>
        <v>NOBIL</v>
      </c>
      <c r="AY120" s="1" t="str">
        <f t="shared" si="63"/>
        <v>PF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 t="str">
        <f t="shared" si="87"/>
        <v>BBER FLAT MOL.NYLON+MICROSUEDE</v>
      </c>
      <c r="BF120" s="1" t="str">
        <f t="shared" si="64"/>
        <v>Bonis SpA</v>
      </c>
      <c r="BO120" s="1">
        <v>0</v>
      </c>
      <c r="BP120" s="1">
        <v>0</v>
      </c>
      <c r="BQ120" s="1">
        <v>0</v>
      </c>
    </row>
    <row r="121" spans="2:69" x14ac:dyDescent="0.25">
      <c r="B121" s="1">
        <v>1745</v>
      </c>
      <c r="C121" s="1" t="str">
        <f t="shared" si="78"/>
        <v>NOBIL4044S6/NH1A</v>
      </c>
      <c r="D121" s="1" t="str">
        <f>"ODA16N00394-595"</f>
        <v>ODA16N00394-595</v>
      </c>
      <c r="E121" s="1" t="str">
        <f t="shared" si="79"/>
        <v>C12 USPA</v>
      </c>
      <c r="F121" s="1" t="str">
        <f t="shared" si="49"/>
        <v>BONIS SPA</v>
      </c>
      <c r="G121" s="1" t="str">
        <f t="shared" si="50"/>
        <v>STOCK TERRA MP</v>
      </c>
      <c r="H121" s="1" t="str">
        <f t="shared" si="80"/>
        <v>WHI</v>
      </c>
      <c r="J121" s="1">
        <v>1</v>
      </c>
      <c r="K121" s="1">
        <f t="shared" si="81"/>
        <v>12</v>
      </c>
      <c r="L121" s="1" t="str">
        <f t="shared" si="51"/>
        <v>01</v>
      </c>
      <c r="M121" s="1" t="str">
        <f t="shared" si="52"/>
        <v>101</v>
      </c>
      <c r="N121" s="1" t="str">
        <f t="shared" si="90"/>
        <v>014</v>
      </c>
      <c r="O121" s="1" t="str">
        <f t="shared" si="53"/>
        <v>00</v>
      </c>
      <c r="P121" s="1" t="str">
        <f t="shared" si="54"/>
        <v>S</v>
      </c>
      <c r="Q121" s="1" t="str">
        <f t="shared" si="55"/>
        <v>P</v>
      </c>
      <c r="R121" s="1" t="str">
        <f t="shared" si="56"/>
        <v>01</v>
      </c>
      <c r="S121" s="1" t="str">
        <f t="shared" si="57"/>
        <v>03</v>
      </c>
      <c r="T121" s="1" t="str">
        <f t="shared" si="58"/>
        <v>False</v>
      </c>
      <c r="U121" s="1" t="str">
        <f t="shared" si="59"/>
        <v>True</v>
      </c>
      <c r="V121" s="1" t="str">
        <f t="shared" si="91"/>
        <v>U0031249</v>
      </c>
      <c r="W121" s="1">
        <v>1</v>
      </c>
      <c r="Y121" s="1">
        <v>0</v>
      </c>
      <c r="Z121" s="1">
        <v>0</v>
      </c>
      <c r="AB121" s="1" t="str">
        <f t="shared" si="82"/>
        <v>SMU</v>
      </c>
      <c r="AD121" s="1" t="str">
        <f t="shared" si="83"/>
        <v>4520307</v>
      </c>
      <c r="AE121" s="1" t="str">
        <f t="shared" si="84"/>
        <v>CHENGDU JOY SHINE FOOTWEAR LTD</v>
      </c>
      <c r="AG121" s="1">
        <v>0</v>
      </c>
      <c r="AH121" s="1">
        <v>0</v>
      </c>
      <c r="AI121" s="1" t="str">
        <f t="shared" si="60"/>
        <v>F06</v>
      </c>
      <c r="AJ121" s="1" t="str">
        <f t="shared" si="85"/>
        <v>MAN</v>
      </c>
      <c r="AK121" s="1" t="str">
        <f t="shared" si="61"/>
        <v>PA</v>
      </c>
      <c r="AP121" s="1" t="str">
        <f t="shared" si="62"/>
        <v>False</v>
      </c>
      <c r="AR121" s="1" t="str">
        <f t="shared" si="86"/>
        <v>NOBIL</v>
      </c>
      <c r="AY121" s="1" t="str">
        <f t="shared" si="63"/>
        <v>PF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 t="str">
        <f t="shared" si="87"/>
        <v>BBER FLAT MOL.NYLON+MICROSUEDE</v>
      </c>
      <c r="BF121" s="1" t="str">
        <f t="shared" si="64"/>
        <v>Bonis SpA</v>
      </c>
      <c r="BO121" s="1">
        <v>0</v>
      </c>
      <c r="BP121" s="1">
        <v>0</v>
      </c>
      <c r="BQ121" s="1">
        <v>0</v>
      </c>
    </row>
    <row r="122" spans="2:69" x14ac:dyDescent="0.25">
      <c r="B122" s="1">
        <v>1733</v>
      </c>
      <c r="C122" s="1" t="str">
        <f t="shared" si="78"/>
        <v>NOBIL4044S6/NH1A</v>
      </c>
      <c r="D122" s="1" t="str">
        <f>"ODA16N00394-599"</f>
        <v>ODA16N00394-599</v>
      </c>
      <c r="E122" s="1" t="str">
        <f t="shared" si="79"/>
        <v>C12 USPA</v>
      </c>
      <c r="F122" s="1" t="str">
        <f t="shared" si="49"/>
        <v>BONIS SPA</v>
      </c>
      <c r="G122" s="1" t="str">
        <f t="shared" si="50"/>
        <v>STOCK TERRA MP</v>
      </c>
      <c r="H122" s="1" t="str">
        <f t="shared" si="80"/>
        <v>WHI</v>
      </c>
      <c r="J122" s="1">
        <v>1</v>
      </c>
      <c r="K122" s="1">
        <f t="shared" si="81"/>
        <v>12</v>
      </c>
      <c r="L122" s="1" t="str">
        <f t="shared" si="51"/>
        <v>01</v>
      </c>
      <c r="M122" s="1" t="str">
        <f t="shared" si="52"/>
        <v>101</v>
      </c>
      <c r="N122" s="1" t="str">
        <f>"002"</f>
        <v>002</v>
      </c>
      <c r="O122" s="1" t="str">
        <f t="shared" si="53"/>
        <v>00</v>
      </c>
      <c r="P122" s="1" t="str">
        <f t="shared" si="54"/>
        <v>S</v>
      </c>
      <c r="Q122" s="1" t="str">
        <f t="shared" si="55"/>
        <v>P</v>
      </c>
      <c r="R122" s="1" t="str">
        <f t="shared" si="56"/>
        <v>01</v>
      </c>
      <c r="S122" s="1" t="str">
        <f t="shared" si="57"/>
        <v>03</v>
      </c>
      <c r="T122" s="1" t="str">
        <f t="shared" si="58"/>
        <v>False</v>
      </c>
      <c r="U122" s="1" t="str">
        <f t="shared" si="59"/>
        <v>True</v>
      </c>
      <c r="V122" s="1" t="str">
        <f>"U0031247"</f>
        <v>U0031247</v>
      </c>
      <c r="W122" s="1">
        <v>1</v>
      </c>
      <c r="Y122" s="1">
        <v>0</v>
      </c>
      <c r="Z122" s="1">
        <v>0</v>
      </c>
      <c r="AB122" s="1" t="str">
        <f t="shared" ref="AB122:AB153" si="92">"SMU"</f>
        <v>SMU</v>
      </c>
      <c r="AD122" s="1" t="str">
        <f t="shared" si="83"/>
        <v>4520307</v>
      </c>
      <c r="AE122" s="1" t="str">
        <f t="shared" si="84"/>
        <v>CHENGDU JOY SHINE FOOTWEAR LTD</v>
      </c>
      <c r="AG122" s="1">
        <v>0</v>
      </c>
      <c r="AH122" s="1">
        <v>0</v>
      </c>
      <c r="AI122" s="1" t="str">
        <f t="shared" si="60"/>
        <v>F06</v>
      </c>
      <c r="AJ122" s="1" t="str">
        <f t="shared" si="85"/>
        <v>MAN</v>
      </c>
      <c r="AK122" s="1" t="str">
        <f t="shared" si="61"/>
        <v>PA</v>
      </c>
      <c r="AP122" s="1" t="str">
        <f t="shared" si="62"/>
        <v>False</v>
      </c>
      <c r="AR122" s="1" t="str">
        <f t="shared" si="86"/>
        <v>NOBIL</v>
      </c>
      <c r="AY122" s="1" t="str">
        <f t="shared" si="63"/>
        <v>PF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 t="str">
        <f t="shared" si="87"/>
        <v>BBER FLAT MOL.NYLON+MICROSUEDE</v>
      </c>
      <c r="BF122" s="1" t="str">
        <f t="shared" si="64"/>
        <v>Bonis SpA</v>
      </c>
      <c r="BO122" s="1">
        <v>0</v>
      </c>
      <c r="BP122" s="1">
        <v>0</v>
      </c>
      <c r="BQ122" s="1">
        <v>0</v>
      </c>
    </row>
    <row r="123" spans="2:69" x14ac:dyDescent="0.25">
      <c r="B123" s="1">
        <v>1733</v>
      </c>
      <c r="C123" s="1" t="str">
        <f t="shared" si="78"/>
        <v>NOBIL4044S6/NH1A</v>
      </c>
      <c r="D123" s="1" t="str">
        <f>"ODA16N00394-600"</f>
        <v>ODA16N00394-600</v>
      </c>
      <c r="E123" s="1" t="str">
        <f t="shared" si="79"/>
        <v>C12 USPA</v>
      </c>
      <c r="F123" s="1" t="str">
        <f t="shared" si="49"/>
        <v>BONIS SPA</v>
      </c>
      <c r="G123" s="1" t="str">
        <f t="shared" si="50"/>
        <v>STOCK TERRA MP</v>
      </c>
      <c r="H123" s="1" t="str">
        <f t="shared" si="80"/>
        <v>WHI</v>
      </c>
      <c r="J123" s="1">
        <v>1</v>
      </c>
      <c r="K123" s="1">
        <f t="shared" si="81"/>
        <v>12</v>
      </c>
      <c r="L123" s="1" t="str">
        <f t="shared" si="51"/>
        <v>01</v>
      </c>
      <c r="M123" s="1" t="str">
        <f t="shared" si="52"/>
        <v>101</v>
      </c>
      <c r="N123" s="1" t="str">
        <f>"002"</f>
        <v>002</v>
      </c>
      <c r="O123" s="1" t="str">
        <f t="shared" si="53"/>
        <v>00</v>
      </c>
      <c r="P123" s="1" t="str">
        <f t="shared" si="54"/>
        <v>S</v>
      </c>
      <c r="Q123" s="1" t="str">
        <f t="shared" si="55"/>
        <v>P</v>
      </c>
      <c r="R123" s="1" t="str">
        <f t="shared" si="56"/>
        <v>01</v>
      </c>
      <c r="S123" s="1" t="str">
        <f t="shared" si="57"/>
        <v>03</v>
      </c>
      <c r="T123" s="1" t="str">
        <f t="shared" si="58"/>
        <v>False</v>
      </c>
      <c r="U123" s="1" t="str">
        <f t="shared" si="59"/>
        <v>True</v>
      </c>
      <c r="V123" s="1" t="str">
        <f>"U0031247"</f>
        <v>U0031247</v>
      </c>
      <c r="W123" s="1">
        <v>1</v>
      </c>
      <c r="Y123" s="1">
        <v>0</v>
      </c>
      <c r="Z123" s="1">
        <v>0</v>
      </c>
      <c r="AB123" s="1" t="str">
        <f t="shared" si="92"/>
        <v>SMU</v>
      </c>
      <c r="AD123" s="1" t="str">
        <f t="shared" si="83"/>
        <v>4520307</v>
      </c>
      <c r="AE123" s="1" t="str">
        <f t="shared" si="84"/>
        <v>CHENGDU JOY SHINE FOOTWEAR LTD</v>
      </c>
      <c r="AG123" s="1">
        <v>0</v>
      </c>
      <c r="AH123" s="1">
        <v>0</v>
      </c>
      <c r="AI123" s="1" t="str">
        <f t="shared" si="60"/>
        <v>F06</v>
      </c>
      <c r="AJ123" s="1" t="str">
        <f t="shared" si="85"/>
        <v>MAN</v>
      </c>
      <c r="AK123" s="1" t="str">
        <f t="shared" si="61"/>
        <v>PA</v>
      </c>
      <c r="AP123" s="1" t="str">
        <f t="shared" si="62"/>
        <v>False</v>
      </c>
      <c r="AR123" s="1" t="str">
        <f t="shared" si="86"/>
        <v>NOBIL</v>
      </c>
      <c r="AY123" s="1" t="str">
        <f t="shared" si="63"/>
        <v>PF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 t="str">
        <f t="shared" si="87"/>
        <v>BBER FLAT MOL.NYLON+MICROSUEDE</v>
      </c>
      <c r="BF123" s="1" t="str">
        <f t="shared" si="64"/>
        <v>Bonis SpA</v>
      </c>
      <c r="BO123" s="1">
        <v>0</v>
      </c>
      <c r="BP123" s="1">
        <v>0</v>
      </c>
      <c r="BQ123" s="1">
        <v>0</v>
      </c>
    </row>
    <row r="124" spans="2:69" x14ac:dyDescent="0.25">
      <c r="B124" s="1">
        <v>1733</v>
      </c>
      <c r="C124" s="1" t="str">
        <f t="shared" si="78"/>
        <v>NOBIL4044S6/NH1A</v>
      </c>
      <c r="D124" s="1" t="str">
        <f>"ODA16N00394-601"</f>
        <v>ODA16N00394-601</v>
      </c>
      <c r="E124" s="1" t="str">
        <f t="shared" si="79"/>
        <v>C12 USPA</v>
      </c>
      <c r="F124" s="1" t="str">
        <f t="shared" si="49"/>
        <v>BONIS SPA</v>
      </c>
      <c r="G124" s="1" t="str">
        <f t="shared" si="50"/>
        <v>STOCK TERRA MP</v>
      </c>
      <c r="H124" s="1" t="str">
        <f t="shared" si="80"/>
        <v>WHI</v>
      </c>
      <c r="J124" s="1">
        <v>1</v>
      </c>
      <c r="K124" s="1">
        <f t="shared" si="81"/>
        <v>12</v>
      </c>
      <c r="L124" s="1" t="str">
        <f t="shared" si="51"/>
        <v>01</v>
      </c>
      <c r="M124" s="1" t="str">
        <f t="shared" si="52"/>
        <v>101</v>
      </c>
      <c r="N124" s="1" t="str">
        <f>"002"</f>
        <v>002</v>
      </c>
      <c r="O124" s="1" t="str">
        <f t="shared" si="53"/>
        <v>00</v>
      </c>
      <c r="P124" s="1" t="str">
        <f t="shared" si="54"/>
        <v>S</v>
      </c>
      <c r="Q124" s="1" t="str">
        <f t="shared" si="55"/>
        <v>P</v>
      </c>
      <c r="R124" s="1" t="str">
        <f t="shared" si="56"/>
        <v>01</v>
      </c>
      <c r="S124" s="1" t="str">
        <f t="shared" si="57"/>
        <v>03</v>
      </c>
      <c r="T124" s="1" t="str">
        <f t="shared" si="58"/>
        <v>False</v>
      </c>
      <c r="U124" s="1" t="str">
        <f t="shared" si="59"/>
        <v>True</v>
      </c>
      <c r="V124" s="1" t="str">
        <f>"U0031247"</f>
        <v>U0031247</v>
      </c>
      <c r="W124" s="1">
        <v>1</v>
      </c>
      <c r="Y124" s="1">
        <v>0</v>
      </c>
      <c r="Z124" s="1">
        <v>0</v>
      </c>
      <c r="AB124" s="1" t="str">
        <f t="shared" si="92"/>
        <v>SMU</v>
      </c>
      <c r="AD124" s="1" t="str">
        <f t="shared" si="83"/>
        <v>4520307</v>
      </c>
      <c r="AE124" s="1" t="str">
        <f t="shared" si="84"/>
        <v>CHENGDU JOY SHINE FOOTWEAR LTD</v>
      </c>
      <c r="AG124" s="1">
        <v>0</v>
      </c>
      <c r="AH124" s="1">
        <v>0</v>
      </c>
      <c r="AI124" s="1" t="str">
        <f t="shared" si="60"/>
        <v>F06</v>
      </c>
      <c r="AJ124" s="1" t="str">
        <f t="shared" si="85"/>
        <v>MAN</v>
      </c>
      <c r="AK124" s="1" t="str">
        <f t="shared" si="61"/>
        <v>PA</v>
      </c>
      <c r="AP124" s="1" t="str">
        <f t="shared" si="62"/>
        <v>False</v>
      </c>
      <c r="AR124" s="1" t="str">
        <f t="shared" si="86"/>
        <v>NOBIL</v>
      </c>
      <c r="AY124" s="1" t="str">
        <f t="shared" si="63"/>
        <v>PF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 t="str">
        <f t="shared" si="87"/>
        <v>BBER FLAT MOL.NYLON+MICROSUEDE</v>
      </c>
      <c r="BF124" s="1" t="str">
        <f t="shared" si="64"/>
        <v>Bonis SpA</v>
      </c>
      <c r="BO124" s="1">
        <v>0</v>
      </c>
      <c r="BP124" s="1">
        <v>0</v>
      </c>
      <c r="BQ124" s="1">
        <v>0</v>
      </c>
    </row>
    <row r="125" spans="2:69" x14ac:dyDescent="0.25">
      <c r="B125" s="1">
        <v>1733</v>
      </c>
      <c r="C125" s="1" t="str">
        <f t="shared" si="78"/>
        <v>NOBIL4044S6/NH1A</v>
      </c>
      <c r="D125" s="1" t="str">
        <f>"ODA16N00394-603"</f>
        <v>ODA16N00394-603</v>
      </c>
      <c r="E125" s="1" t="str">
        <f t="shared" si="79"/>
        <v>C12 USPA</v>
      </c>
      <c r="F125" s="1" t="str">
        <f t="shared" si="49"/>
        <v>BONIS SPA</v>
      </c>
      <c r="G125" s="1" t="str">
        <f t="shared" si="50"/>
        <v>STOCK TERRA MP</v>
      </c>
      <c r="H125" s="1" t="str">
        <f t="shared" si="80"/>
        <v>WHI</v>
      </c>
      <c r="J125" s="1">
        <v>1</v>
      </c>
      <c r="K125" s="1">
        <f t="shared" si="81"/>
        <v>12</v>
      </c>
      <c r="L125" s="1" t="str">
        <f t="shared" si="51"/>
        <v>01</v>
      </c>
      <c r="M125" s="1" t="str">
        <f t="shared" si="52"/>
        <v>101</v>
      </c>
      <c r="N125" s="1" t="str">
        <f>"002"</f>
        <v>002</v>
      </c>
      <c r="O125" s="1" t="str">
        <f t="shared" si="53"/>
        <v>00</v>
      </c>
      <c r="P125" s="1" t="str">
        <f t="shared" si="54"/>
        <v>S</v>
      </c>
      <c r="Q125" s="1" t="str">
        <f t="shared" si="55"/>
        <v>P</v>
      </c>
      <c r="R125" s="1" t="str">
        <f t="shared" si="56"/>
        <v>01</v>
      </c>
      <c r="S125" s="1" t="str">
        <f t="shared" si="57"/>
        <v>03</v>
      </c>
      <c r="T125" s="1" t="str">
        <f t="shared" si="58"/>
        <v>False</v>
      </c>
      <c r="U125" s="1" t="str">
        <f t="shared" si="59"/>
        <v>True</v>
      </c>
      <c r="V125" s="1" t="str">
        <f>"U0031247"</f>
        <v>U0031247</v>
      </c>
      <c r="W125" s="1">
        <v>1</v>
      </c>
      <c r="Y125" s="1">
        <v>0</v>
      </c>
      <c r="Z125" s="1">
        <v>0</v>
      </c>
      <c r="AB125" s="1" t="str">
        <f t="shared" si="92"/>
        <v>SMU</v>
      </c>
      <c r="AD125" s="1" t="str">
        <f t="shared" si="83"/>
        <v>4520307</v>
      </c>
      <c r="AE125" s="1" t="str">
        <f t="shared" si="84"/>
        <v>CHENGDU JOY SHINE FOOTWEAR LTD</v>
      </c>
      <c r="AG125" s="1">
        <v>0</v>
      </c>
      <c r="AH125" s="1">
        <v>0</v>
      </c>
      <c r="AI125" s="1" t="str">
        <f t="shared" si="60"/>
        <v>F06</v>
      </c>
      <c r="AJ125" s="1" t="str">
        <f t="shared" si="85"/>
        <v>MAN</v>
      </c>
      <c r="AK125" s="1" t="str">
        <f t="shared" si="61"/>
        <v>PA</v>
      </c>
      <c r="AP125" s="1" t="str">
        <f t="shared" si="62"/>
        <v>False</v>
      </c>
      <c r="AR125" s="1" t="str">
        <f t="shared" si="86"/>
        <v>NOBIL</v>
      </c>
      <c r="AY125" s="1" t="str">
        <f t="shared" si="63"/>
        <v>PF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 t="str">
        <f t="shared" si="87"/>
        <v>BBER FLAT MOL.NYLON+MICROSUEDE</v>
      </c>
      <c r="BF125" s="1" t="str">
        <f t="shared" si="64"/>
        <v>Bonis SpA</v>
      </c>
      <c r="BO125" s="1">
        <v>0</v>
      </c>
      <c r="BP125" s="1">
        <v>0</v>
      </c>
      <c r="BQ125" s="1">
        <v>0</v>
      </c>
    </row>
    <row r="126" spans="2:69" x14ac:dyDescent="0.25">
      <c r="B126" s="1">
        <v>1745</v>
      </c>
      <c r="C126" s="1" t="str">
        <f t="shared" si="78"/>
        <v>NOBIL4044S6/NH1A</v>
      </c>
      <c r="D126" s="1" t="str">
        <f>"ODA16N00394-606"</f>
        <v>ODA16N00394-606</v>
      </c>
      <c r="E126" s="1" t="str">
        <f t="shared" si="79"/>
        <v>C12 USPA</v>
      </c>
      <c r="F126" s="1" t="str">
        <f t="shared" si="49"/>
        <v>BONIS SPA</v>
      </c>
      <c r="G126" s="1" t="str">
        <f t="shared" si="50"/>
        <v>STOCK TERRA MP</v>
      </c>
      <c r="H126" s="1" t="str">
        <f t="shared" si="80"/>
        <v>WHI</v>
      </c>
      <c r="J126" s="1">
        <v>1</v>
      </c>
      <c r="K126" s="1">
        <f t="shared" si="81"/>
        <v>12</v>
      </c>
      <c r="L126" s="1" t="str">
        <f t="shared" si="51"/>
        <v>01</v>
      </c>
      <c r="M126" s="1" t="str">
        <f t="shared" si="52"/>
        <v>101</v>
      </c>
      <c r="N126" s="1" t="str">
        <f>"014"</f>
        <v>014</v>
      </c>
      <c r="O126" s="1" t="str">
        <f t="shared" si="53"/>
        <v>00</v>
      </c>
      <c r="P126" s="1" t="str">
        <f t="shared" si="54"/>
        <v>S</v>
      </c>
      <c r="Q126" s="1" t="str">
        <f t="shared" si="55"/>
        <v>P</v>
      </c>
      <c r="R126" s="1" t="str">
        <f t="shared" si="56"/>
        <v>01</v>
      </c>
      <c r="S126" s="1" t="str">
        <f t="shared" si="57"/>
        <v>03</v>
      </c>
      <c r="T126" s="1" t="str">
        <f t="shared" si="58"/>
        <v>False</v>
      </c>
      <c r="U126" s="1" t="str">
        <f t="shared" si="59"/>
        <v>True</v>
      </c>
      <c r="V126" s="1" t="str">
        <f>"U0031249"</f>
        <v>U0031249</v>
      </c>
      <c r="W126" s="1">
        <v>1</v>
      </c>
      <c r="Y126" s="1">
        <v>0</v>
      </c>
      <c r="Z126" s="1">
        <v>0</v>
      </c>
      <c r="AB126" s="1" t="str">
        <f t="shared" si="92"/>
        <v>SMU</v>
      </c>
      <c r="AD126" s="1" t="str">
        <f t="shared" si="83"/>
        <v>4520307</v>
      </c>
      <c r="AE126" s="1" t="str">
        <f t="shared" si="84"/>
        <v>CHENGDU JOY SHINE FOOTWEAR LTD</v>
      </c>
      <c r="AG126" s="1">
        <v>0</v>
      </c>
      <c r="AH126" s="1">
        <v>0</v>
      </c>
      <c r="AI126" s="1" t="str">
        <f t="shared" si="60"/>
        <v>F06</v>
      </c>
      <c r="AJ126" s="1" t="str">
        <f t="shared" si="85"/>
        <v>MAN</v>
      </c>
      <c r="AK126" s="1" t="str">
        <f t="shared" si="61"/>
        <v>PA</v>
      </c>
      <c r="AP126" s="1" t="str">
        <f t="shared" si="62"/>
        <v>False</v>
      </c>
      <c r="AR126" s="1" t="str">
        <f t="shared" si="86"/>
        <v>NOBIL</v>
      </c>
      <c r="AY126" s="1" t="str">
        <f t="shared" si="63"/>
        <v>PF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 t="str">
        <f t="shared" si="87"/>
        <v>BBER FLAT MOL.NYLON+MICROSUEDE</v>
      </c>
      <c r="BF126" s="1" t="str">
        <f t="shared" si="64"/>
        <v>Bonis SpA</v>
      </c>
      <c r="BO126" s="1">
        <v>0</v>
      </c>
      <c r="BP126" s="1">
        <v>0</v>
      </c>
      <c r="BQ126" s="1">
        <v>0</v>
      </c>
    </row>
    <row r="127" spans="2:69" x14ac:dyDescent="0.25">
      <c r="B127" s="1">
        <v>1745</v>
      </c>
      <c r="C127" s="1" t="str">
        <f t="shared" si="78"/>
        <v>NOBIL4044S6/NH1A</v>
      </c>
      <c r="D127" s="1" t="str">
        <f>"ODA16N00394-607"</f>
        <v>ODA16N00394-607</v>
      </c>
      <c r="E127" s="1" t="str">
        <f t="shared" si="79"/>
        <v>C12 USPA</v>
      </c>
      <c r="F127" s="1" t="str">
        <f t="shared" si="49"/>
        <v>BONIS SPA</v>
      </c>
      <c r="G127" s="1" t="str">
        <f t="shared" si="50"/>
        <v>STOCK TERRA MP</v>
      </c>
      <c r="H127" s="1" t="str">
        <f t="shared" si="80"/>
        <v>WHI</v>
      </c>
      <c r="J127" s="1">
        <v>1</v>
      </c>
      <c r="K127" s="1">
        <f t="shared" si="81"/>
        <v>12</v>
      </c>
      <c r="L127" s="1" t="str">
        <f t="shared" si="51"/>
        <v>01</v>
      </c>
      <c r="M127" s="1" t="str">
        <f t="shared" si="52"/>
        <v>101</v>
      </c>
      <c r="N127" s="1" t="str">
        <f>"014"</f>
        <v>014</v>
      </c>
      <c r="O127" s="1" t="str">
        <f t="shared" si="53"/>
        <v>00</v>
      </c>
      <c r="P127" s="1" t="str">
        <f t="shared" si="54"/>
        <v>S</v>
      </c>
      <c r="Q127" s="1" t="str">
        <f t="shared" si="55"/>
        <v>P</v>
      </c>
      <c r="R127" s="1" t="str">
        <f t="shared" si="56"/>
        <v>01</v>
      </c>
      <c r="S127" s="1" t="str">
        <f t="shared" si="57"/>
        <v>03</v>
      </c>
      <c r="T127" s="1" t="str">
        <f t="shared" si="58"/>
        <v>False</v>
      </c>
      <c r="U127" s="1" t="str">
        <f t="shared" si="59"/>
        <v>True</v>
      </c>
      <c r="V127" s="1" t="str">
        <f>"U0031249"</f>
        <v>U0031249</v>
      </c>
      <c r="W127" s="1">
        <v>1</v>
      </c>
      <c r="Y127" s="1">
        <v>0</v>
      </c>
      <c r="Z127" s="1">
        <v>0</v>
      </c>
      <c r="AB127" s="1" t="str">
        <f t="shared" si="92"/>
        <v>SMU</v>
      </c>
      <c r="AD127" s="1" t="str">
        <f t="shared" si="83"/>
        <v>4520307</v>
      </c>
      <c r="AE127" s="1" t="str">
        <f t="shared" si="84"/>
        <v>CHENGDU JOY SHINE FOOTWEAR LTD</v>
      </c>
      <c r="AG127" s="1">
        <v>0</v>
      </c>
      <c r="AH127" s="1">
        <v>0</v>
      </c>
      <c r="AI127" s="1" t="str">
        <f t="shared" si="60"/>
        <v>F06</v>
      </c>
      <c r="AJ127" s="1" t="str">
        <f t="shared" si="85"/>
        <v>MAN</v>
      </c>
      <c r="AK127" s="1" t="str">
        <f t="shared" si="61"/>
        <v>PA</v>
      </c>
      <c r="AP127" s="1" t="str">
        <f t="shared" si="62"/>
        <v>False</v>
      </c>
      <c r="AR127" s="1" t="str">
        <f t="shared" si="86"/>
        <v>NOBIL</v>
      </c>
      <c r="AY127" s="1" t="str">
        <f t="shared" si="63"/>
        <v>PF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 t="str">
        <f t="shared" si="87"/>
        <v>BBER FLAT MOL.NYLON+MICROSUEDE</v>
      </c>
      <c r="BF127" s="1" t="str">
        <f t="shared" si="64"/>
        <v>Bonis SpA</v>
      </c>
      <c r="BO127" s="1">
        <v>0</v>
      </c>
      <c r="BP127" s="1">
        <v>0</v>
      </c>
      <c r="BQ127" s="1">
        <v>0</v>
      </c>
    </row>
    <row r="128" spans="2:69" x14ac:dyDescent="0.25">
      <c r="B128" s="1">
        <v>1745</v>
      </c>
      <c r="C128" s="1" t="str">
        <f t="shared" si="78"/>
        <v>NOBIL4044S6/NH1A</v>
      </c>
      <c r="D128" s="1" t="str">
        <f>"ODA16N00394-609"</f>
        <v>ODA16N00394-609</v>
      </c>
      <c r="E128" s="1" t="str">
        <f t="shared" si="79"/>
        <v>C12 USPA</v>
      </c>
      <c r="F128" s="1" t="str">
        <f t="shared" si="49"/>
        <v>BONIS SPA</v>
      </c>
      <c r="G128" s="1" t="str">
        <f t="shared" si="50"/>
        <v>STOCK TERRA MP</v>
      </c>
      <c r="H128" s="1" t="str">
        <f t="shared" si="80"/>
        <v>WHI</v>
      </c>
      <c r="J128" s="1">
        <v>1</v>
      </c>
      <c r="K128" s="1">
        <f t="shared" si="81"/>
        <v>12</v>
      </c>
      <c r="L128" s="1" t="str">
        <f t="shared" si="51"/>
        <v>01</v>
      </c>
      <c r="M128" s="1" t="str">
        <f t="shared" si="52"/>
        <v>101</v>
      </c>
      <c r="N128" s="1" t="str">
        <f>"014"</f>
        <v>014</v>
      </c>
      <c r="O128" s="1" t="str">
        <f t="shared" si="53"/>
        <v>00</v>
      </c>
      <c r="P128" s="1" t="str">
        <f t="shared" si="54"/>
        <v>S</v>
      </c>
      <c r="Q128" s="1" t="str">
        <f t="shared" si="55"/>
        <v>P</v>
      </c>
      <c r="R128" s="1" t="str">
        <f t="shared" si="56"/>
        <v>01</v>
      </c>
      <c r="S128" s="1" t="str">
        <f t="shared" si="57"/>
        <v>03</v>
      </c>
      <c r="T128" s="1" t="str">
        <f t="shared" si="58"/>
        <v>False</v>
      </c>
      <c r="U128" s="1" t="str">
        <f t="shared" si="59"/>
        <v>True</v>
      </c>
      <c r="V128" s="1" t="str">
        <f>"U0031249"</f>
        <v>U0031249</v>
      </c>
      <c r="W128" s="1">
        <v>1</v>
      </c>
      <c r="Y128" s="1">
        <v>0</v>
      </c>
      <c r="Z128" s="1">
        <v>0</v>
      </c>
      <c r="AB128" s="1" t="str">
        <f t="shared" si="92"/>
        <v>SMU</v>
      </c>
      <c r="AD128" s="1" t="str">
        <f t="shared" si="83"/>
        <v>4520307</v>
      </c>
      <c r="AE128" s="1" t="str">
        <f t="shared" si="84"/>
        <v>CHENGDU JOY SHINE FOOTWEAR LTD</v>
      </c>
      <c r="AG128" s="1">
        <v>0</v>
      </c>
      <c r="AH128" s="1">
        <v>0</v>
      </c>
      <c r="AI128" s="1" t="str">
        <f t="shared" si="60"/>
        <v>F06</v>
      </c>
      <c r="AJ128" s="1" t="str">
        <f t="shared" si="85"/>
        <v>MAN</v>
      </c>
      <c r="AK128" s="1" t="str">
        <f t="shared" si="61"/>
        <v>PA</v>
      </c>
      <c r="AP128" s="1" t="str">
        <f t="shared" si="62"/>
        <v>False</v>
      </c>
      <c r="AR128" s="1" t="str">
        <f t="shared" si="86"/>
        <v>NOBIL</v>
      </c>
      <c r="AY128" s="1" t="str">
        <f t="shared" si="63"/>
        <v>PF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 t="str">
        <f t="shared" si="87"/>
        <v>BBER FLAT MOL.NYLON+MICROSUEDE</v>
      </c>
      <c r="BF128" s="1" t="str">
        <f t="shared" si="64"/>
        <v>Bonis SpA</v>
      </c>
      <c r="BO128" s="1">
        <v>0</v>
      </c>
      <c r="BP128" s="1">
        <v>0</v>
      </c>
      <c r="BQ128" s="1">
        <v>0</v>
      </c>
    </row>
    <row r="129" spans="2:69" x14ac:dyDescent="0.25">
      <c r="B129" s="1">
        <v>1733</v>
      </c>
      <c r="C129" s="1" t="str">
        <f t="shared" si="78"/>
        <v>NOBIL4044S6/NH1A</v>
      </c>
      <c r="D129" s="1" t="str">
        <f>"ODA16N00394-610"</f>
        <v>ODA16N00394-610</v>
      </c>
      <c r="E129" s="1" t="str">
        <f t="shared" si="79"/>
        <v>C12 USPA</v>
      </c>
      <c r="F129" s="1" t="str">
        <f t="shared" si="49"/>
        <v>BONIS SPA</v>
      </c>
      <c r="G129" s="1" t="str">
        <f t="shared" si="50"/>
        <v>STOCK TERRA MP</v>
      </c>
      <c r="H129" s="1" t="str">
        <f t="shared" si="80"/>
        <v>WHI</v>
      </c>
      <c r="J129" s="1">
        <v>1</v>
      </c>
      <c r="K129" s="1">
        <f t="shared" si="81"/>
        <v>12</v>
      </c>
      <c r="L129" s="1" t="str">
        <f t="shared" si="51"/>
        <v>01</v>
      </c>
      <c r="M129" s="1" t="str">
        <f t="shared" si="52"/>
        <v>101</v>
      </c>
      <c r="N129" s="1" t="str">
        <f>"002"</f>
        <v>002</v>
      </c>
      <c r="O129" s="1" t="str">
        <f t="shared" si="53"/>
        <v>00</v>
      </c>
      <c r="P129" s="1" t="str">
        <f t="shared" si="54"/>
        <v>S</v>
      </c>
      <c r="Q129" s="1" t="str">
        <f t="shared" si="55"/>
        <v>P</v>
      </c>
      <c r="R129" s="1" t="str">
        <f t="shared" si="56"/>
        <v>01</v>
      </c>
      <c r="S129" s="1" t="str">
        <f t="shared" si="57"/>
        <v>03</v>
      </c>
      <c r="T129" s="1" t="str">
        <f t="shared" si="58"/>
        <v>False</v>
      </c>
      <c r="U129" s="1" t="str">
        <f t="shared" si="59"/>
        <v>True</v>
      </c>
      <c r="V129" s="1" t="str">
        <f>"U0031247"</f>
        <v>U0031247</v>
      </c>
      <c r="W129" s="1">
        <v>1</v>
      </c>
      <c r="Y129" s="1">
        <v>0</v>
      </c>
      <c r="Z129" s="1">
        <v>0</v>
      </c>
      <c r="AB129" s="1" t="str">
        <f t="shared" si="92"/>
        <v>SMU</v>
      </c>
      <c r="AD129" s="1" t="str">
        <f t="shared" si="83"/>
        <v>4520307</v>
      </c>
      <c r="AE129" s="1" t="str">
        <f t="shared" si="84"/>
        <v>CHENGDU JOY SHINE FOOTWEAR LTD</v>
      </c>
      <c r="AG129" s="1">
        <v>0</v>
      </c>
      <c r="AH129" s="1">
        <v>0</v>
      </c>
      <c r="AI129" s="1" t="str">
        <f t="shared" si="60"/>
        <v>F06</v>
      </c>
      <c r="AJ129" s="1" t="str">
        <f t="shared" si="85"/>
        <v>MAN</v>
      </c>
      <c r="AK129" s="1" t="str">
        <f t="shared" si="61"/>
        <v>PA</v>
      </c>
      <c r="AP129" s="1" t="str">
        <f t="shared" si="62"/>
        <v>False</v>
      </c>
      <c r="AR129" s="1" t="str">
        <f t="shared" si="86"/>
        <v>NOBIL</v>
      </c>
      <c r="AY129" s="1" t="str">
        <f t="shared" si="63"/>
        <v>PF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 t="str">
        <f t="shared" si="87"/>
        <v>BBER FLAT MOL.NYLON+MICROSUEDE</v>
      </c>
      <c r="BF129" s="1" t="str">
        <f t="shared" si="64"/>
        <v>Bonis SpA</v>
      </c>
      <c r="BO129" s="1">
        <v>0</v>
      </c>
      <c r="BP129" s="1">
        <v>0</v>
      </c>
      <c r="BQ129" s="1">
        <v>0</v>
      </c>
    </row>
    <row r="130" spans="2:69" x14ac:dyDescent="0.25">
      <c r="B130" s="1">
        <v>1745</v>
      </c>
      <c r="C130" s="1" t="str">
        <f t="shared" si="78"/>
        <v>NOBIL4044S6/NH1A</v>
      </c>
      <c r="D130" s="1" t="str">
        <f>"ODA16N00394-614"</f>
        <v>ODA16N00394-614</v>
      </c>
      <c r="E130" s="1" t="str">
        <f t="shared" si="79"/>
        <v>C12 USPA</v>
      </c>
      <c r="F130" s="1" t="str">
        <f t="shared" ref="F130:F193" si="93">"BONIS SPA"</f>
        <v>BONIS SPA</v>
      </c>
      <c r="G130" s="1" t="str">
        <f t="shared" ref="G130:G193" si="94">"STOCK TERRA MP"</f>
        <v>STOCK TERRA MP</v>
      </c>
      <c r="H130" s="1" t="str">
        <f t="shared" si="80"/>
        <v>WHI</v>
      </c>
      <c r="J130" s="1">
        <v>1</v>
      </c>
      <c r="K130" s="1">
        <f t="shared" si="81"/>
        <v>12</v>
      </c>
      <c r="L130" s="1" t="str">
        <f t="shared" ref="L130:L193" si="95">"01"</f>
        <v>01</v>
      </c>
      <c r="M130" s="1" t="str">
        <f t="shared" ref="M130:M193" si="96">"101"</f>
        <v>101</v>
      </c>
      <c r="N130" s="1" t="str">
        <f>"014"</f>
        <v>014</v>
      </c>
      <c r="O130" s="1" t="str">
        <f t="shared" ref="O130:O193" si="97">"00"</f>
        <v>00</v>
      </c>
      <c r="P130" s="1" t="str">
        <f t="shared" ref="P130:P193" si="98">"S"</f>
        <v>S</v>
      </c>
      <c r="Q130" s="1" t="str">
        <f t="shared" ref="Q130:Q193" si="99">"P"</f>
        <v>P</v>
      </c>
      <c r="R130" s="1" t="str">
        <f t="shared" ref="R130:R193" si="100">"01"</f>
        <v>01</v>
      </c>
      <c r="S130" s="1" t="str">
        <f t="shared" ref="S130:S193" si="101">"03"</f>
        <v>03</v>
      </c>
      <c r="T130" s="1" t="str">
        <f t="shared" ref="T130:T193" si="102">"False"</f>
        <v>False</v>
      </c>
      <c r="U130" s="1" t="str">
        <f t="shared" ref="U130:U193" si="103">"True"</f>
        <v>True</v>
      </c>
      <c r="V130" s="1" t="str">
        <f>"U0031249"</f>
        <v>U0031249</v>
      </c>
      <c r="W130" s="1">
        <v>1</v>
      </c>
      <c r="Y130" s="1">
        <v>0</v>
      </c>
      <c r="Z130" s="1">
        <v>0</v>
      </c>
      <c r="AB130" s="1" t="str">
        <f t="shared" si="92"/>
        <v>SMU</v>
      </c>
      <c r="AD130" s="1" t="str">
        <f t="shared" si="83"/>
        <v>4520307</v>
      </c>
      <c r="AE130" s="1" t="str">
        <f t="shared" si="84"/>
        <v>CHENGDU JOY SHINE FOOTWEAR LTD</v>
      </c>
      <c r="AG130" s="1">
        <v>0</v>
      </c>
      <c r="AH130" s="1">
        <v>0</v>
      </c>
      <c r="AI130" s="1" t="str">
        <f t="shared" ref="AI130:AI193" si="104">"F06"</f>
        <v>F06</v>
      </c>
      <c r="AJ130" s="1" t="str">
        <f t="shared" si="85"/>
        <v>MAN</v>
      </c>
      <c r="AK130" s="1" t="str">
        <f t="shared" ref="AK130:AK193" si="105">"PA"</f>
        <v>PA</v>
      </c>
      <c r="AP130" s="1" t="str">
        <f t="shared" ref="AP130:AP193" si="106">"False"</f>
        <v>False</v>
      </c>
      <c r="AR130" s="1" t="str">
        <f t="shared" si="86"/>
        <v>NOBIL</v>
      </c>
      <c r="AY130" s="1" t="str">
        <f t="shared" ref="AY130:AY193" si="107">"PF"</f>
        <v>PF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 t="str">
        <f t="shared" si="87"/>
        <v>BBER FLAT MOL.NYLON+MICROSUEDE</v>
      </c>
      <c r="BF130" s="1" t="str">
        <f t="shared" ref="BF130:BF193" si="108">"Bonis SpA"</f>
        <v>Bonis SpA</v>
      </c>
      <c r="BO130" s="1">
        <v>0</v>
      </c>
      <c r="BP130" s="1">
        <v>0</v>
      </c>
      <c r="BQ130" s="1">
        <v>0</v>
      </c>
    </row>
    <row r="131" spans="2:69" x14ac:dyDescent="0.25">
      <c r="B131" s="1">
        <v>1745</v>
      </c>
      <c r="C131" s="1" t="str">
        <f t="shared" si="78"/>
        <v>NOBIL4044S6/NH1A</v>
      </c>
      <c r="D131" s="1" t="str">
        <f>"ODA16N00394-618"</f>
        <v>ODA16N00394-618</v>
      </c>
      <c r="E131" s="1" t="str">
        <f t="shared" si="79"/>
        <v>C12 USPA</v>
      </c>
      <c r="F131" s="1" t="str">
        <f t="shared" si="93"/>
        <v>BONIS SPA</v>
      </c>
      <c r="G131" s="1" t="str">
        <f t="shared" si="94"/>
        <v>STOCK TERRA MP</v>
      </c>
      <c r="H131" s="1" t="str">
        <f t="shared" si="80"/>
        <v>WHI</v>
      </c>
      <c r="J131" s="1">
        <v>1</v>
      </c>
      <c r="K131" s="1">
        <f t="shared" si="81"/>
        <v>12</v>
      </c>
      <c r="L131" s="1" t="str">
        <f t="shared" si="95"/>
        <v>01</v>
      </c>
      <c r="M131" s="1" t="str">
        <f t="shared" si="96"/>
        <v>101</v>
      </c>
      <c r="N131" s="1" t="str">
        <f>"014"</f>
        <v>014</v>
      </c>
      <c r="O131" s="1" t="str">
        <f t="shared" si="97"/>
        <v>00</v>
      </c>
      <c r="P131" s="1" t="str">
        <f t="shared" si="98"/>
        <v>S</v>
      </c>
      <c r="Q131" s="1" t="str">
        <f t="shared" si="99"/>
        <v>P</v>
      </c>
      <c r="R131" s="1" t="str">
        <f t="shared" si="100"/>
        <v>01</v>
      </c>
      <c r="S131" s="1" t="str">
        <f t="shared" si="101"/>
        <v>03</v>
      </c>
      <c r="T131" s="1" t="str">
        <f t="shared" si="102"/>
        <v>False</v>
      </c>
      <c r="U131" s="1" t="str">
        <f t="shared" si="103"/>
        <v>True</v>
      </c>
      <c r="V131" s="1" t="str">
        <f>"U0031249"</f>
        <v>U0031249</v>
      </c>
      <c r="W131" s="1">
        <v>1</v>
      </c>
      <c r="Y131" s="1">
        <v>0</v>
      </c>
      <c r="Z131" s="1">
        <v>0</v>
      </c>
      <c r="AB131" s="1" t="str">
        <f t="shared" si="92"/>
        <v>SMU</v>
      </c>
      <c r="AD131" s="1" t="str">
        <f t="shared" si="83"/>
        <v>4520307</v>
      </c>
      <c r="AE131" s="1" t="str">
        <f t="shared" si="84"/>
        <v>CHENGDU JOY SHINE FOOTWEAR LTD</v>
      </c>
      <c r="AG131" s="1">
        <v>0</v>
      </c>
      <c r="AH131" s="1">
        <v>0</v>
      </c>
      <c r="AI131" s="1" t="str">
        <f t="shared" si="104"/>
        <v>F06</v>
      </c>
      <c r="AJ131" s="1" t="str">
        <f t="shared" si="85"/>
        <v>MAN</v>
      </c>
      <c r="AK131" s="1" t="str">
        <f t="shared" si="105"/>
        <v>PA</v>
      </c>
      <c r="AP131" s="1" t="str">
        <f t="shared" si="106"/>
        <v>False</v>
      </c>
      <c r="AR131" s="1" t="str">
        <f t="shared" si="86"/>
        <v>NOBIL</v>
      </c>
      <c r="AY131" s="1" t="str">
        <f t="shared" si="107"/>
        <v>PF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 t="str">
        <f t="shared" si="87"/>
        <v>BBER FLAT MOL.NYLON+MICROSUEDE</v>
      </c>
      <c r="BF131" s="1" t="str">
        <f t="shared" si="108"/>
        <v>Bonis SpA</v>
      </c>
      <c r="BO131" s="1">
        <v>0</v>
      </c>
      <c r="BP131" s="1">
        <v>0</v>
      </c>
      <c r="BQ131" s="1">
        <v>0</v>
      </c>
    </row>
    <row r="132" spans="2:69" x14ac:dyDescent="0.25">
      <c r="B132" s="1">
        <v>1745</v>
      </c>
      <c r="C132" s="1" t="str">
        <f t="shared" si="78"/>
        <v>NOBIL4044S6/NH1A</v>
      </c>
      <c r="D132" s="1" t="str">
        <f>"ODA16N00394-621"</f>
        <v>ODA16N00394-621</v>
      </c>
      <c r="E132" s="1" t="str">
        <f t="shared" si="79"/>
        <v>C12 USPA</v>
      </c>
      <c r="F132" s="1" t="str">
        <f t="shared" si="93"/>
        <v>BONIS SPA</v>
      </c>
      <c r="G132" s="1" t="str">
        <f t="shared" si="94"/>
        <v>STOCK TERRA MP</v>
      </c>
      <c r="H132" s="1" t="str">
        <f t="shared" si="80"/>
        <v>WHI</v>
      </c>
      <c r="J132" s="1">
        <v>1</v>
      </c>
      <c r="K132" s="1">
        <f t="shared" si="81"/>
        <v>12</v>
      </c>
      <c r="L132" s="1" t="str">
        <f t="shared" si="95"/>
        <v>01</v>
      </c>
      <c r="M132" s="1" t="str">
        <f t="shared" si="96"/>
        <v>101</v>
      </c>
      <c r="N132" s="1" t="str">
        <f>"014"</f>
        <v>014</v>
      </c>
      <c r="O132" s="1" t="str">
        <f t="shared" si="97"/>
        <v>00</v>
      </c>
      <c r="P132" s="1" t="str">
        <f t="shared" si="98"/>
        <v>S</v>
      </c>
      <c r="Q132" s="1" t="str">
        <f t="shared" si="99"/>
        <v>P</v>
      </c>
      <c r="R132" s="1" t="str">
        <f t="shared" si="100"/>
        <v>01</v>
      </c>
      <c r="S132" s="1" t="str">
        <f t="shared" si="101"/>
        <v>03</v>
      </c>
      <c r="T132" s="1" t="str">
        <f t="shared" si="102"/>
        <v>False</v>
      </c>
      <c r="U132" s="1" t="str">
        <f t="shared" si="103"/>
        <v>True</v>
      </c>
      <c r="V132" s="1" t="str">
        <f>"U0031249"</f>
        <v>U0031249</v>
      </c>
      <c r="W132" s="1">
        <v>1</v>
      </c>
      <c r="Y132" s="1">
        <v>0</v>
      </c>
      <c r="Z132" s="1">
        <v>0</v>
      </c>
      <c r="AB132" s="1" t="str">
        <f t="shared" si="92"/>
        <v>SMU</v>
      </c>
      <c r="AD132" s="1" t="str">
        <f t="shared" si="83"/>
        <v>4520307</v>
      </c>
      <c r="AE132" s="1" t="str">
        <f t="shared" si="84"/>
        <v>CHENGDU JOY SHINE FOOTWEAR LTD</v>
      </c>
      <c r="AG132" s="1">
        <v>0</v>
      </c>
      <c r="AH132" s="1">
        <v>0</v>
      </c>
      <c r="AI132" s="1" t="str">
        <f t="shared" si="104"/>
        <v>F06</v>
      </c>
      <c r="AJ132" s="1" t="str">
        <f t="shared" si="85"/>
        <v>MAN</v>
      </c>
      <c r="AK132" s="1" t="str">
        <f t="shared" si="105"/>
        <v>PA</v>
      </c>
      <c r="AP132" s="1" t="str">
        <f t="shared" si="106"/>
        <v>False</v>
      </c>
      <c r="AR132" s="1" t="str">
        <f t="shared" si="86"/>
        <v>NOBIL</v>
      </c>
      <c r="AY132" s="1" t="str">
        <f t="shared" si="107"/>
        <v>PF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 t="str">
        <f t="shared" si="87"/>
        <v>BBER FLAT MOL.NYLON+MICROSUEDE</v>
      </c>
      <c r="BF132" s="1" t="str">
        <f t="shared" si="108"/>
        <v>Bonis SpA</v>
      </c>
      <c r="BO132" s="1">
        <v>0</v>
      </c>
      <c r="BP132" s="1">
        <v>0</v>
      </c>
      <c r="BQ132" s="1">
        <v>0</v>
      </c>
    </row>
    <row r="133" spans="2:69" x14ac:dyDescent="0.25">
      <c r="B133" s="1">
        <v>1745</v>
      </c>
      <c r="C133" s="1" t="str">
        <f t="shared" si="78"/>
        <v>NOBIL4044S6/NH1A</v>
      </c>
      <c r="D133" s="1" t="str">
        <f>"ODA16N00394-622"</f>
        <v>ODA16N00394-622</v>
      </c>
      <c r="E133" s="1" t="str">
        <f t="shared" si="79"/>
        <v>C12 USPA</v>
      </c>
      <c r="F133" s="1" t="str">
        <f t="shared" si="93"/>
        <v>BONIS SPA</v>
      </c>
      <c r="G133" s="1" t="str">
        <f t="shared" si="94"/>
        <v>STOCK TERRA MP</v>
      </c>
      <c r="H133" s="1" t="str">
        <f t="shared" si="80"/>
        <v>WHI</v>
      </c>
      <c r="J133" s="1">
        <v>1</v>
      </c>
      <c r="K133" s="1">
        <f t="shared" si="81"/>
        <v>12</v>
      </c>
      <c r="L133" s="1" t="str">
        <f t="shared" si="95"/>
        <v>01</v>
      </c>
      <c r="M133" s="1" t="str">
        <f t="shared" si="96"/>
        <v>101</v>
      </c>
      <c r="N133" s="1" t="str">
        <f>"014"</f>
        <v>014</v>
      </c>
      <c r="O133" s="1" t="str">
        <f t="shared" si="97"/>
        <v>00</v>
      </c>
      <c r="P133" s="1" t="str">
        <f t="shared" si="98"/>
        <v>S</v>
      </c>
      <c r="Q133" s="1" t="str">
        <f t="shared" si="99"/>
        <v>P</v>
      </c>
      <c r="R133" s="1" t="str">
        <f t="shared" si="100"/>
        <v>01</v>
      </c>
      <c r="S133" s="1" t="str">
        <f t="shared" si="101"/>
        <v>03</v>
      </c>
      <c r="T133" s="1" t="str">
        <f t="shared" si="102"/>
        <v>False</v>
      </c>
      <c r="U133" s="1" t="str">
        <f t="shared" si="103"/>
        <v>True</v>
      </c>
      <c r="V133" s="1" t="str">
        <f>"U0031249"</f>
        <v>U0031249</v>
      </c>
      <c r="W133" s="1">
        <v>1</v>
      </c>
      <c r="Y133" s="1">
        <v>0</v>
      </c>
      <c r="Z133" s="1">
        <v>0</v>
      </c>
      <c r="AB133" s="1" t="str">
        <f t="shared" si="92"/>
        <v>SMU</v>
      </c>
      <c r="AD133" s="1" t="str">
        <f t="shared" si="83"/>
        <v>4520307</v>
      </c>
      <c r="AE133" s="1" t="str">
        <f t="shared" si="84"/>
        <v>CHENGDU JOY SHINE FOOTWEAR LTD</v>
      </c>
      <c r="AG133" s="1">
        <v>0</v>
      </c>
      <c r="AH133" s="1">
        <v>0</v>
      </c>
      <c r="AI133" s="1" t="str">
        <f t="shared" si="104"/>
        <v>F06</v>
      </c>
      <c r="AJ133" s="1" t="str">
        <f t="shared" si="85"/>
        <v>MAN</v>
      </c>
      <c r="AK133" s="1" t="str">
        <f t="shared" si="105"/>
        <v>PA</v>
      </c>
      <c r="AP133" s="1" t="str">
        <f t="shared" si="106"/>
        <v>False</v>
      </c>
      <c r="AR133" s="1" t="str">
        <f t="shared" si="86"/>
        <v>NOBIL</v>
      </c>
      <c r="AY133" s="1" t="str">
        <f t="shared" si="107"/>
        <v>PF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 t="str">
        <f t="shared" si="87"/>
        <v>BBER FLAT MOL.NYLON+MICROSUEDE</v>
      </c>
      <c r="BF133" s="1" t="str">
        <f t="shared" si="108"/>
        <v>Bonis SpA</v>
      </c>
      <c r="BO133" s="1">
        <v>0</v>
      </c>
      <c r="BP133" s="1">
        <v>0</v>
      </c>
      <c r="BQ133" s="1">
        <v>0</v>
      </c>
    </row>
    <row r="134" spans="2:69" x14ac:dyDescent="0.25">
      <c r="B134" s="1">
        <v>1745</v>
      </c>
      <c r="C134" s="1" t="str">
        <f t="shared" si="78"/>
        <v>NOBIL4044S6/NH1A</v>
      </c>
      <c r="D134" s="1" t="str">
        <f>"ODA16N00394-624"</f>
        <v>ODA16N00394-624</v>
      </c>
      <c r="E134" s="1" t="str">
        <f t="shared" si="79"/>
        <v>C12 USPA</v>
      </c>
      <c r="F134" s="1" t="str">
        <f t="shared" si="93"/>
        <v>BONIS SPA</v>
      </c>
      <c r="G134" s="1" t="str">
        <f t="shared" si="94"/>
        <v>STOCK TERRA MP</v>
      </c>
      <c r="H134" s="1" t="str">
        <f t="shared" si="80"/>
        <v>WHI</v>
      </c>
      <c r="J134" s="1">
        <v>1</v>
      </c>
      <c r="K134" s="1">
        <f t="shared" si="81"/>
        <v>12</v>
      </c>
      <c r="L134" s="1" t="str">
        <f t="shared" si="95"/>
        <v>01</v>
      </c>
      <c r="M134" s="1" t="str">
        <f t="shared" si="96"/>
        <v>101</v>
      </c>
      <c r="N134" s="1" t="str">
        <f>"014"</f>
        <v>014</v>
      </c>
      <c r="O134" s="1" t="str">
        <f t="shared" si="97"/>
        <v>00</v>
      </c>
      <c r="P134" s="1" t="str">
        <f t="shared" si="98"/>
        <v>S</v>
      </c>
      <c r="Q134" s="1" t="str">
        <f t="shared" si="99"/>
        <v>P</v>
      </c>
      <c r="R134" s="1" t="str">
        <f t="shared" si="100"/>
        <v>01</v>
      </c>
      <c r="S134" s="1" t="str">
        <f t="shared" si="101"/>
        <v>03</v>
      </c>
      <c r="T134" s="1" t="str">
        <f t="shared" si="102"/>
        <v>False</v>
      </c>
      <c r="U134" s="1" t="str">
        <f t="shared" si="103"/>
        <v>True</v>
      </c>
      <c r="V134" s="1" t="str">
        <f>"U0031249"</f>
        <v>U0031249</v>
      </c>
      <c r="W134" s="1">
        <v>1</v>
      </c>
      <c r="Y134" s="1">
        <v>0</v>
      </c>
      <c r="Z134" s="1">
        <v>0</v>
      </c>
      <c r="AB134" s="1" t="str">
        <f t="shared" si="92"/>
        <v>SMU</v>
      </c>
      <c r="AD134" s="1" t="str">
        <f t="shared" si="83"/>
        <v>4520307</v>
      </c>
      <c r="AE134" s="1" t="str">
        <f t="shared" si="84"/>
        <v>CHENGDU JOY SHINE FOOTWEAR LTD</v>
      </c>
      <c r="AG134" s="1">
        <v>0</v>
      </c>
      <c r="AH134" s="1">
        <v>0</v>
      </c>
      <c r="AI134" s="1" t="str">
        <f t="shared" si="104"/>
        <v>F06</v>
      </c>
      <c r="AJ134" s="1" t="str">
        <f t="shared" si="85"/>
        <v>MAN</v>
      </c>
      <c r="AK134" s="1" t="str">
        <f t="shared" si="105"/>
        <v>PA</v>
      </c>
      <c r="AP134" s="1" t="str">
        <f t="shared" si="106"/>
        <v>False</v>
      </c>
      <c r="AR134" s="1" t="str">
        <f t="shared" si="86"/>
        <v>NOBIL</v>
      </c>
      <c r="AY134" s="1" t="str">
        <f t="shared" si="107"/>
        <v>PF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 t="str">
        <f t="shared" si="87"/>
        <v>BBER FLAT MOL.NYLON+MICROSUEDE</v>
      </c>
      <c r="BF134" s="1" t="str">
        <f t="shared" si="108"/>
        <v>Bonis SpA</v>
      </c>
      <c r="BO134" s="1">
        <v>0</v>
      </c>
      <c r="BP134" s="1">
        <v>0</v>
      </c>
      <c r="BQ134" s="1">
        <v>0</v>
      </c>
    </row>
    <row r="135" spans="2:69" x14ac:dyDescent="0.25">
      <c r="B135" s="1">
        <v>1732</v>
      </c>
      <c r="C135" s="1" t="str">
        <f t="shared" ref="C135:C152" si="109">"GALAD4149S6/TY2A"</f>
        <v>GALAD4149S6/TY2A</v>
      </c>
      <c r="D135" s="1" t="str">
        <f>"ODA16N00396-141"</f>
        <v>ODA16N00396-141</v>
      </c>
      <c r="E135" s="1" t="str">
        <f t="shared" ref="E135:E170" si="110">"D12 USPA"</f>
        <v>D12 USPA</v>
      </c>
      <c r="F135" s="1" t="str">
        <f t="shared" si="93"/>
        <v>BONIS SPA</v>
      </c>
      <c r="G135" s="1" t="str">
        <f t="shared" si="94"/>
        <v>STOCK TERRA MP</v>
      </c>
      <c r="H135" s="1" t="str">
        <f t="shared" ref="H135:H143" si="111">"AVIO"</f>
        <v>AVIO</v>
      </c>
      <c r="J135" s="1">
        <v>1</v>
      </c>
      <c r="K135" s="1">
        <f t="shared" si="81"/>
        <v>12</v>
      </c>
      <c r="L135" s="1" t="str">
        <f t="shared" si="95"/>
        <v>01</v>
      </c>
      <c r="M135" s="1" t="str">
        <f t="shared" si="96"/>
        <v>101</v>
      </c>
      <c r="N135" s="1" t="str">
        <f t="shared" ref="N135:N170" si="112">"001"</f>
        <v>001</v>
      </c>
      <c r="O135" s="1" t="str">
        <f t="shared" si="97"/>
        <v>00</v>
      </c>
      <c r="P135" s="1" t="str">
        <f t="shared" si="98"/>
        <v>S</v>
      </c>
      <c r="Q135" s="1" t="str">
        <f t="shared" si="99"/>
        <v>P</v>
      </c>
      <c r="R135" s="1" t="str">
        <f t="shared" si="100"/>
        <v>01</v>
      </c>
      <c r="S135" s="1" t="str">
        <f t="shared" si="101"/>
        <v>03</v>
      </c>
      <c r="T135" s="1" t="str">
        <f t="shared" si="102"/>
        <v>False</v>
      </c>
      <c r="U135" s="1" t="str">
        <f t="shared" si="103"/>
        <v>True</v>
      </c>
      <c r="V135" s="1" t="str">
        <f t="shared" ref="V135:V170" si="113">"U0033395"</f>
        <v>U0033395</v>
      </c>
      <c r="W135" s="1">
        <v>1</v>
      </c>
      <c r="Y135" s="1">
        <v>0</v>
      </c>
      <c r="Z135" s="1">
        <v>0</v>
      </c>
      <c r="AB135" s="1" t="str">
        <f t="shared" si="92"/>
        <v>SMU</v>
      </c>
      <c r="AD135" s="1" t="str">
        <f t="shared" ref="AD135:AD170" si="114">"4520107"</f>
        <v>4520107</v>
      </c>
      <c r="AE135" s="1" t="str">
        <f t="shared" ref="AE135:AE170" si="115">"DONG HUNG IND. JOINT COMPANY"</f>
        <v>DONG HUNG IND. JOINT COMPANY</v>
      </c>
      <c r="AG135" s="1">
        <v>0</v>
      </c>
      <c r="AH135" s="1">
        <v>0</v>
      </c>
      <c r="AI135" s="1" t="str">
        <f t="shared" si="104"/>
        <v>F06</v>
      </c>
      <c r="AJ135" s="1" t="str">
        <f t="shared" ref="AJ135:AJ170" si="116">"WOMAN"</f>
        <v>WOMAN</v>
      </c>
      <c r="AK135" s="1" t="str">
        <f t="shared" si="105"/>
        <v>PA</v>
      </c>
      <c r="AP135" s="1" t="str">
        <f t="shared" si="106"/>
        <v>False</v>
      </c>
      <c r="AR135" s="1" t="str">
        <f t="shared" ref="AR135:AR170" si="117">"GALAD"</f>
        <v>GALAD</v>
      </c>
      <c r="AY135" s="1" t="str">
        <f t="shared" si="107"/>
        <v>PF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 t="str">
        <f t="shared" ref="BE135:BE152" si="118">"D GOMMA TR TEXTILE art.FC-1394"</f>
        <v>D GOMMA TR TEXTILE art.FC-1394</v>
      </c>
      <c r="BF135" s="1" t="str">
        <f t="shared" si="108"/>
        <v>Bonis SpA</v>
      </c>
      <c r="BO135" s="1">
        <v>0</v>
      </c>
      <c r="BP135" s="1">
        <v>0</v>
      </c>
      <c r="BQ135" s="1">
        <v>0</v>
      </c>
    </row>
    <row r="136" spans="2:69" x14ac:dyDescent="0.25">
      <c r="B136" s="1">
        <v>1732</v>
      </c>
      <c r="C136" s="1" t="str">
        <f t="shared" si="109"/>
        <v>GALAD4149S6/TY2A</v>
      </c>
      <c r="D136" s="1" t="str">
        <f>"ODA16N00396-143"</f>
        <v>ODA16N00396-143</v>
      </c>
      <c r="E136" s="1" t="str">
        <f t="shared" si="110"/>
        <v>D12 USPA</v>
      </c>
      <c r="F136" s="1" t="str">
        <f t="shared" si="93"/>
        <v>BONIS SPA</v>
      </c>
      <c r="G136" s="1" t="str">
        <f t="shared" si="94"/>
        <v>STOCK TERRA MP</v>
      </c>
      <c r="H136" s="1" t="str">
        <f t="shared" si="111"/>
        <v>AVIO</v>
      </c>
      <c r="J136" s="1">
        <v>1</v>
      </c>
      <c r="K136" s="1">
        <f t="shared" si="81"/>
        <v>12</v>
      </c>
      <c r="L136" s="1" t="str">
        <f t="shared" si="95"/>
        <v>01</v>
      </c>
      <c r="M136" s="1" t="str">
        <f t="shared" si="96"/>
        <v>101</v>
      </c>
      <c r="N136" s="1" t="str">
        <f t="shared" si="112"/>
        <v>001</v>
      </c>
      <c r="O136" s="1" t="str">
        <f t="shared" si="97"/>
        <v>00</v>
      </c>
      <c r="P136" s="1" t="str">
        <f t="shared" si="98"/>
        <v>S</v>
      </c>
      <c r="Q136" s="1" t="str">
        <f t="shared" si="99"/>
        <v>P</v>
      </c>
      <c r="R136" s="1" t="str">
        <f t="shared" si="100"/>
        <v>01</v>
      </c>
      <c r="S136" s="1" t="str">
        <f t="shared" si="101"/>
        <v>03</v>
      </c>
      <c r="T136" s="1" t="str">
        <f t="shared" si="102"/>
        <v>False</v>
      </c>
      <c r="U136" s="1" t="str">
        <f t="shared" si="103"/>
        <v>True</v>
      </c>
      <c r="V136" s="1" t="str">
        <f t="shared" si="113"/>
        <v>U0033395</v>
      </c>
      <c r="W136" s="1">
        <v>1</v>
      </c>
      <c r="Y136" s="1">
        <v>0</v>
      </c>
      <c r="Z136" s="1">
        <v>0</v>
      </c>
      <c r="AB136" s="1" t="str">
        <f t="shared" si="92"/>
        <v>SMU</v>
      </c>
      <c r="AD136" s="1" t="str">
        <f t="shared" si="114"/>
        <v>4520107</v>
      </c>
      <c r="AE136" s="1" t="str">
        <f t="shared" si="115"/>
        <v>DONG HUNG IND. JOINT COMPANY</v>
      </c>
      <c r="AG136" s="1">
        <v>0</v>
      </c>
      <c r="AH136" s="1">
        <v>0</v>
      </c>
      <c r="AI136" s="1" t="str">
        <f t="shared" si="104"/>
        <v>F06</v>
      </c>
      <c r="AJ136" s="1" t="str">
        <f t="shared" si="116"/>
        <v>WOMAN</v>
      </c>
      <c r="AK136" s="1" t="str">
        <f t="shared" si="105"/>
        <v>PA</v>
      </c>
      <c r="AP136" s="1" t="str">
        <f t="shared" si="106"/>
        <v>False</v>
      </c>
      <c r="AR136" s="1" t="str">
        <f t="shared" si="117"/>
        <v>GALAD</v>
      </c>
      <c r="AY136" s="1" t="str">
        <f t="shared" si="107"/>
        <v>PF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 t="str">
        <f t="shared" si="118"/>
        <v>D GOMMA TR TEXTILE art.FC-1394</v>
      </c>
      <c r="BF136" s="1" t="str">
        <f t="shared" si="108"/>
        <v>Bonis SpA</v>
      </c>
      <c r="BO136" s="1">
        <v>0</v>
      </c>
      <c r="BP136" s="1">
        <v>0</v>
      </c>
      <c r="BQ136" s="1">
        <v>0</v>
      </c>
    </row>
    <row r="137" spans="2:69" x14ac:dyDescent="0.25">
      <c r="B137" s="1">
        <v>1732</v>
      </c>
      <c r="C137" s="1" t="str">
        <f t="shared" si="109"/>
        <v>GALAD4149S6/TY2A</v>
      </c>
      <c r="D137" s="1" t="str">
        <f>"ODA16N00396-145"</f>
        <v>ODA16N00396-145</v>
      </c>
      <c r="E137" s="1" t="str">
        <f t="shared" si="110"/>
        <v>D12 USPA</v>
      </c>
      <c r="F137" s="1" t="str">
        <f t="shared" si="93"/>
        <v>BONIS SPA</v>
      </c>
      <c r="G137" s="1" t="str">
        <f t="shared" si="94"/>
        <v>STOCK TERRA MP</v>
      </c>
      <c r="H137" s="1" t="str">
        <f t="shared" si="111"/>
        <v>AVIO</v>
      </c>
      <c r="J137" s="1">
        <v>1</v>
      </c>
      <c r="K137" s="1">
        <f t="shared" si="81"/>
        <v>12</v>
      </c>
      <c r="L137" s="1" t="str">
        <f t="shared" si="95"/>
        <v>01</v>
      </c>
      <c r="M137" s="1" t="str">
        <f t="shared" si="96"/>
        <v>101</v>
      </c>
      <c r="N137" s="1" t="str">
        <f t="shared" si="112"/>
        <v>001</v>
      </c>
      <c r="O137" s="1" t="str">
        <f t="shared" si="97"/>
        <v>00</v>
      </c>
      <c r="P137" s="1" t="str">
        <f t="shared" si="98"/>
        <v>S</v>
      </c>
      <c r="Q137" s="1" t="str">
        <f t="shared" si="99"/>
        <v>P</v>
      </c>
      <c r="R137" s="1" t="str">
        <f t="shared" si="100"/>
        <v>01</v>
      </c>
      <c r="S137" s="1" t="str">
        <f t="shared" si="101"/>
        <v>03</v>
      </c>
      <c r="T137" s="1" t="str">
        <f t="shared" si="102"/>
        <v>False</v>
      </c>
      <c r="U137" s="1" t="str">
        <f t="shared" si="103"/>
        <v>True</v>
      </c>
      <c r="V137" s="1" t="str">
        <f t="shared" si="113"/>
        <v>U0033395</v>
      </c>
      <c r="W137" s="1">
        <v>1</v>
      </c>
      <c r="Y137" s="1">
        <v>0</v>
      </c>
      <c r="Z137" s="1">
        <v>0</v>
      </c>
      <c r="AB137" s="1" t="str">
        <f t="shared" si="92"/>
        <v>SMU</v>
      </c>
      <c r="AD137" s="1" t="str">
        <f t="shared" si="114"/>
        <v>4520107</v>
      </c>
      <c r="AE137" s="1" t="str">
        <f t="shared" si="115"/>
        <v>DONG HUNG IND. JOINT COMPANY</v>
      </c>
      <c r="AG137" s="1">
        <v>0</v>
      </c>
      <c r="AH137" s="1">
        <v>0</v>
      </c>
      <c r="AI137" s="1" t="str">
        <f t="shared" si="104"/>
        <v>F06</v>
      </c>
      <c r="AJ137" s="1" t="str">
        <f t="shared" si="116"/>
        <v>WOMAN</v>
      </c>
      <c r="AK137" s="1" t="str">
        <f t="shared" si="105"/>
        <v>PA</v>
      </c>
      <c r="AP137" s="1" t="str">
        <f t="shared" si="106"/>
        <v>False</v>
      </c>
      <c r="AR137" s="1" t="str">
        <f t="shared" si="117"/>
        <v>GALAD</v>
      </c>
      <c r="AY137" s="1" t="str">
        <f t="shared" si="107"/>
        <v>PF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 t="str">
        <f t="shared" si="118"/>
        <v>D GOMMA TR TEXTILE art.FC-1394</v>
      </c>
      <c r="BF137" s="1" t="str">
        <f t="shared" si="108"/>
        <v>Bonis SpA</v>
      </c>
      <c r="BO137" s="1">
        <v>0</v>
      </c>
      <c r="BP137" s="1">
        <v>0</v>
      </c>
      <c r="BQ137" s="1">
        <v>0</v>
      </c>
    </row>
    <row r="138" spans="2:69" x14ac:dyDescent="0.25">
      <c r="B138" s="1">
        <v>1732</v>
      </c>
      <c r="C138" s="1" t="str">
        <f t="shared" si="109"/>
        <v>GALAD4149S6/TY2A</v>
      </c>
      <c r="D138" s="1" t="str">
        <f>"ODA16N00396-150"</f>
        <v>ODA16N00396-150</v>
      </c>
      <c r="E138" s="1" t="str">
        <f t="shared" si="110"/>
        <v>D12 USPA</v>
      </c>
      <c r="F138" s="1" t="str">
        <f t="shared" si="93"/>
        <v>BONIS SPA</v>
      </c>
      <c r="G138" s="1" t="str">
        <f t="shared" si="94"/>
        <v>STOCK TERRA MP</v>
      </c>
      <c r="H138" s="1" t="str">
        <f t="shared" si="111"/>
        <v>AVIO</v>
      </c>
      <c r="J138" s="1">
        <v>1</v>
      </c>
      <c r="K138" s="1">
        <f t="shared" si="81"/>
        <v>12</v>
      </c>
      <c r="L138" s="1" t="str">
        <f t="shared" si="95"/>
        <v>01</v>
      </c>
      <c r="M138" s="1" t="str">
        <f t="shared" si="96"/>
        <v>101</v>
      </c>
      <c r="N138" s="1" t="str">
        <f t="shared" si="112"/>
        <v>001</v>
      </c>
      <c r="O138" s="1" t="str">
        <f t="shared" si="97"/>
        <v>00</v>
      </c>
      <c r="P138" s="1" t="str">
        <f t="shared" si="98"/>
        <v>S</v>
      </c>
      <c r="Q138" s="1" t="str">
        <f t="shared" si="99"/>
        <v>P</v>
      </c>
      <c r="R138" s="1" t="str">
        <f t="shared" si="100"/>
        <v>01</v>
      </c>
      <c r="S138" s="1" t="str">
        <f t="shared" si="101"/>
        <v>03</v>
      </c>
      <c r="T138" s="1" t="str">
        <f t="shared" si="102"/>
        <v>False</v>
      </c>
      <c r="U138" s="1" t="str">
        <f t="shared" si="103"/>
        <v>True</v>
      </c>
      <c r="V138" s="1" t="str">
        <f t="shared" si="113"/>
        <v>U0033395</v>
      </c>
      <c r="W138" s="1">
        <v>1</v>
      </c>
      <c r="Y138" s="1">
        <v>0</v>
      </c>
      <c r="Z138" s="1">
        <v>0</v>
      </c>
      <c r="AB138" s="1" t="str">
        <f t="shared" si="92"/>
        <v>SMU</v>
      </c>
      <c r="AD138" s="1" t="str">
        <f t="shared" si="114"/>
        <v>4520107</v>
      </c>
      <c r="AE138" s="1" t="str">
        <f t="shared" si="115"/>
        <v>DONG HUNG IND. JOINT COMPANY</v>
      </c>
      <c r="AG138" s="1">
        <v>0</v>
      </c>
      <c r="AH138" s="1">
        <v>0</v>
      </c>
      <c r="AI138" s="1" t="str">
        <f t="shared" si="104"/>
        <v>F06</v>
      </c>
      <c r="AJ138" s="1" t="str">
        <f t="shared" si="116"/>
        <v>WOMAN</v>
      </c>
      <c r="AK138" s="1" t="str">
        <f t="shared" si="105"/>
        <v>PA</v>
      </c>
      <c r="AP138" s="1" t="str">
        <f t="shared" si="106"/>
        <v>False</v>
      </c>
      <c r="AR138" s="1" t="str">
        <f t="shared" si="117"/>
        <v>GALAD</v>
      </c>
      <c r="AY138" s="1" t="str">
        <f t="shared" si="107"/>
        <v>PF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 t="str">
        <f t="shared" si="118"/>
        <v>D GOMMA TR TEXTILE art.FC-1394</v>
      </c>
      <c r="BF138" s="1" t="str">
        <f t="shared" si="108"/>
        <v>Bonis SpA</v>
      </c>
      <c r="BO138" s="1">
        <v>0</v>
      </c>
      <c r="BP138" s="1">
        <v>0</v>
      </c>
      <c r="BQ138" s="1">
        <v>0</v>
      </c>
    </row>
    <row r="139" spans="2:69" x14ac:dyDescent="0.25">
      <c r="B139" s="1">
        <v>1732</v>
      </c>
      <c r="C139" s="1" t="str">
        <f t="shared" si="109"/>
        <v>GALAD4149S6/TY2A</v>
      </c>
      <c r="D139" s="1" t="str">
        <f>"ODA16N00396-153"</f>
        <v>ODA16N00396-153</v>
      </c>
      <c r="E139" s="1" t="str">
        <f t="shared" si="110"/>
        <v>D12 USPA</v>
      </c>
      <c r="F139" s="1" t="str">
        <f t="shared" si="93"/>
        <v>BONIS SPA</v>
      </c>
      <c r="G139" s="1" t="str">
        <f t="shared" si="94"/>
        <v>STOCK TERRA MP</v>
      </c>
      <c r="H139" s="1" t="str">
        <f t="shared" si="111"/>
        <v>AVIO</v>
      </c>
      <c r="J139" s="1">
        <v>1</v>
      </c>
      <c r="K139" s="1">
        <f t="shared" si="81"/>
        <v>12</v>
      </c>
      <c r="L139" s="1" t="str">
        <f t="shared" si="95"/>
        <v>01</v>
      </c>
      <c r="M139" s="1" t="str">
        <f t="shared" si="96"/>
        <v>101</v>
      </c>
      <c r="N139" s="1" t="str">
        <f t="shared" si="112"/>
        <v>001</v>
      </c>
      <c r="O139" s="1" t="str">
        <f t="shared" si="97"/>
        <v>00</v>
      </c>
      <c r="P139" s="1" t="str">
        <f t="shared" si="98"/>
        <v>S</v>
      </c>
      <c r="Q139" s="1" t="str">
        <f t="shared" si="99"/>
        <v>P</v>
      </c>
      <c r="R139" s="1" t="str">
        <f t="shared" si="100"/>
        <v>01</v>
      </c>
      <c r="S139" s="1" t="str">
        <f t="shared" si="101"/>
        <v>03</v>
      </c>
      <c r="T139" s="1" t="str">
        <f t="shared" si="102"/>
        <v>False</v>
      </c>
      <c r="U139" s="1" t="str">
        <f t="shared" si="103"/>
        <v>True</v>
      </c>
      <c r="V139" s="1" t="str">
        <f t="shared" si="113"/>
        <v>U0033395</v>
      </c>
      <c r="W139" s="1">
        <v>1</v>
      </c>
      <c r="Y139" s="1">
        <v>0</v>
      </c>
      <c r="Z139" s="1">
        <v>0</v>
      </c>
      <c r="AB139" s="1" t="str">
        <f t="shared" si="92"/>
        <v>SMU</v>
      </c>
      <c r="AD139" s="1" t="str">
        <f t="shared" si="114"/>
        <v>4520107</v>
      </c>
      <c r="AE139" s="1" t="str">
        <f t="shared" si="115"/>
        <v>DONG HUNG IND. JOINT COMPANY</v>
      </c>
      <c r="AG139" s="1">
        <v>0</v>
      </c>
      <c r="AH139" s="1">
        <v>0</v>
      </c>
      <c r="AI139" s="1" t="str">
        <f t="shared" si="104"/>
        <v>F06</v>
      </c>
      <c r="AJ139" s="1" t="str">
        <f t="shared" si="116"/>
        <v>WOMAN</v>
      </c>
      <c r="AK139" s="1" t="str">
        <f t="shared" si="105"/>
        <v>PA</v>
      </c>
      <c r="AP139" s="1" t="str">
        <f t="shared" si="106"/>
        <v>False</v>
      </c>
      <c r="AR139" s="1" t="str">
        <f t="shared" si="117"/>
        <v>GALAD</v>
      </c>
      <c r="AY139" s="1" t="str">
        <f t="shared" si="107"/>
        <v>PF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 t="str">
        <f t="shared" si="118"/>
        <v>D GOMMA TR TEXTILE art.FC-1394</v>
      </c>
      <c r="BF139" s="1" t="str">
        <f t="shared" si="108"/>
        <v>Bonis SpA</v>
      </c>
      <c r="BO139" s="1">
        <v>0</v>
      </c>
      <c r="BP139" s="1">
        <v>0</v>
      </c>
      <c r="BQ139" s="1">
        <v>0</v>
      </c>
    </row>
    <row r="140" spans="2:69" x14ac:dyDescent="0.25">
      <c r="B140" s="1">
        <v>1732</v>
      </c>
      <c r="C140" s="1" t="str">
        <f t="shared" si="109"/>
        <v>GALAD4149S6/TY2A</v>
      </c>
      <c r="D140" s="1" t="str">
        <f>"ODA16N00396-155"</f>
        <v>ODA16N00396-155</v>
      </c>
      <c r="E140" s="1" t="str">
        <f t="shared" si="110"/>
        <v>D12 USPA</v>
      </c>
      <c r="F140" s="1" t="str">
        <f t="shared" si="93"/>
        <v>BONIS SPA</v>
      </c>
      <c r="G140" s="1" t="str">
        <f t="shared" si="94"/>
        <v>STOCK TERRA MP</v>
      </c>
      <c r="H140" s="1" t="str">
        <f t="shared" si="111"/>
        <v>AVIO</v>
      </c>
      <c r="J140" s="1">
        <v>1</v>
      </c>
      <c r="K140" s="1">
        <f t="shared" si="81"/>
        <v>12</v>
      </c>
      <c r="L140" s="1" t="str">
        <f t="shared" si="95"/>
        <v>01</v>
      </c>
      <c r="M140" s="1" t="str">
        <f t="shared" si="96"/>
        <v>101</v>
      </c>
      <c r="N140" s="1" t="str">
        <f t="shared" si="112"/>
        <v>001</v>
      </c>
      <c r="O140" s="1" t="str">
        <f t="shared" si="97"/>
        <v>00</v>
      </c>
      <c r="P140" s="1" t="str">
        <f t="shared" si="98"/>
        <v>S</v>
      </c>
      <c r="Q140" s="1" t="str">
        <f t="shared" si="99"/>
        <v>P</v>
      </c>
      <c r="R140" s="1" t="str">
        <f t="shared" si="100"/>
        <v>01</v>
      </c>
      <c r="S140" s="1" t="str">
        <f t="shared" si="101"/>
        <v>03</v>
      </c>
      <c r="T140" s="1" t="str">
        <f t="shared" si="102"/>
        <v>False</v>
      </c>
      <c r="U140" s="1" t="str">
        <f t="shared" si="103"/>
        <v>True</v>
      </c>
      <c r="V140" s="1" t="str">
        <f t="shared" si="113"/>
        <v>U0033395</v>
      </c>
      <c r="W140" s="1">
        <v>1</v>
      </c>
      <c r="Y140" s="1">
        <v>0</v>
      </c>
      <c r="Z140" s="1">
        <v>0</v>
      </c>
      <c r="AB140" s="1" t="str">
        <f t="shared" si="92"/>
        <v>SMU</v>
      </c>
      <c r="AD140" s="1" t="str">
        <f t="shared" si="114"/>
        <v>4520107</v>
      </c>
      <c r="AE140" s="1" t="str">
        <f t="shared" si="115"/>
        <v>DONG HUNG IND. JOINT COMPANY</v>
      </c>
      <c r="AG140" s="1">
        <v>0</v>
      </c>
      <c r="AH140" s="1">
        <v>0</v>
      </c>
      <c r="AI140" s="1" t="str">
        <f t="shared" si="104"/>
        <v>F06</v>
      </c>
      <c r="AJ140" s="1" t="str">
        <f t="shared" si="116"/>
        <v>WOMAN</v>
      </c>
      <c r="AK140" s="1" t="str">
        <f t="shared" si="105"/>
        <v>PA</v>
      </c>
      <c r="AP140" s="1" t="str">
        <f t="shared" si="106"/>
        <v>False</v>
      </c>
      <c r="AR140" s="1" t="str">
        <f t="shared" si="117"/>
        <v>GALAD</v>
      </c>
      <c r="AY140" s="1" t="str">
        <f t="shared" si="107"/>
        <v>PF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 t="str">
        <f t="shared" si="118"/>
        <v>D GOMMA TR TEXTILE art.FC-1394</v>
      </c>
      <c r="BF140" s="1" t="str">
        <f t="shared" si="108"/>
        <v>Bonis SpA</v>
      </c>
      <c r="BO140" s="1">
        <v>0</v>
      </c>
      <c r="BP140" s="1">
        <v>0</v>
      </c>
      <c r="BQ140" s="1">
        <v>0</v>
      </c>
    </row>
    <row r="141" spans="2:69" x14ac:dyDescent="0.25">
      <c r="B141" s="1">
        <v>1732</v>
      </c>
      <c r="C141" s="1" t="str">
        <f t="shared" si="109"/>
        <v>GALAD4149S6/TY2A</v>
      </c>
      <c r="D141" s="1" t="str">
        <f>"ODA16N00396-158"</f>
        <v>ODA16N00396-158</v>
      </c>
      <c r="E141" s="1" t="str">
        <f t="shared" si="110"/>
        <v>D12 USPA</v>
      </c>
      <c r="F141" s="1" t="str">
        <f t="shared" si="93"/>
        <v>BONIS SPA</v>
      </c>
      <c r="G141" s="1" t="str">
        <f t="shared" si="94"/>
        <v>STOCK TERRA MP</v>
      </c>
      <c r="H141" s="1" t="str">
        <f t="shared" si="111"/>
        <v>AVIO</v>
      </c>
      <c r="J141" s="1">
        <v>1</v>
      </c>
      <c r="K141" s="1">
        <f t="shared" si="81"/>
        <v>12</v>
      </c>
      <c r="L141" s="1" t="str">
        <f t="shared" si="95"/>
        <v>01</v>
      </c>
      <c r="M141" s="1" t="str">
        <f t="shared" si="96"/>
        <v>101</v>
      </c>
      <c r="N141" s="1" t="str">
        <f t="shared" si="112"/>
        <v>001</v>
      </c>
      <c r="O141" s="1" t="str">
        <f t="shared" si="97"/>
        <v>00</v>
      </c>
      <c r="P141" s="1" t="str">
        <f t="shared" si="98"/>
        <v>S</v>
      </c>
      <c r="Q141" s="1" t="str">
        <f t="shared" si="99"/>
        <v>P</v>
      </c>
      <c r="R141" s="1" t="str">
        <f t="shared" si="100"/>
        <v>01</v>
      </c>
      <c r="S141" s="1" t="str">
        <f t="shared" si="101"/>
        <v>03</v>
      </c>
      <c r="T141" s="1" t="str">
        <f t="shared" si="102"/>
        <v>False</v>
      </c>
      <c r="U141" s="1" t="str">
        <f t="shared" si="103"/>
        <v>True</v>
      </c>
      <c r="V141" s="1" t="str">
        <f t="shared" si="113"/>
        <v>U0033395</v>
      </c>
      <c r="W141" s="1">
        <v>1</v>
      </c>
      <c r="Y141" s="1">
        <v>0</v>
      </c>
      <c r="Z141" s="1">
        <v>0</v>
      </c>
      <c r="AB141" s="1" t="str">
        <f t="shared" si="92"/>
        <v>SMU</v>
      </c>
      <c r="AD141" s="1" t="str">
        <f t="shared" si="114"/>
        <v>4520107</v>
      </c>
      <c r="AE141" s="1" t="str">
        <f t="shared" si="115"/>
        <v>DONG HUNG IND. JOINT COMPANY</v>
      </c>
      <c r="AG141" s="1">
        <v>0</v>
      </c>
      <c r="AH141" s="1">
        <v>0</v>
      </c>
      <c r="AI141" s="1" t="str">
        <f t="shared" si="104"/>
        <v>F06</v>
      </c>
      <c r="AJ141" s="1" t="str">
        <f t="shared" si="116"/>
        <v>WOMAN</v>
      </c>
      <c r="AK141" s="1" t="str">
        <f t="shared" si="105"/>
        <v>PA</v>
      </c>
      <c r="AP141" s="1" t="str">
        <f t="shared" si="106"/>
        <v>False</v>
      </c>
      <c r="AR141" s="1" t="str">
        <f t="shared" si="117"/>
        <v>GALAD</v>
      </c>
      <c r="AY141" s="1" t="str">
        <f t="shared" si="107"/>
        <v>PF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 t="str">
        <f t="shared" si="118"/>
        <v>D GOMMA TR TEXTILE art.FC-1394</v>
      </c>
      <c r="BF141" s="1" t="str">
        <f t="shared" si="108"/>
        <v>Bonis SpA</v>
      </c>
      <c r="BO141" s="1">
        <v>0</v>
      </c>
      <c r="BP141" s="1">
        <v>0</v>
      </c>
      <c r="BQ141" s="1">
        <v>0</v>
      </c>
    </row>
    <row r="142" spans="2:69" x14ac:dyDescent="0.25">
      <c r="B142" s="1">
        <v>1732</v>
      </c>
      <c r="C142" s="1" t="str">
        <f t="shared" si="109"/>
        <v>GALAD4149S6/TY2A</v>
      </c>
      <c r="D142" s="1" t="str">
        <f>"ODA16N00396-162"</f>
        <v>ODA16N00396-162</v>
      </c>
      <c r="E142" s="1" t="str">
        <f t="shared" si="110"/>
        <v>D12 USPA</v>
      </c>
      <c r="F142" s="1" t="str">
        <f t="shared" si="93"/>
        <v>BONIS SPA</v>
      </c>
      <c r="G142" s="1" t="str">
        <f t="shared" si="94"/>
        <v>STOCK TERRA MP</v>
      </c>
      <c r="H142" s="1" t="str">
        <f t="shared" si="111"/>
        <v>AVIO</v>
      </c>
      <c r="J142" s="1">
        <v>1</v>
      </c>
      <c r="K142" s="1">
        <f t="shared" si="81"/>
        <v>12</v>
      </c>
      <c r="L142" s="1" t="str">
        <f t="shared" si="95"/>
        <v>01</v>
      </c>
      <c r="M142" s="1" t="str">
        <f t="shared" si="96"/>
        <v>101</v>
      </c>
      <c r="N142" s="1" t="str">
        <f t="shared" si="112"/>
        <v>001</v>
      </c>
      <c r="O142" s="1" t="str">
        <f t="shared" si="97"/>
        <v>00</v>
      </c>
      <c r="P142" s="1" t="str">
        <f t="shared" si="98"/>
        <v>S</v>
      </c>
      <c r="Q142" s="1" t="str">
        <f t="shared" si="99"/>
        <v>P</v>
      </c>
      <c r="R142" s="1" t="str">
        <f t="shared" si="100"/>
        <v>01</v>
      </c>
      <c r="S142" s="1" t="str">
        <f t="shared" si="101"/>
        <v>03</v>
      </c>
      <c r="T142" s="1" t="str">
        <f t="shared" si="102"/>
        <v>False</v>
      </c>
      <c r="U142" s="1" t="str">
        <f t="shared" si="103"/>
        <v>True</v>
      </c>
      <c r="V142" s="1" t="str">
        <f t="shared" si="113"/>
        <v>U0033395</v>
      </c>
      <c r="W142" s="1">
        <v>1</v>
      </c>
      <c r="Y142" s="1">
        <v>0</v>
      </c>
      <c r="Z142" s="1">
        <v>0</v>
      </c>
      <c r="AB142" s="1" t="str">
        <f t="shared" si="92"/>
        <v>SMU</v>
      </c>
      <c r="AD142" s="1" t="str">
        <f t="shared" si="114"/>
        <v>4520107</v>
      </c>
      <c r="AE142" s="1" t="str">
        <f t="shared" si="115"/>
        <v>DONG HUNG IND. JOINT COMPANY</v>
      </c>
      <c r="AG142" s="1">
        <v>0</v>
      </c>
      <c r="AH142" s="1">
        <v>0</v>
      </c>
      <c r="AI142" s="1" t="str">
        <f t="shared" si="104"/>
        <v>F06</v>
      </c>
      <c r="AJ142" s="1" t="str">
        <f t="shared" si="116"/>
        <v>WOMAN</v>
      </c>
      <c r="AK142" s="1" t="str">
        <f t="shared" si="105"/>
        <v>PA</v>
      </c>
      <c r="AP142" s="1" t="str">
        <f t="shared" si="106"/>
        <v>False</v>
      </c>
      <c r="AR142" s="1" t="str">
        <f t="shared" si="117"/>
        <v>GALAD</v>
      </c>
      <c r="AY142" s="1" t="str">
        <f t="shared" si="107"/>
        <v>PF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 t="str">
        <f t="shared" si="118"/>
        <v>D GOMMA TR TEXTILE art.FC-1394</v>
      </c>
      <c r="BF142" s="1" t="str">
        <f t="shared" si="108"/>
        <v>Bonis SpA</v>
      </c>
      <c r="BO142" s="1">
        <v>0</v>
      </c>
      <c r="BP142" s="1">
        <v>0</v>
      </c>
      <c r="BQ142" s="1">
        <v>0</v>
      </c>
    </row>
    <row r="143" spans="2:69" x14ac:dyDescent="0.25">
      <c r="B143" s="1">
        <v>1732</v>
      </c>
      <c r="C143" s="1" t="str">
        <f t="shared" si="109"/>
        <v>GALAD4149S6/TY2A</v>
      </c>
      <c r="D143" s="1" t="str">
        <f>"ODA16N00396-200"</f>
        <v>ODA16N00396-200</v>
      </c>
      <c r="E143" s="1" t="str">
        <f t="shared" si="110"/>
        <v>D12 USPA</v>
      </c>
      <c r="F143" s="1" t="str">
        <f t="shared" si="93"/>
        <v>BONIS SPA</v>
      </c>
      <c r="G143" s="1" t="str">
        <f t="shared" si="94"/>
        <v>STOCK TERRA MP</v>
      </c>
      <c r="H143" s="1" t="str">
        <f t="shared" si="111"/>
        <v>AVIO</v>
      </c>
      <c r="J143" s="1">
        <v>1</v>
      </c>
      <c r="K143" s="1">
        <f t="shared" si="81"/>
        <v>12</v>
      </c>
      <c r="L143" s="1" t="str">
        <f t="shared" si="95"/>
        <v>01</v>
      </c>
      <c r="M143" s="1" t="str">
        <f t="shared" si="96"/>
        <v>101</v>
      </c>
      <c r="N143" s="1" t="str">
        <f t="shared" si="112"/>
        <v>001</v>
      </c>
      <c r="O143" s="1" t="str">
        <f t="shared" si="97"/>
        <v>00</v>
      </c>
      <c r="P143" s="1" t="str">
        <f t="shared" si="98"/>
        <v>S</v>
      </c>
      <c r="Q143" s="1" t="str">
        <f t="shared" si="99"/>
        <v>P</v>
      </c>
      <c r="R143" s="1" t="str">
        <f t="shared" si="100"/>
        <v>01</v>
      </c>
      <c r="S143" s="1" t="str">
        <f t="shared" si="101"/>
        <v>03</v>
      </c>
      <c r="T143" s="1" t="str">
        <f t="shared" si="102"/>
        <v>False</v>
      </c>
      <c r="U143" s="1" t="str">
        <f t="shared" si="103"/>
        <v>True</v>
      </c>
      <c r="V143" s="1" t="str">
        <f t="shared" si="113"/>
        <v>U0033395</v>
      </c>
      <c r="W143" s="1">
        <v>1</v>
      </c>
      <c r="Y143" s="1">
        <v>0</v>
      </c>
      <c r="Z143" s="1">
        <v>0</v>
      </c>
      <c r="AB143" s="1" t="str">
        <f t="shared" si="92"/>
        <v>SMU</v>
      </c>
      <c r="AD143" s="1" t="str">
        <f t="shared" si="114"/>
        <v>4520107</v>
      </c>
      <c r="AE143" s="1" t="str">
        <f t="shared" si="115"/>
        <v>DONG HUNG IND. JOINT COMPANY</v>
      </c>
      <c r="AG143" s="1">
        <v>0</v>
      </c>
      <c r="AH143" s="1">
        <v>0</v>
      </c>
      <c r="AI143" s="1" t="str">
        <f t="shared" si="104"/>
        <v>F06</v>
      </c>
      <c r="AJ143" s="1" t="str">
        <f t="shared" si="116"/>
        <v>WOMAN</v>
      </c>
      <c r="AK143" s="1" t="str">
        <f t="shared" si="105"/>
        <v>PA</v>
      </c>
      <c r="AP143" s="1" t="str">
        <f t="shared" si="106"/>
        <v>False</v>
      </c>
      <c r="AR143" s="1" t="str">
        <f t="shared" si="117"/>
        <v>GALAD</v>
      </c>
      <c r="AY143" s="1" t="str">
        <f t="shared" si="107"/>
        <v>PF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 t="str">
        <f t="shared" si="118"/>
        <v>D GOMMA TR TEXTILE art.FC-1394</v>
      </c>
      <c r="BF143" s="1" t="str">
        <f t="shared" si="108"/>
        <v>Bonis SpA</v>
      </c>
      <c r="BO143" s="1">
        <v>0</v>
      </c>
      <c r="BP143" s="1">
        <v>0</v>
      </c>
      <c r="BQ143" s="1">
        <v>0</v>
      </c>
    </row>
    <row r="144" spans="2:69" x14ac:dyDescent="0.25">
      <c r="B144" s="1">
        <v>1732</v>
      </c>
      <c r="C144" s="1" t="str">
        <f t="shared" si="109"/>
        <v>GALAD4149S6/TY2A</v>
      </c>
      <c r="D144" s="1" t="str">
        <f>"ODA16N00396-212"</f>
        <v>ODA16N00396-212</v>
      </c>
      <c r="E144" s="1" t="str">
        <f t="shared" si="110"/>
        <v>D12 USPA</v>
      </c>
      <c r="F144" s="1" t="str">
        <f t="shared" si="93"/>
        <v>BONIS SPA</v>
      </c>
      <c r="G144" s="1" t="str">
        <f t="shared" si="94"/>
        <v>STOCK TERRA MP</v>
      </c>
      <c r="H144" s="1" t="str">
        <f t="shared" ref="H144:H152" si="119">"IVORY"</f>
        <v>IVORY</v>
      </c>
      <c r="J144" s="1">
        <v>1</v>
      </c>
      <c r="K144" s="1">
        <f t="shared" si="81"/>
        <v>12</v>
      </c>
      <c r="L144" s="1" t="str">
        <f t="shared" si="95"/>
        <v>01</v>
      </c>
      <c r="M144" s="1" t="str">
        <f t="shared" si="96"/>
        <v>101</v>
      </c>
      <c r="N144" s="1" t="str">
        <f t="shared" si="112"/>
        <v>001</v>
      </c>
      <c r="O144" s="1" t="str">
        <f t="shared" si="97"/>
        <v>00</v>
      </c>
      <c r="P144" s="1" t="str">
        <f t="shared" si="98"/>
        <v>S</v>
      </c>
      <c r="Q144" s="1" t="str">
        <f t="shared" si="99"/>
        <v>P</v>
      </c>
      <c r="R144" s="1" t="str">
        <f t="shared" si="100"/>
        <v>01</v>
      </c>
      <c r="S144" s="1" t="str">
        <f t="shared" si="101"/>
        <v>03</v>
      </c>
      <c r="T144" s="1" t="str">
        <f t="shared" si="102"/>
        <v>False</v>
      </c>
      <c r="U144" s="1" t="str">
        <f t="shared" si="103"/>
        <v>True</v>
      </c>
      <c r="V144" s="1" t="str">
        <f t="shared" si="113"/>
        <v>U0033395</v>
      </c>
      <c r="W144" s="1">
        <v>1</v>
      </c>
      <c r="Y144" s="1">
        <v>0</v>
      </c>
      <c r="Z144" s="1">
        <v>0</v>
      </c>
      <c r="AB144" s="1" t="str">
        <f t="shared" si="92"/>
        <v>SMU</v>
      </c>
      <c r="AD144" s="1" t="str">
        <f t="shared" si="114"/>
        <v>4520107</v>
      </c>
      <c r="AE144" s="1" t="str">
        <f t="shared" si="115"/>
        <v>DONG HUNG IND. JOINT COMPANY</v>
      </c>
      <c r="AG144" s="1">
        <v>0</v>
      </c>
      <c r="AH144" s="1">
        <v>0</v>
      </c>
      <c r="AI144" s="1" t="str">
        <f t="shared" si="104"/>
        <v>F06</v>
      </c>
      <c r="AJ144" s="1" t="str">
        <f t="shared" si="116"/>
        <v>WOMAN</v>
      </c>
      <c r="AK144" s="1" t="str">
        <f t="shared" si="105"/>
        <v>PA</v>
      </c>
      <c r="AP144" s="1" t="str">
        <f t="shared" si="106"/>
        <v>False</v>
      </c>
      <c r="AR144" s="1" t="str">
        <f t="shared" si="117"/>
        <v>GALAD</v>
      </c>
      <c r="AY144" s="1" t="str">
        <f t="shared" si="107"/>
        <v>PF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 t="str">
        <f t="shared" si="118"/>
        <v>D GOMMA TR TEXTILE art.FC-1394</v>
      </c>
      <c r="BF144" s="1" t="str">
        <f t="shared" si="108"/>
        <v>Bonis SpA</v>
      </c>
      <c r="BO144" s="1">
        <v>0</v>
      </c>
      <c r="BP144" s="1">
        <v>0</v>
      </c>
      <c r="BQ144" s="1">
        <v>0</v>
      </c>
    </row>
    <row r="145" spans="2:69" x14ac:dyDescent="0.25">
      <c r="B145" s="1">
        <v>1732</v>
      </c>
      <c r="C145" s="1" t="str">
        <f t="shared" si="109"/>
        <v>GALAD4149S6/TY2A</v>
      </c>
      <c r="D145" s="1" t="str">
        <f>"ODA16N00396-216"</f>
        <v>ODA16N00396-216</v>
      </c>
      <c r="E145" s="1" t="str">
        <f t="shared" si="110"/>
        <v>D12 USPA</v>
      </c>
      <c r="F145" s="1" t="str">
        <f t="shared" si="93"/>
        <v>BONIS SPA</v>
      </c>
      <c r="G145" s="1" t="str">
        <f t="shared" si="94"/>
        <v>STOCK TERRA MP</v>
      </c>
      <c r="H145" s="1" t="str">
        <f t="shared" si="119"/>
        <v>IVORY</v>
      </c>
      <c r="J145" s="1">
        <v>1</v>
      </c>
      <c r="K145" s="1">
        <f t="shared" si="81"/>
        <v>12</v>
      </c>
      <c r="L145" s="1" t="str">
        <f t="shared" si="95"/>
        <v>01</v>
      </c>
      <c r="M145" s="1" t="str">
        <f t="shared" si="96"/>
        <v>101</v>
      </c>
      <c r="N145" s="1" t="str">
        <f t="shared" si="112"/>
        <v>001</v>
      </c>
      <c r="O145" s="1" t="str">
        <f t="shared" si="97"/>
        <v>00</v>
      </c>
      <c r="P145" s="1" t="str">
        <f t="shared" si="98"/>
        <v>S</v>
      </c>
      <c r="Q145" s="1" t="str">
        <f t="shared" si="99"/>
        <v>P</v>
      </c>
      <c r="R145" s="1" t="str">
        <f t="shared" si="100"/>
        <v>01</v>
      </c>
      <c r="S145" s="1" t="str">
        <f t="shared" si="101"/>
        <v>03</v>
      </c>
      <c r="T145" s="1" t="str">
        <f t="shared" si="102"/>
        <v>False</v>
      </c>
      <c r="U145" s="1" t="str">
        <f t="shared" si="103"/>
        <v>True</v>
      </c>
      <c r="V145" s="1" t="str">
        <f t="shared" si="113"/>
        <v>U0033395</v>
      </c>
      <c r="W145" s="1">
        <v>1</v>
      </c>
      <c r="Y145" s="1">
        <v>0</v>
      </c>
      <c r="Z145" s="1">
        <v>0</v>
      </c>
      <c r="AB145" s="1" t="str">
        <f t="shared" si="92"/>
        <v>SMU</v>
      </c>
      <c r="AD145" s="1" t="str">
        <f t="shared" si="114"/>
        <v>4520107</v>
      </c>
      <c r="AE145" s="1" t="str">
        <f t="shared" si="115"/>
        <v>DONG HUNG IND. JOINT COMPANY</v>
      </c>
      <c r="AG145" s="1">
        <v>0</v>
      </c>
      <c r="AH145" s="1">
        <v>0</v>
      </c>
      <c r="AI145" s="1" t="str">
        <f t="shared" si="104"/>
        <v>F06</v>
      </c>
      <c r="AJ145" s="1" t="str">
        <f t="shared" si="116"/>
        <v>WOMAN</v>
      </c>
      <c r="AK145" s="1" t="str">
        <f t="shared" si="105"/>
        <v>PA</v>
      </c>
      <c r="AP145" s="1" t="str">
        <f t="shared" si="106"/>
        <v>False</v>
      </c>
      <c r="AR145" s="1" t="str">
        <f t="shared" si="117"/>
        <v>GALAD</v>
      </c>
      <c r="AY145" s="1" t="str">
        <f t="shared" si="107"/>
        <v>PF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 t="str">
        <f t="shared" si="118"/>
        <v>D GOMMA TR TEXTILE art.FC-1394</v>
      </c>
      <c r="BF145" s="1" t="str">
        <f t="shared" si="108"/>
        <v>Bonis SpA</v>
      </c>
      <c r="BO145" s="1">
        <v>0</v>
      </c>
      <c r="BP145" s="1">
        <v>0</v>
      </c>
      <c r="BQ145" s="1">
        <v>0</v>
      </c>
    </row>
    <row r="146" spans="2:69" x14ac:dyDescent="0.25">
      <c r="B146" s="1">
        <v>1732</v>
      </c>
      <c r="C146" s="1" t="str">
        <f t="shared" si="109"/>
        <v>GALAD4149S6/TY2A</v>
      </c>
      <c r="D146" s="1" t="str">
        <f>"ODA16N00396-232"</f>
        <v>ODA16N00396-232</v>
      </c>
      <c r="E146" s="1" t="str">
        <f t="shared" si="110"/>
        <v>D12 USPA</v>
      </c>
      <c r="F146" s="1" t="str">
        <f t="shared" si="93"/>
        <v>BONIS SPA</v>
      </c>
      <c r="G146" s="1" t="str">
        <f t="shared" si="94"/>
        <v>STOCK TERRA MP</v>
      </c>
      <c r="H146" s="1" t="str">
        <f t="shared" si="119"/>
        <v>IVORY</v>
      </c>
      <c r="J146" s="1">
        <v>1</v>
      </c>
      <c r="K146" s="1">
        <f t="shared" si="81"/>
        <v>12</v>
      </c>
      <c r="L146" s="1" t="str">
        <f t="shared" si="95"/>
        <v>01</v>
      </c>
      <c r="M146" s="1" t="str">
        <f t="shared" si="96"/>
        <v>101</v>
      </c>
      <c r="N146" s="1" t="str">
        <f t="shared" si="112"/>
        <v>001</v>
      </c>
      <c r="O146" s="1" t="str">
        <f t="shared" si="97"/>
        <v>00</v>
      </c>
      <c r="P146" s="1" t="str">
        <f t="shared" si="98"/>
        <v>S</v>
      </c>
      <c r="Q146" s="1" t="str">
        <f t="shared" si="99"/>
        <v>P</v>
      </c>
      <c r="R146" s="1" t="str">
        <f t="shared" si="100"/>
        <v>01</v>
      </c>
      <c r="S146" s="1" t="str">
        <f t="shared" si="101"/>
        <v>03</v>
      </c>
      <c r="T146" s="1" t="str">
        <f t="shared" si="102"/>
        <v>False</v>
      </c>
      <c r="U146" s="1" t="str">
        <f t="shared" si="103"/>
        <v>True</v>
      </c>
      <c r="V146" s="1" t="str">
        <f t="shared" si="113"/>
        <v>U0033395</v>
      </c>
      <c r="W146" s="1">
        <v>1</v>
      </c>
      <c r="Y146" s="1">
        <v>0</v>
      </c>
      <c r="Z146" s="1">
        <v>0</v>
      </c>
      <c r="AB146" s="1" t="str">
        <f t="shared" si="92"/>
        <v>SMU</v>
      </c>
      <c r="AD146" s="1" t="str">
        <f t="shared" si="114"/>
        <v>4520107</v>
      </c>
      <c r="AE146" s="1" t="str">
        <f t="shared" si="115"/>
        <v>DONG HUNG IND. JOINT COMPANY</v>
      </c>
      <c r="AG146" s="1">
        <v>0</v>
      </c>
      <c r="AH146" s="1">
        <v>0</v>
      </c>
      <c r="AI146" s="1" t="str">
        <f t="shared" si="104"/>
        <v>F06</v>
      </c>
      <c r="AJ146" s="1" t="str">
        <f t="shared" si="116"/>
        <v>WOMAN</v>
      </c>
      <c r="AK146" s="1" t="str">
        <f t="shared" si="105"/>
        <v>PA</v>
      </c>
      <c r="AP146" s="1" t="str">
        <f t="shared" si="106"/>
        <v>False</v>
      </c>
      <c r="AR146" s="1" t="str">
        <f t="shared" si="117"/>
        <v>GALAD</v>
      </c>
      <c r="AY146" s="1" t="str">
        <f t="shared" si="107"/>
        <v>PF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 t="str">
        <f t="shared" si="118"/>
        <v>D GOMMA TR TEXTILE art.FC-1394</v>
      </c>
      <c r="BF146" s="1" t="str">
        <f t="shared" si="108"/>
        <v>Bonis SpA</v>
      </c>
      <c r="BO146" s="1">
        <v>0</v>
      </c>
      <c r="BP146" s="1">
        <v>0</v>
      </c>
      <c r="BQ146" s="1">
        <v>0</v>
      </c>
    </row>
    <row r="147" spans="2:69" x14ac:dyDescent="0.25">
      <c r="B147" s="1">
        <v>1732</v>
      </c>
      <c r="C147" s="1" t="str">
        <f t="shared" si="109"/>
        <v>GALAD4149S6/TY2A</v>
      </c>
      <c r="D147" s="1" t="str">
        <f>"ODA16N00396-233"</f>
        <v>ODA16N00396-233</v>
      </c>
      <c r="E147" s="1" t="str">
        <f t="shared" si="110"/>
        <v>D12 USPA</v>
      </c>
      <c r="F147" s="1" t="str">
        <f t="shared" si="93"/>
        <v>BONIS SPA</v>
      </c>
      <c r="G147" s="1" t="str">
        <f t="shared" si="94"/>
        <v>STOCK TERRA MP</v>
      </c>
      <c r="H147" s="1" t="str">
        <f t="shared" si="119"/>
        <v>IVORY</v>
      </c>
      <c r="J147" s="1">
        <v>1</v>
      </c>
      <c r="K147" s="1">
        <f t="shared" si="81"/>
        <v>12</v>
      </c>
      <c r="L147" s="1" t="str">
        <f t="shared" si="95"/>
        <v>01</v>
      </c>
      <c r="M147" s="1" t="str">
        <f t="shared" si="96"/>
        <v>101</v>
      </c>
      <c r="N147" s="1" t="str">
        <f t="shared" si="112"/>
        <v>001</v>
      </c>
      <c r="O147" s="1" t="str">
        <f t="shared" si="97"/>
        <v>00</v>
      </c>
      <c r="P147" s="1" t="str">
        <f t="shared" si="98"/>
        <v>S</v>
      </c>
      <c r="Q147" s="1" t="str">
        <f t="shared" si="99"/>
        <v>P</v>
      </c>
      <c r="R147" s="1" t="str">
        <f t="shared" si="100"/>
        <v>01</v>
      </c>
      <c r="S147" s="1" t="str">
        <f t="shared" si="101"/>
        <v>03</v>
      </c>
      <c r="T147" s="1" t="str">
        <f t="shared" si="102"/>
        <v>False</v>
      </c>
      <c r="U147" s="1" t="str">
        <f t="shared" si="103"/>
        <v>True</v>
      </c>
      <c r="V147" s="1" t="str">
        <f t="shared" si="113"/>
        <v>U0033395</v>
      </c>
      <c r="W147" s="1">
        <v>1</v>
      </c>
      <c r="Y147" s="1">
        <v>0</v>
      </c>
      <c r="Z147" s="1">
        <v>0</v>
      </c>
      <c r="AB147" s="1" t="str">
        <f t="shared" si="92"/>
        <v>SMU</v>
      </c>
      <c r="AD147" s="1" t="str">
        <f t="shared" si="114"/>
        <v>4520107</v>
      </c>
      <c r="AE147" s="1" t="str">
        <f t="shared" si="115"/>
        <v>DONG HUNG IND. JOINT COMPANY</v>
      </c>
      <c r="AG147" s="1">
        <v>0</v>
      </c>
      <c r="AH147" s="1">
        <v>0</v>
      </c>
      <c r="AI147" s="1" t="str">
        <f t="shared" si="104"/>
        <v>F06</v>
      </c>
      <c r="AJ147" s="1" t="str">
        <f t="shared" si="116"/>
        <v>WOMAN</v>
      </c>
      <c r="AK147" s="1" t="str">
        <f t="shared" si="105"/>
        <v>PA</v>
      </c>
      <c r="AP147" s="1" t="str">
        <f t="shared" si="106"/>
        <v>False</v>
      </c>
      <c r="AR147" s="1" t="str">
        <f t="shared" si="117"/>
        <v>GALAD</v>
      </c>
      <c r="AY147" s="1" t="str">
        <f t="shared" si="107"/>
        <v>PF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 t="str">
        <f t="shared" si="118"/>
        <v>D GOMMA TR TEXTILE art.FC-1394</v>
      </c>
      <c r="BF147" s="1" t="str">
        <f t="shared" si="108"/>
        <v>Bonis SpA</v>
      </c>
      <c r="BO147" s="1">
        <v>0</v>
      </c>
      <c r="BP147" s="1">
        <v>0</v>
      </c>
      <c r="BQ147" s="1">
        <v>0</v>
      </c>
    </row>
    <row r="148" spans="2:69" x14ac:dyDescent="0.25">
      <c r="B148" s="1">
        <v>1732</v>
      </c>
      <c r="C148" s="1" t="str">
        <f t="shared" si="109"/>
        <v>GALAD4149S6/TY2A</v>
      </c>
      <c r="D148" s="1" t="str">
        <f>"ODA16N00396-236"</f>
        <v>ODA16N00396-236</v>
      </c>
      <c r="E148" s="1" t="str">
        <f t="shared" si="110"/>
        <v>D12 USPA</v>
      </c>
      <c r="F148" s="1" t="str">
        <f t="shared" si="93"/>
        <v>BONIS SPA</v>
      </c>
      <c r="G148" s="1" t="str">
        <f t="shared" si="94"/>
        <v>STOCK TERRA MP</v>
      </c>
      <c r="H148" s="1" t="str">
        <f t="shared" si="119"/>
        <v>IVORY</v>
      </c>
      <c r="J148" s="1">
        <v>1</v>
      </c>
      <c r="K148" s="1">
        <f t="shared" si="81"/>
        <v>12</v>
      </c>
      <c r="L148" s="1" t="str">
        <f t="shared" si="95"/>
        <v>01</v>
      </c>
      <c r="M148" s="1" t="str">
        <f t="shared" si="96"/>
        <v>101</v>
      </c>
      <c r="N148" s="1" t="str">
        <f t="shared" si="112"/>
        <v>001</v>
      </c>
      <c r="O148" s="1" t="str">
        <f t="shared" si="97"/>
        <v>00</v>
      </c>
      <c r="P148" s="1" t="str">
        <f t="shared" si="98"/>
        <v>S</v>
      </c>
      <c r="Q148" s="1" t="str">
        <f t="shared" si="99"/>
        <v>P</v>
      </c>
      <c r="R148" s="1" t="str">
        <f t="shared" si="100"/>
        <v>01</v>
      </c>
      <c r="S148" s="1" t="str">
        <f t="shared" si="101"/>
        <v>03</v>
      </c>
      <c r="T148" s="1" t="str">
        <f t="shared" si="102"/>
        <v>False</v>
      </c>
      <c r="U148" s="1" t="str">
        <f t="shared" si="103"/>
        <v>True</v>
      </c>
      <c r="V148" s="1" t="str">
        <f t="shared" si="113"/>
        <v>U0033395</v>
      </c>
      <c r="W148" s="1">
        <v>1</v>
      </c>
      <c r="Y148" s="1">
        <v>0</v>
      </c>
      <c r="Z148" s="1">
        <v>0</v>
      </c>
      <c r="AB148" s="1" t="str">
        <f t="shared" si="92"/>
        <v>SMU</v>
      </c>
      <c r="AD148" s="1" t="str">
        <f t="shared" si="114"/>
        <v>4520107</v>
      </c>
      <c r="AE148" s="1" t="str">
        <f t="shared" si="115"/>
        <v>DONG HUNG IND. JOINT COMPANY</v>
      </c>
      <c r="AG148" s="1">
        <v>0</v>
      </c>
      <c r="AH148" s="1">
        <v>0</v>
      </c>
      <c r="AI148" s="1" t="str">
        <f t="shared" si="104"/>
        <v>F06</v>
      </c>
      <c r="AJ148" s="1" t="str">
        <f t="shared" si="116"/>
        <v>WOMAN</v>
      </c>
      <c r="AK148" s="1" t="str">
        <f t="shared" si="105"/>
        <v>PA</v>
      </c>
      <c r="AP148" s="1" t="str">
        <f t="shared" si="106"/>
        <v>False</v>
      </c>
      <c r="AR148" s="1" t="str">
        <f t="shared" si="117"/>
        <v>GALAD</v>
      </c>
      <c r="AY148" s="1" t="str">
        <f t="shared" si="107"/>
        <v>PF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 t="str">
        <f t="shared" si="118"/>
        <v>D GOMMA TR TEXTILE art.FC-1394</v>
      </c>
      <c r="BF148" s="1" t="str">
        <f t="shared" si="108"/>
        <v>Bonis SpA</v>
      </c>
      <c r="BO148" s="1">
        <v>0</v>
      </c>
      <c r="BP148" s="1">
        <v>0</v>
      </c>
      <c r="BQ148" s="1">
        <v>0</v>
      </c>
    </row>
    <row r="149" spans="2:69" x14ac:dyDescent="0.25">
      <c r="B149" s="1">
        <v>1732</v>
      </c>
      <c r="C149" s="1" t="str">
        <f t="shared" si="109"/>
        <v>GALAD4149S6/TY2A</v>
      </c>
      <c r="D149" s="1" t="str">
        <f>"ODA16N00396-249"</f>
        <v>ODA16N00396-249</v>
      </c>
      <c r="E149" s="1" t="str">
        <f t="shared" si="110"/>
        <v>D12 USPA</v>
      </c>
      <c r="F149" s="1" t="str">
        <f t="shared" si="93"/>
        <v>BONIS SPA</v>
      </c>
      <c r="G149" s="1" t="str">
        <f t="shared" si="94"/>
        <v>STOCK TERRA MP</v>
      </c>
      <c r="H149" s="1" t="str">
        <f t="shared" si="119"/>
        <v>IVORY</v>
      </c>
      <c r="J149" s="1">
        <v>1</v>
      </c>
      <c r="K149" s="1">
        <f t="shared" si="81"/>
        <v>12</v>
      </c>
      <c r="L149" s="1" t="str">
        <f t="shared" si="95"/>
        <v>01</v>
      </c>
      <c r="M149" s="1" t="str">
        <f t="shared" si="96"/>
        <v>101</v>
      </c>
      <c r="N149" s="1" t="str">
        <f t="shared" si="112"/>
        <v>001</v>
      </c>
      <c r="O149" s="1" t="str">
        <f t="shared" si="97"/>
        <v>00</v>
      </c>
      <c r="P149" s="1" t="str">
        <f t="shared" si="98"/>
        <v>S</v>
      </c>
      <c r="Q149" s="1" t="str">
        <f t="shared" si="99"/>
        <v>P</v>
      </c>
      <c r="R149" s="1" t="str">
        <f t="shared" si="100"/>
        <v>01</v>
      </c>
      <c r="S149" s="1" t="str">
        <f t="shared" si="101"/>
        <v>03</v>
      </c>
      <c r="T149" s="1" t="str">
        <f t="shared" si="102"/>
        <v>False</v>
      </c>
      <c r="U149" s="1" t="str">
        <f t="shared" si="103"/>
        <v>True</v>
      </c>
      <c r="V149" s="1" t="str">
        <f t="shared" si="113"/>
        <v>U0033395</v>
      </c>
      <c r="W149" s="1">
        <v>1</v>
      </c>
      <c r="Y149" s="1">
        <v>0</v>
      </c>
      <c r="Z149" s="1">
        <v>0</v>
      </c>
      <c r="AB149" s="1" t="str">
        <f t="shared" si="92"/>
        <v>SMU</v>
      </c>
      <c r="AD149" s="1" t="str">
        <f t="shared" si="114"/>
        <v>4520107</v>
      </c>
      <c r="AE149" s="1" t="str">
        <f t="shared" si="115"/>
        <v>DONG HUNG IND. JOINT COMPANY</v>
      </c>
      <c r="AG149" s="1">
        <v>0</v>
      </c>
      <c r="AH149" s="1">
        <v>0</v>
      </c>
      <c r="AI149" s="1" t="str">
        <f t="shared" si="104"/>
        <v>F06</v>
      </c>
      <c r="AJ149" s="1" t="str">
        <f t="shared" si="116"/>
        <v>WOMAN</v>
      </c>
      <c r="AK149" s="1" t="str">
        <f t="shared" si="105"/>
        <v>PA</v>
      </c>
      <c r="AP149" s="1" t="str">
        <f t="shared" si="106"/>
        <v>False</v>
      </c>
      <c r="AR149" s="1" t="str">
        <f t="shared" si="117"/>
        <v>GALAD</v>
      </c>
      <c r="AY149" s="1" t="str">
        <f t="shared" si="107"/>
        <v>PF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 t="str">
        <f t="shared" si="118"/>
        <v>D GOMMA TR TEXTILE art.FC-1394</v>
      </c>
      <c r="BF149" s="1" t="str">
        <f t="shared" si="108"/>
        <v>Bonis SpA</v>
      </c>
      <c r="BO149" s="1">
        <v>0</v>
      </c>
      <c r="BP149" s="1">
        <v>0</v>
      </c>
      <c r="BQ149" s="1">
        <v>0</v>
      </c>
    </row>
    <row r="150" spans="2:69" x14ac:dyDescent="0.25">
      <c r="B150" s="1">
        <v>1732</v>
      </c>
      <c r="C150" s="1" t="str">
        <f t="shared" si="109"/>
        <v>GALAD4149S6/TY2A</v>
      </c>
      <c r="D150" s="1" t="str">
        <f>"ODA16N00396-252"</f>
        <v>ODA16N00396-252</v>
      </c>
      <c r="E150" s="1" t="str">
        <f t="shared" si="110"/>
        <v>D12 USPA</v>
      </c>
      <c r="F150" s="1" t="str">
        <f t="shared" si="93"/>
        <v>BONIS SPA</v>
      </c>
      <c r="G150" s="1" t="str">
        <f t="shared" si="94"/>
        <v>STOCK TERRA MP</v>
      </c>
      <c r="H150" s="1" t="str">
        <f t="shared" si="119"/>
        <v>IVORY</v>
      </c>
      <c r="J150" s="1">
        <v>1</v>
      </c>
      <c r="K150" s="1">
        <f t="shared" si="81"/>
        <v>12</v>
      </c>
      <c r="L150" s="1" t="str">
        <f t="shared" si="95"/>
        <v>01</v>
      </c>
      <c r="M150" s="1" t="str">
        <f t="shared" si="96"/>
        <v>101</v>
      </c>
      <c r="N150" s="1" t="str">
        <f t="shared" si="112"/>
        <v>001</v>
      </c>
      <c r="O150" s="1" t="str">
        <f t="shared" si="97"/>
        <v>00</v>
      </c>
      <c r="P150" s="1" t="str">
        <f t="shared" si="98"/>
        <v>S</v>
      </c>
      <c r="Q150" s="1" t="str">
        <f t="shared" si="99"/>
        <v>P</v>
      </c>
      <c r="R150" s="1" t="str">
        <f t="shared" si="100"/>
        <v>01</v>
      </c>
      <c r="S150" s="1" t="str">
        <f t="shared" si="101"/>
        <v>03</v>
      </c>
      <c r="T150" s="1" t="str">
        <f t="shared" si="102"/>
        <v>False</v>
      </c>
      <c r="U150" s="1" t="str">
        <f t="shared" si="103"/>
        <v>True</v>
      </c>
      <c r="V150" s="1" t="str">
        <f t="shared" si="113"/>
        <v>U0033395</v>
      </c>
      <c r="W150" s="1">
        <v>1</v>
      </c>
      <c r="Y150" s="1">
        <v>0</v>
      </c>
      <c r="Z150" s="1">
        <v>0</v>
      </c>
      <c r="AB150" s="1" t="str">
        <f t="shared" si="92"/>
        <v>SMU</v>
      </c>
      <c r="AD150" s="1" t="str">
        <f t="shared" si="114"/>
        <v>4520107</v>
      </c>
      <c r="AE150" s="1" t="str">
        <f t="shared" si="115"/>
        <v>DONG HUNG IND. JOINT COMPANY</v>
      </c>
      <c r="AG150" s="1">
        <v>0</v>
      </c>
      <c r="AH150" s="1">
        <v>0</v>
      </c>
      <c r="AI150" s="1" t="str">
        <f t="shared" si="104"/>
        <v>F06</v>
      </c>
      <c r="AJ150" s="1" t="str">
        <f t="shared" si="116"/>
        <v>WOMAN</v>
      </c>
      <c r="AK150" s="1" t="str">
        <f t="shared" si="105"/>
        <v>PA</v>
      </c>
      <c r="AP150" s="1" t="str">
        <f t="shared" si="106"/>
        <v>False</v>
      </c>
      <c r="AR150" s="1" t="str">
        <f t="shared" si="117"/>
        <v>GALAD</v>
      </c>
      <c r="AY150" s="1" t="str">
        <f t="shared" si="107"/>
        <v>PF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 t="str">
        <f t="shared" si="118"/>
        <v>D GOMMA TR TEXTILE art.FC-1394</v>
      </c>
      <c r="BF150" s="1" t="str">
        <f t="shared" si="108"/>
        <v>Bonis SpA</v>
      </c>
      <c r="BO150" s="1">
        <v>0</v>
      </c>
      <c r="BP150" s="1">
        <v>0</v>
      </c>
      <c r="BQ150" s="1">
        <v>0</v>
      </c>
    </row>
    <row r="151" spans="2:69" x14ac:dyDescent="0.25">
      <c r="B151" s="1">
        <v>1732</v>
      </c>
      <c r="C151" s="1" t="str">
        <f t="shared" si="109"/>
        <v>GALAD4149S6/TY2A</v>
      </c>
      <c r="D151" s="1" t="str">
        <f>"ODA16N00396-259"</f>
        <v>ODA16N00396-259</v>
      </c>
      <c r="E151" s="1" t="str">
        <f t="shared" si="110"/>
        <v>D12 USPA</v>
      </c>
      <c r="F151" s="1" t="str">
        <f t="shared" si="93"/>
        <v>BONIS SPA</v>
      </c>
      <c r="G151" s="1" t="str">
        <f t="shared" si="94"/>
        <v>STOCK TERRA MP</v>
      </c>
      <c r="H151" s="1" t="str">
        <f t="shared" si="119"/>
        <v>IVORY</v>
      </c>
      <c r="J151" s="1">
        <v>1</v>
      </c>
      <c r="K151" s="1">
        <f t="shared" si="81"/>
        <v>12</v>
      </c>
      <c r="L151" s="1" t="str">
        <f t="shared" si="95"/>
        <v>01</v>
      </c>
      <c r="M151" s="1" t="str">
        <f t="shared" si="96"/>
        <v>101</v>
      </c>
      <c r="N151" s="1" t="str">
        <f t="shared" si="112"/>
        <v>001</v>
      </c>
      <c r="O151" s="1" t="str">
        <f t="shared" si="97"/>
        <v>00</v>
      </c>
      <c r="P151" s="1" t="str">
        <f t="shared" si="98"/>
        <v>S</v>
      </c>
      <c r="Q151" s="1" t="str">
        <f t="shared" si="99"/>
        <v>P</v>
      </c>
      <c r="R151" s="1" t="str">
        <f t="shared" si="100"/>
        <v>01</v>
      </c>
      <c r="S151" s="1" t="str">
        <f t="shared" si="101"/>
        <v>03</v>
      </c>
      <c r="T151" s="1" t="str">
        <f t="shared" si="102"/>
        <v>False</v>
      </c>
      <c r="U151" s="1" t="str">
        <f t="shared" si="103"/>
        <v>True</v>
      </c>
      <c r="V151" s="1" t="str">
        <f t="shared" si="113"/>
        <v>U0033395</v>
      </c>
      <c r="W151" s="1">
        <v>1</v>
      </c>
      <c r="Y151" s="1">
        <v>0</v>
      </c>
      <c r="Z151" s="1">
        <v>0</v>
      </c>
      <c r="AB151" s="1" t="str">
        <f t="shared" si="92"/>
        <v>SMU</v>
      </c>
      <c r="AD151" s="1" t="str">
        <f t="shared" si="114"/>
        <v>4520107</v>
      </c>
      <c r="AE151" s="1" t="str">
        <f t="shared" si="115"/>
        <v>DONG HUNG IND. JOINT COMPANY</v>
      </c>
      <c r="AG151" s="1">
        <v>0</v>
      </c>
      <c r="AH151" s="1">
        <v>0</v>
      </c>
      <c r="AI151" s="1" t="str">
        <f t="shared" si="104"/>
        <v>F06</v>
      </c>
      <c r="AJ151" s="1" t="str">
        <f t="shared" si="116"/>
        <v>WOMAN</v>
      </c>
      <c r="AK151" s="1" t="str">
        <f t="shared" si="105"/>
        <v>PA</v>
      </c>
      <c r="AP151" s="1" t="str">
        <f t="shared" si="106"/>
        <v>False</v>
      </c>
      <c r="AR151" s="1" t="str">
        <f t="shared" si="117"/>
        <v>GALAD</v>
      </c>
      <c r="AY151" s="1" t="str">
        <f t="shared" si="107"/>
        <v>PF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 t="str">
        <f t="shared" si="118"/>
        <v>D GOMMA TR TEXTILE art.FC-1394</v>
      </c>
      <c r="BF151" s="1" t="str">
        <f t="shared" si="108"/>
        <v>Bonis SpA</v>
      </c>
      <c r="BO151" s="1">
        <v>0</v>
      </c>
      <c r="BP151" s="1">
        <v>0</v>
      </c>
      <c r="BQ151" s="1">
        <v>0</v>
      </c>
    </row>
    <row r="152" spans="2:69" x14ac:dyDescent="0.25">
      <c r="B152" s="1">
        <v>1732</v>
      </c>
      <c r="C152" s="1" t="str">
        <f t="shared" si="109"/>
        <v>GALAD4149S6/TY2A</v>
      </c>
      <c r="D152" s="1" t="str">
        <f>"ODA16N00396-262"</f>
        <v>ODA16N00396-262</v>
      </c>
      <c r="E152" s="1" t="str">
        <f t="shared" si="110"/>
        <v>D12 USPA</v>
      </c>
      <c r="F152" s="1" t="str">
        <f t="shared" si="93"/>
        <v>BONIS SPA</v>
      </c>
      <c r="G152" s="1" t="str">
        <f t="shared" si="94"/>
        <v>STOCK TERRA MP</v>
      </c>
      <c r="H152" s="1" t="str">
        <f t="shared" si="119"/>
        <v>IVORY</v>
      </c>
      <c r="J152" s="1">
        <v>1</v>
      </c>
      <c r="K152" s="1">
        <f t="shared" si="81"/>
        <v>12</v>
      </c>
      <c r="L152" s="1" t="str">
        <f t="shared" si="95"/>
        <v>01</v>
      </c>
      <c r="M152" s="1" t="str">
        <f t="shared" si="96"/>
        <v>101</v>
      </c>
      <c r="N152" s="1" t="str">
        <f t="shared" si="112"/>
        <v>001</v>
      </c>
      <c r="O152" s="1" t="str">
        <f t="shared" si="97"/>
        <v>00</v>
      </c>
      <c r="P152" s="1" t="str">
        <f t="shared" si="98"/>
        <v>S</v>
      </c>
      <c r="Q152" s="1" t="str">
        <f t="shared" si="99"/>
        <v>P</v>
      </c>
      <c r="R152" s="1" t="str">
        <f t="shared" si="100"/>
        <v>01</v>
      </c>
      <c r="S152" s="1" t="str">
        <f t="shared" si="101"/>
        <v>03</v>
      </c>
      <c r="T152" s="1" t="str">
        <f t="shared" si="102"/>
        <v>False</v>
      </c>
      <c r="U152" s="1" t="str">
        <f t="shared" si="103"/>
        <v>True</v>
      </c>
      <c r="V152" s="1" t="str">
        <f t="shared" si="113"/>
        <v>U0033395</v>
      </c>
      <c r="W152" s="1">
        <v>1</v>
      </c>
      <c r="Y152" s="1">
        <v>0</v>
      </c>
      <c r="Z152" s="1">
        <v>0</v>
      </c>
      <c r="AB152" s="1" t="str">
        <f t="shared" si="92"/>
        <v>SMU</v>
      </c>
      <c r="AD152" s="1" t="str">
        <f t="shared" si="114"/>
        <v>4520107</v>
      </c>
      <c r="AE152" s="1" t="str">
        <f t="shared" si="115"/>
        <v>DONG HUNG IND. JOINT COMPANY</v>
      </c>
      <c r="AG152" s="1">
        <v>0</v>
      </c>
      <c r="AH152" s="1">
        <v>0</v>
      </c>
      <c r="AI152" s="1" t="str">
        <f t="shared" si="104"/>
        <v>F06</v>
      </c>
      <c r="AJ152" s="1" t="str">
        <f t="shared" si="116"/>
        <v>WOMAN</v>
      </c>
      <c r="AK152" s="1" t="str">
        <f t="shared" si="105"/>
        <v>PA</v>
      </c>
      <c r="AP152" s="1" t="str">
        <f t="shared" si="106"/>
        <v>False</v>
      </c>
      <c r="AR152" s="1" t="str">
        <f t="shared" si="117"/>
        <v>GALAD</v>
      </c>
      <c r="AY152" s="1" t="str">
        <f t="shared" si="107"/>
        <v>PF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 t="str">
        <f t="shared" si="118"/>
        <v>D GOMMA TR TEXTILE art.FC-1394</v>
      </c>
      <c r="BF152" s="1" t="str">
        <f t="shared" si="108"/>
        <v>Bonis SpA</v>
      </c>
      <c r="BO152" s="1">
        <v>0</v>
      </c>
      <c r="BP152" s="1">
        <v>0</v>
      </c>
      <c r="BQ152" s="1">
        <v>0</v>
      </c>
    </row>
    <row r="153" spans="2:69" x14ac:dyDescent="0.25">
      <c r="B153" s="1">
        <v>1732</v>
      </c>
      <c r="C153" s="1" t="str">
        <f t="shared" ref="C153:C170" si="120">"GALAD4149S6/Y1A"</f>
        <v>GALAD4149S6/Y1A</v>
      </c>
      <c r="D153" s="1" t="str">
        <f>"ODA16N00396-270"</f>
        <v>ODA16N00396-270</v>
      </c>
      <c r="E153" s="1" t="str">
        <f t="shared" si="110"/>
        <v>D12 USPA</v>
      </c>
      <c r="F153" s="1" t="str">
        <f t="shared" si="93"/>
        <v>BONIS SPA</v>
      </c>
      <c r="G153" s="1" t="str">
        <f t="shared" si="94"/>
        <v>STOCK TERRA MP</v>
      </c>
      <c r="H153" s="1" t="str">
        <f t="shared" ref="H153:H161" si="121">"BRON"</f>
        <v>BRON</v>
      </c>
      <c r="J153" s="1">
        <v>1</v>
      </c>
      <c r="K153" s="1">
        <f t="shared" si="81"/>
        <v>12</v>
      </c>
      <c r="L153" s="1" t="str">
        <f t="shared" si="95"/>
        <v>01</v>
      </c>
      <c r="M153" s="1" t="str">
        <f t="shared" si="96"/>
        <v>101</v>
      </c>
      <c r="N153" s="1" t="str">
        <f t="shared" si="112"/>
        <v>001</v>
      </c>
      <c r="O153" s="1" t="str">
        <f t="shared" si="97"/>
        <v>00</v>
      </c>
      <c r="P153" s="1" t="str">
        <f t="shared" si="98"/>
        <v>S</v>
      </c>
      <c r="Q153" s="1" t="str">
        <f t="shared" si="99"/>
        <v>P</v>
      </c>
      <c r="R153" s="1" t="str">
        <f t="shared" si="100"/>
        <v>01</v>
      </c>
      <c r="S153" s="1" t="str">
        <f t="shared" si="101"/>
        <v>03</v>
      </c>
      <c r="T153" s="1" t="str">
        <f t="shared" si="102"/>
        <v>False</v>
      </c>
      <c r="U153" s="1" t="str">
        <f t="shared" si="103"/>
        <v>True</v>
      </c>
      <c r="V153" s="1" t="str">
        <f t="shared" si="113"/>
        <v>U0033395</v>
      </c>
      <c r="W153" s="1">
        <v>1</v>
      </c>
      <c r="Y153" s="1">
        <v>0</v>
      </c>
      <c r="Z153" s="1">
        <v>0</v>
      </c>
      <c r="AB153" s="1" t="str">
        <f t="shared" si="92"/>
        <v>SMU</v>
      </c>
      <c r="AD153" s="1" t="str">
        <f t="shared" si="114"/>
        <v>4520107</v>
      </c>
      <c r="AE153" s="1" t="str">
        <f t="shared" si="115"/>
        <v>DONG HUNG IND. JOINT COMPANY</v>
      </c>
      <c r="AG153" s="1">
        <v>0</v>
      </c>
      <c r="AH153" s="1">
        <v>0</v>
      </c>
      <c r="AI153" s="1" t="str">
        <f t="shared" si="104"/>
        <v>F06</v>
      </c>
      <c r="AJ153" s="1" t="str">
        <f t="shared" si="116"/>
        <v>WOMAN</v>
      </c>
      <c r="AK153" s="1" t="str">
        <f t="shared" si="105"/>
        <v>PA</v>
      </c>
      <c r="AP153" s="1" t="str">
        <f t="shared" si="106"/>
        <v>False</v>
      </c>
      <c r="AR153" s="1" t="str">
        <f t="shared" si="117"/>
        <v>GALAD</v>
      </c>
      <c r="AY153" s="1" t="str">
        <f t="shared" si="107"/>
        <v>PF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 t="str">
        <f t="shared" ref="BE153:BE170" si="122">"D GOMMA SYNTHETIC LEATHER"</f>
        <v>D GOMMA SYNTHETIC LEATHER</v>
      </c>
      <c r="BF153" s="1" t="str">
        <f t="shared" si="108"/>
        <v>Bonis SpA</v>
      </c>
      <c r="BO153" s="1">
        <v>0</v>
      </c>
      <c r="BP153" s="1">
        <v>0</v>
      </c>
      <c r="BQ153" s="1">
        <v>0</v>
      </c>
    </row>
    <row r="154" spans="2:69" x14ac:dyDescent="0.25">
      <c r="B154" s="1">
        <v>1732</v>
      </c>
      <c r="C154" s="1" t="str">
        <f t="shared" si="120"/>
        <v>GALAD4149S6/Y1A</v>
      </c>
      <c r="D154" s="1" t="str">
        <f>"ODA16N00396-272"</f>
        <v>ODA16N00396-272</v>
      </c>
      <c r="E154" s="1" t="str">
        <f t="shared" si="110"/>
        <v>D12 USPA</v>
      </c>
      <c r="F154" s="1" t="str">
        <f t="shared" si="93"/>
        <v>BONIS SPA</v>
      </c>
      <c r="G154" s="1" t="str">
        <f t="shared" si="94"/>
        <v>STOCK TERRA MP</v>
      </c>
      <c r="H154" s="1" t="str">
        <f t="shared" si="121"/>
        <v>BRON</v>
      </c>
      <c r="J154" s="1">
        <v>1</v>
      </c>
      <c r="K154" s="1">
        <f t="shared" ref="K154:K217" si="123">12*J154</f>
        <v>12</v>
      </c>
      <c r="L154" s="1" t="str">
        <f t="shared" si="95"/>
        <v>01</v>
      </c>
      <c r="M154" s="1" t="str">
        <f t="shared" si="96"/>
        <v>101</v>
      </c>
      <c r="N154" s="1" t="str">
        <f t="shared" si="112"/>
        <v>001</v>
      </c>
      <c r="O154" s="1" t="str">
        <f t="shared" si="97"/>
        <v>00</v>
      </c>
      <c r="P154" s="1" t="str">
        <f t="shared" si="98"/>
        <v>S</v>
      </c>
      <c r="Q154" s="1" t="str">
        <f t="shared" si="99"/>
        <v>P</v>
      </c>
      <c r="R154" s="1" t="str">
        <f t="shared" si="100"/>
        <v>01</v>
      </c>
      <c r="S154" s="1" t="str">
        <f t="shared" si="101"/>
        <v>03</v>
      </c>
      <c r="T154" s="1" t="str">
        <f t="shared" si="102"/>
        <v>False</v>
      </c>
      <c r="U154" s="1" t="str">
        <f t="shared" si="103"/>
        <v>True</v>
      </c>
      <c r="V154" s="1" t="str">
        <f t="shared" si="113"/>
        <v>U0033395</v>
      </c>
      <c r="W154" s="1">
        <v>1</v>
      </c>
      <c r="Y154" s="1">
        <v>0</v>
      </c>
      <c r="Z154" s="1">
        <v>0</v>
      </c>
      <c r="AB154" s="1" t="str">
        <f t="shared" ref="AB154:AB185" si="124">"SMU"</f>
        <v>SMU</v>
      </c>
      <c r="AD154" s="1" t="str">
        <f t="shared" si="114"/>
        <v>4520107</v>
      </c>
      <c r="AE154" s="1" t="str">
        <f t="shared" si="115"/>
        <v>DONG HUNG IND. JOINT COMPANY</v>
      </c>
      <c r="AG154" s="1">
        <v>0</v>
      </c>
      <c r="AH154" s="1">
        <v>0</v>
      </c>
      <c r="AI154" s="1" t="str">
        <f t="shared" si="104"/>
        <v>F06</v>
      </c>
      <c r="AJ154" s="1" t="str">
        <f t="shared" si="116"/>
        <v>WOMAN</v>
      </c>
      <c r="AK154" s="1" t="str">
        <f t="shared" si="105"/>
        <v>PA</v>
      </c>
      <c r="AP154" s="1" t="str">
        <f t="shared" si="106"/>
        <v>False</v>
      </c>
      <c r="AR154" s="1" t="str">
        <f t="shared" si="117"/>
        <v>GALAD</v>
      </c>
      <c r="AY154" s="1" t="str">
        <f t="shared" si="107"/>
        <v>PF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 t="str">
        <f t="shared" si="122"/>
        <v>D GOMMA SYNTHETIC LEATHER</v>
      </c>
      <c r="BF154" s="1" t="str">
        <f t="shared" si="108"/>
        <v>Bonis SpA</v>
      </c>
      <c r="BO154" s="1">
        <v>0</v>
      </c>
      <c r="BP154" s="1">
        <v>0</v>
      </c>
      <c r="BQ154" s="1">
        <v>0</v>
      </c>
    </row>
    <row r="155" spans="2:69" x14ac:dyDescent="0.25">
      <c r="B155" s="1">
        <v>1732</v>
      </c>
      <c r="C155" s="1" t="str">
        <f t="shared" si="120"/>
        <v>GALAD4149S6/Y1A</v>
      </c>
      <c r="D155" s="1" t="str">
        <f>"ODA16N00396-273"</f>
        <v>ODA16N00396-273</v>
      </c>
      <c r="E155" s="1" t="str">
        <f t="shared" si="110"/>
        <v>D12 USPA</v>
      </c>
      <c r="F155" s="1" t="str">
        <f t="shared" si="93"/>
        <v>BONIS SPA</v>
      </c>
      <c r="G155" s="1" t="str">
        <f t="shared" si="94"/>
        <v>STOCK TERRA MP</v>
      </c>
      <c r="H155" s="1" t="str">
        <f t="shared" si="121"/>
        <v>BRON</v>
      </c>
      <c r="J155" s="1">
        <v>1</v>
      </c>
      <c r="K155" s="1">
        <f t="shared" si="123"/>
        <v>12</v>
      </c>
      <c r="L155" s="1" t="str">
        <f t="shared" si="95"/>
        <v>01</v>
      </c>
      <c r="M155" s="1" t="str">
        <f t="shared" si="96"/>
        <v>101</v>
      </c>
      <c r="N155" s="1" t="str">
        <f t="shared" si="112"/>
        <v>001</v>
      </c>
      <c r="O155" s="1" t="str">
        <f t="shared" si="97"/>
        <v>00</v>
      </c>
      <c r="P155" s="1" t="str">
        <f t="shared" si="98"/>
        <v>S</v>
      </c>
      <c r="Q155" s="1" t="str">
        <f t="shared" si="99"/>
        <v>P</v>
      </c>
      <c r="R155" s="1" t="str">
        <f t="shared" si="100"/>
        <v>01</v>
      </c>
      <c r="S155" s="1" t="str">
        <f t="shared" si="101"/>
        <v>03</v>
      </c>
      <c r="T155" s="1" t="str">
        <f t="shared" si="102"/>
        <v>False</v>
      </c>
      <c r="U155" s="1" t="str">
        <f t="shared" si="103"/>
        <v>True</v>
      </c>
      <c r="V155" s="1" t="str">
        <f t="shared" si="113"/>
        <v>U0033395</v>
      </c>
      <c r="W155" s="1">
        <v>1</v>
      </c>
      <c r="Y155" s="1">
        <v>0</v>
      </c>
      <c r="Z155" s="1">
        <v>0</v>
      </c>
      <c r="AB155" s="1" t="str">
        <f t="shared" si="124"/>
        <v>SMU</v>
      </c>
      <c r="AD155" s="1" t="str">
        <f t="shared" si="114"/>
        <v>4520107</v>
      </c>
      <c r="AE155" s="1" t="str">
        <f t="shared" si="115"/>
        <v>DONG HUNG IND. JOINT COMPANY</v>
      </c>
      <c r="AG155" s="1">
        <v>0</v>
      </c>
      <c r="AH155" s="1">
        <v>0</v>
      </c>
      <c r="AI155" s="1" t="str">
        <f t="shared" si="104"/>
        <v>F06</v>
      </c>
      <c r="AJ155" s="1" t="str">
        <f t="shared" si="116"/>
        <v>WOMAN</v>
      </c>
      <c r="AK155" s="1" t="str">
        <f t="shared" si="105"/>
        <v>PA</v>
      </c>
      <c r="AP155" s="1" t="str">
        <f t="shared" si="106"/>
        <v>False</v>
      </c>
      <c r="AR155" s="1" t="str">
        <f t="shared" si="117"/>
        <v>GALAD</v>
      </c>
      <c r="AY155" s="1" t="str">
        <f t="shared" si="107"/>
        <v>PF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 t="str">
        <f t="shared" si="122"/>
        <v>D GOMMA SYNTHETIC LEATHER</v>
      </c>
      <c r="BF155" s="1" t="str">
        <f t="shared" si="108"/>
        <v>Bonis SpA</v>
      </c>
      <c r="BO155" s="1">
        <v>0</v>
      </c>
      <c r="BP155" s="1">
        <v>0</v>
      </c>
      <c r="BQ155" s="1">
        <v>0</v>
      </c>
    </row>
    <row r="156" spans="2:69" x14ac:dyDescent="0.25">
      <c r="B156" s="1">
        <v>1732</v>
      </c>
      <c r="C156" s="1" t="str">
        <f t="shared" si="120"/>
        <v>GALAD4149S6/Y1A</v>
      </c>
      <c r="D156" s="1" t="str">
        <f>"ODA16N00396-274"</f>
        <v>ODA16N00396-274</v>
      </c>
      <c r="E156" s="1" t="str">
        <f t="shared" si="110"/>
        <v>D12 USPA</v>
      </c>
      <c r="F156" s="1" t="str">
        <f t="shared" si="93"/>
        <v>BONIS SPA</v>
      </c>
      <c r="G156" s="1" t="str">
        <f t="shared" si="94"/>
        <v>STOCK TERRA MP</v>
      </c>
      <c r="H156" s="1" t="str">
        <f t="shared" si="121"/>
        <v>BRON</v>
      </c>
      <c r="J156" s="1">
        <v>1</v>
      </c>
      <c r="K156" s="1">
        <f t="shared" si="123"/>
        <v>12</v>
      </c>
      <c r="L156" s="1" t="str">
        <f t="shared" si="95"/>
        <v>01</v>
      </c>
      <c r="M156" s="1" t="str">
        <f t="shared" si="96"/>
        <v>101</v>
      </c>
      <c r="N156" s="1" t="str">
        <f t="shared" si="112"/>
        <v>001</v>
      </c>
      <c r="O156" s="1" t="str">
        <f t="shared" si="97"/>
        <v>00</v>
      </c>
      <c r="P156" s="1" t="str">
        <f t="shared" si="98"/>
        <v>S</v>
      </c>
      <c r="Q156" s="1" t="str">
        <f t="shared" si="99"/>
        <v>P</v>
      </c>
      <c r="R156" s="1" t="str">
        <f t="shared" si="100"/>
        <v>01</v>
      </c>
      <c r="S156" s="1" t="str">
        <f t="shared" si="101"/>
        <v>03</v>
      </c>
      <c r="T156" s="1" t="str">
        <f t="shared" si="102"/>
        <v>False</v>
      </c>
      <c r="U156" s="1" t="str">
        <f t="shared" si="103"/>
        <v>True</v>
      </c>
      <c r="V156" s="1" t="str">
        <f t="shared" si="113"/>
        <v>U0033395</v>
      </c>
      <c r="W156" s="1">
        <v>1</v>
      </c>
      <c r="Y156" s="1">
        <v>0</v>
      </c>
      <c r="Z156" s="1">
        <v>0</v>
      </c>
      <c r="AB156" s="1" t="str">
        <f t="shared" si="124"/>
        <v>SMU</v>
      </c>
      <c r="AD156" s="1" t="str">
        <f t="shared" si="114"/>
        <v>4520107</v>
      </c>
      <c r="AE156" s="1" t="str">
        <f t="shared" si="115"/>
        <v>DONG HUNG IND. JOINT COMPANY</v>
      </c>
      <c r="AG156" s="1">
        <v>0</v>
      </c>
      <c r="AH156" s="1">
        <v>0</v>
      </c>
      <c r="AI156" s="1" t="str">
        <f t="shared" si="104"/>
        <v>F06</v>
      </c>
      <c r="AJ156" s="1" t="str">
        <f t="shared" si="116"/>
        <v>WOMAN</v>
      </c>
      <c r="AK156" s="1" t="str">
        <f t="shared" si="105"/>
        <v>PA</v>
      </c>
      <c r="AP156" s="1" t="str">
        <f t="shared" si="106"/>
        <v>False</v>
      </c>
      <c r="AR156" s="1" t="str">
        <f t="shared" si="117"/>
        <v>GALAD</v>
      </c>
      <c r="AY156" s="1" t="str">
        <f t="shared" si="107"/>
        <v>PF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 t="str">
        <f t="shared" si="122"/>
        <v>D GOMMA SYNTHETIC LEATHER</v>
      </c>
      <c r="BF156" s="1" t="str">
        <f t="shared" si="108"/>
        <v>Bonis SpA</v>
      </c>
      <c r="BO156" s="1">
        <v>0</v>
      </c>
      <c r="BP156" s="1">
        <v>0</v>
      </c>
      <c r="BQ156" s="1">
        <v>0</v>
      </c>
    </row>
    <row r="157" spans="2:69" x14ac:dyDescent="0.25">
      <c r="B157" s="1">
        <v>1732</v>
      </c>
      <c r="C157" s="1" t="str">
        <f t="shared" si="120"/>
        <v>GALAD4149S6/Y1A</v>
      </c>
      <c r="D157" s="1" t="str">
        <f>"ODA16N00396-279"</f>
        <v>ODA16N00396-279</v>
      </c>
      <c r="E157" s="1" t="str">
        <f t="shared" si="110"/>
        <v>D12 USPA</v>
      </c>
      <c r="F157" s="1" t="str">
        <f t="shared" si="93"/>
        <v>BONIS SPA</v>
      </c>
      <c r="G157" s="1" t="str">
        <f t="shared" si="94"/>
        <v>STOCK TERRA MP</v>
      </c>
      <c r="H157" s="1" t="str">
        <f t="shared" si="121"/>
        <v>BRON</v>
      </c>
      <c r="J157" s="1">
        <v>1</v>
      </c>
      <c r="K157" s="1">
        <f t="shared" si="123"/>
        <v>12</v>
      </c>
      <c r="L157" s="1" t="str">
        <f t="shared" si="95"/>
        <v>01</v>
      </c>
      <c r="M157" s="1" t="str">
        <f t="shared" si="96"/>
        <v>101</v>
      </c>
      <c r="N157" s="1" t="str">
        <f t="shared" si="112"/>
        <v>001</v>
      </c>
      <c r="O157" s="1" t="str">
        <f t="shared" si="97"/>
        <v>00</v>
      </c>
      <c r="P157" s="1" t="str">
        <f t="shared" si="98"/>
        <v>S</v>
      </c>
      <c r="Q157" s="1" t="str">
        <f t="shared" si="99"/>
        <v>P</v>
      </c>
      <c r="R157" s="1" t="str">
        <f t="shared" si="100"/>
        <v>01</v>
      </c>
      <c r="S157" s="1" t="str">
        <f t="shared" si="101"/>
        <v>03</v>
      </c>
      <c r="T157" s="1" t="str">
        <f t="shared" si="102"/>
        <v>False</v>
      </c>
      <c r="U157" s="1" t="str">
        <f t="shared" si="103"/>
        <v>True</v>
      </c>
      <c r="V157" s="1" t="str">
        <f t="shared" si="113"/>
        <v>U0033395</v>
      </c>
      <c r="W157" s="1">
        <v>1</v>
      </c>
      <c r="Y157" s="1">
        <v>0</v>
      </c>
      <c r="Z157" s="1">
        <v>0</v>
      </c>
      <c r="AB157" s="1" t="str">
        <f t="shared" si="124"/>
        <v>SMU</v>
      </c>
      <c r="AD157" s="1" t="str">
        <f t="shared" si="114"/>
        <v>4520107</v>
      </c>
      <c r="AE157" s="1" t="str">
        <f t="shared" si="115"/>
        <v>DONG HUNG IND. JOINT COMPANY</v>
      </c>
      <c r="AG157" s="1">
        <v>0</v>
      </c>
      <c r="AH157" s="1">
        <v>0</v>
      </c>
      <c r="AI157" s="1" t="str">
        <f t="shared" si="104"/>
        <v>F06</v>
      </c>
      <c r="AJ157" s="1" t="str">
        <f t="shared" si="116"/>
        <v>WOMAN</v>
      </c>
      <c r="AK157" s="1" t="str">
        <f t="shared" si="105"/>
        <v>PA</v>
      </c>
      <c r="AP157" s="1" t="str">
        <f t="shared" si="106"/>
        <v>False</v>
      </c>
      <c r="AR157" s="1" t="str">
        <f t="shared" si="117"/>
        <v>GALAD</v>
      </c>
      <c r="AY157" s="1" t="str">
        <f t="shared" si="107"/>
        <v>PF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 t="str">
        <f t="shared" si="122"/>
        <v>D GOMMA SYNTHETIC LEATHER</v>
      </c>
      <c r="BF157" s="1" t="str">
        <f t="shared" si="108"/>
        <v>Bonis SpA</v>
      </c>
      <c r="BO157" s="1">
        <v>0</v>
      </c>
      <c r="BP157" s="1">
        <v>0</v>
      </c>
      <c r="BQ157" s="1">
        <v>0</v>
      </c>
    </row>
    <row r="158" spans="2:69" x14ac:dyDescent="0.25">
      <c r="B158" s="1">
        <v>1732</v>
      </c>
      <c r="C158" s="1" t="str">
        <f t="shared" si="120"/>
        <v>GALAD4149S6/Y1A</v>
      </c>
      <c r="D158" s="1" t="str">
        <f>"ODA16N00396-288"</f>
        <v>ODA16N00396-288</v>
      </c>
      <c r="E158" s="1" t="str">
        <f t="shared" si="110"/>
        <v>D12 USPA</v>
      </c>
      <c r="F158" s="1" t="str">
        <f t="shared" si="93"/>
        <v>BONIS SPA</v>
      </c>
      <c r="G158" s="1" t="str">
        <f t="shared" si="94"/>
        <v>STOCK TERRA MP</v>
      </c>
      <c r="H158" s="1" t="str">
        <f t="shared" si="121"/>
        <v>BRON</v>
      </c>
      <c r="J158" s="1">
        <v>1</v>
      </c>
      <c r="K158" s="1">
        <f t="shared" si="123"/>
        <v>12</v>
      </c>
      <c r="L158" s="1" t="str">
        <f t="shared" si="95"/>
        <v>01</v>
      </c>
      <c r="M158" s="1" t="str">
        <f t="shared" si="96"/>
        <v>101</v>
      </c>
      <c r="N158" s="1" t="str">
        <f t="shared" si="112"/>
        <v>001</v>
      </c>
      <c r="O158" s="1" t="str">
        <f t="shared" si="97"/>
        <v>00</v>
      </c>
      <c r="P158" s="1" t="str">
        <f t="shared" si="98"/>
        <v>S</v>
      </c>
      <c r="Q158" s="1" t="str">
        <f t="shared" si="99"/>
        <v>P</v>
      </c>
      <c r="R158" s="1" t="str">
        <f t="shared" si="100"/>
        <v>01</v>
      </c>
      <c r="S158" s="1" t="str">
        <f t="shared" si="101"/>
        <v>03</v>
      </c>
      <c r="T158" s="1" t="str">
        <f t="shared" si="102"/>
        <v>False</v>
      </c>
      <c r="U158" s="1" t="str">
        <f t="shared" si="103"/>
        <v>True</v>
      </c>
      <c r="V158" s="1" t="str">
        <f t="shared" si="113"/>
        <v>U0033395</v>
      </c>
      <c r="W158" s="1">
        <v>1</v>
      </c>
      <c r="Y158" s="1">
        <v>0</v>
      </c>
      <c r="Z158" s="1">
        <v>0</v>
      </c>
      <c r="AB158" s="1" t="str">
        <f t="shared" si="124"/>
        <v>SMU</v>
      </c>
      <c r="AD158" s="1" t="str">
        <f t="shared" si="114"/>
        <v>4520107</v>
      </c>
      <c r="AE158" s="1" t="str">
        <f t="shared" si="115"/>
        <v>DONG HUNG IND. JOINT COMPANY</v>
      </c>
      <c r="AG158" s="1">
        <v>0</v>
      </c>
      <c r="AH158" s="1">
        <v>0</v>
      </c>
      <c r="AI158" s="1" t="str">
        <f t="shared" si="104"/>
        <v>F06</v>
      </c>
      <c r="AJ158" s="1" t="str">
        <f t="shared" si="116"/>
        <v>WOMAN</v>
      </c>
      <c r="AK158" s="1" t="str">
        <f t="shared" si="105"/>
        <v>PA</v>
      </c>
      <c r="AP158" s="1" t="str">
        <f t="shared" si="106"/>
        <v>False</v>
      </c>
      <c r="AR158" s="1" t="str">
        <f t="shared" si="117"/>
        <v>GALAD</v>
      </c>
      <c r="AY158" s="1" t="str">
        <f t="shared" si="107"/>
        <v>PF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 t="str">
        <f t="shared" si="122"/>
        <v>D GOMMA SYNTHETIC LEATHER</v>
      </c>
      <c r="BF158" s="1" t="str">
        <f t="shared" si="108"/>
        <v>Bonis SpA</v>
      </c>
      <c r="BO158" s="1">
        <v>0</v>
      </c>
      <c r="BP158" s="1">
        <v>0</v>
      </c>
      <c r="BQ158" s="1">
        <v>0</v>
      </c>
    </row>
    <row r="159" spans="2:69" x14ac:dyDescent="0.25">
      <c r="B159" s="1">
        <v>1732</v>
      </c>
      <c r="C159" s="1" t="str">
        <f t="shared" si="120"/>
        <v>GALAD4149S6/Y1A</v>
      </c>
      <c r="D159" s="1" t="str">
        <f>"ODA16N00396-289"</f>
        <v>ODA16N00396-289</v>
      </c>
      <c r="E159" s="1" t="str">
        <f t="shared" si="110"/>
        <v>D12 USPA</v>
      </c>
      <c r="F159" s="1" t="str">
        <f t="shared" si="93"/>
        <v>BONIS SPA</v>
      </c>
      <c r="G159" s="1" t="str">
        <f t="shared" si="94"/>
        <v>STOCK TERRA MP</v>
      </c>
      <c r="H159" s="1" t="str">
        <f t="shared" si="121"/>
        <v>BRON</v>
      </c>
      <c r="J159" s="1">
        <v>1</v>
      </c>
      <c r="K159" s="1">
        <f t="shared" si="123"/>
        <v>12</v>
      </c>
      <c r="L159" s="1" t="str">
        <f t="shared" si="95"/>
        <v>01</v>
      </c>
      <c r="M159" s="1" t="str">
        <f t="shared" si="96"/>
        <v>101</v>
      </c>
      <c r="N159" s="1" t="str">
        <f t="shared" si="112"/>
        <v>001</v>
      </c>
      <c r="O159" s="1" t="str">
        <f t="shared" si="97"/>
        <v>00</v>
      </c>
      <c r="P159" s="1" t="str">
        <f t="shared" si="98"/>
        <v>S</v>
      </c>
      <c r="Q159" s="1" t="str">
        <f t="shared" si="99"/>
        <v>P</v>
      </c>
      <c r="R159" s="1" t="str">
        <f t="shared" si="100"/>
        <v>01</v>
      </c>
      <c r="S159" s="1" t="str">
        <f t="shared" si="101"/>
        <v>03</v>
      </c>
      <c r="T159" s="1" t="str">
        <f t="shared" si="102"/>
        <v>False</v>
      </c>
      <c r="U159" s="1" t="str">
        <f t="shared" si="103"/>
        <v>True</v>
      </c>
      <c r="V159" s="1" t="str">
        <f t="shared" si="113"/>
        <v>U0033395</v>
      </c>
      <c r="W159" s="1">
        <v>1</v>
      </c>
      <c r="Y159" s="1">
        <v>0</v>
      </c>
      <c r="Z159" s="1">
        <v>0</v>
      </c>
      <c r="AB159" s="1" t="str">
        <f t="shared" si="124"/>
        <v>SMU</v>
      </c>
      <c r="AD159" s="1" t="str">
        <f t="shared" si="114"/>
        <v>4520107</v>
      </c>
      <c r="AE159" s="1" t="str">
        <f t="shared" si="115"/>
        <v>DONG HUNG IND. JOINT COMPANY</v>
      </c>
      <c r="AG159" s="1">
        <v>0</v>
      </c>
      <c r="AH159" s="1">
        <v>0</v>
      </c>
      <c r="AI159" s="1" t="str">
        <f t="shared" si="104"/>
        <v>F06</v>
      </c>
      <c r="AJ159" s="1" t="str">
        <f t="shared" si="116"/>
        <v>WOMAN</v>
      </c>
      <c r="AK159" s="1" t="str">
        <f t="shared" si="105"/>
        <v>PA</v>
      </c>
      <c r="AP159" s="1" t="str">
        <f t="shared" si="106"/>
        <v>False</v>
      </c>
      <c r="AR159" s="1" t="str">
        <f t="shared" si="117"/>
        <v>GALAD</v>
      </c>
      <c r="AY159" s="1" t="str">
        <f t="shared" si="107"/>
        <v>PF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 t="str">
        <f t="shared" si="122"/>
        <v>D GOMMA SYNTHETIC LEATHER</v>
      </c>
      <c r="BF159" s="1" t="str">
        <f t="shared" si="108"/>
        <v>Bonis SpA</v>
      </c>
      <c r="BO159" s="1">
        <v>0</v>
      </c>
      <c r="BP159" s="1">
        <v>0</v>
      </c>
      <c r="BQ159" s="1">
        <v>0</v>
      </c>
    </row>
    <row r="160" spans="2:69" x14ac:dyDescent="0.25">
      <c r="B160" s="1">
        <v>1732</v>
      </c>
      <c r="C160" s="1" t="str">
        <f t="shared" si="120"/>
        <v>GALAD4149S6/Y1A</v>
      </c>
      <c r="D160" s="1" t="str">
        <f>"ODA16N00396-290"</f>
        <v>ODA16N00396-290</v>
      </c>
      <c r="E160" s="1" t="str">
        <f t="shared" si="110"/>
        <v>D12 USPA</v>
      </c>
      <c r="F160" s="1" t="str">
        <f t="shared" si="93"/>
        <v>BONIS SPA</v>
      </c>
      <c r="G160" s="1" t="str">
        <f t="shared" si="94"/>
        <v>STOCK TERRA MP</v>
      </c>
      <c r="H160" s="1" t="str">
        <f t="shared" si="121"/>
        <v>BRON</v>
      </c>
      <c r="J160" s="1">
        <v>1</v>
      </c>
      <c r="K160" s="1">
        <f t="shared" si="123"/>
        <v>12</v>
      </c>
      <c r="L160" s="1" t="str">
        <f t="shared" si="95"/>
        <v>01</v>
      </c>
      <c r="M160" s="1" t="str">
        <f t="shared" si="96"/>
        <v>101</v>
      </c>
      <c r="N160" s="1" t="str">
        <f t="shared" si="112"/>
        <v>001</v>
      </c>
      <c r="O160" s="1" t="str">
        <f t="shared" si="97"/>
        <v>00</v>
      </c>
      <c r="P160" s="1" t="str">
        <f t="shared" si="98"/>
        <v>S</v>
      </c>
      <c r="Q160" s="1" t="str">
        <f t="shared" si="99"/>
        <v>P</v>
      </c>
      <c r="R160" s="1" t="str">
        <f t="shared" si="100"/>
        <v>01</v>
      </c>
      <c r="S160" s="1" t="str">
        <f t="shared" si="101"/>
        <v>03</v>
      </c>
      <c r="T160" s="1" t="str">
        <f t="shared" si="102"/>
        <v>False</v>
      </c>
      <c r="U160" s="1" t="str">
        <f t="shared" si="103"/>
        <v>True</v>
      </c>
      <c r="V160" s="1" t="str">
        <f t="shared" si="113"/>
        <v>U0033395</v>
      </c>
      <c r="W160" s="1">
        <v>1</v>
      </c>
      <c r="Y160" s="1">
        <v>0</v>
      </c>
      <c r="Z160" s="1">
        <v>0</v>
      </c>
      <c r="AB160" s="1" t="str">
        <f t="shared" si="124"/>
        <v>SMU</v>
      </c>
      <c r="AD160" s="1" t="str">
        <f t="shared" si="114"/>
        <v>4520107</v>
      </c>
      <c r="AE160" s="1" t="str">
        <f t="shared" si="115"/>
        <v>DONG HUNG IND. JOINT COMPANY</v>
      </c>
      <c r="AG160" s="1">
        <v>0</v>
      </c>
      <c r="AH160" s="1">
        <v>0</v>
      </c>
      <c r="AI160" s="1" t="str">
        <f t="shared" si="104"/>
        <v>F06</v>
      </c>
      <c r="AJ160" s="1" t="str">
        <f t="shared" si="116"/>
        <v>WOMAN</v>
      </c>
      <c r="AK160" s="1" t="str">
        <f t="shared" si="105"/>
        <v>PA</v>
      </c>
      <c r="AP160" s="1" t="str">
        <f t="shared" si="106"/>
        <v>False</v>
      </c>
      <c r="AR160" s="1" t="str">
        <f t="shared" si="117"/>
        <v>GALAD</v>
      </c>
      <c r="AY160" s="1" t="str">
        <f t="shared" si="107"/>
        <v>PF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 t="str">
        <f t="shared" si="122"/>
        <v>D GOMMA SYNTHETIC LEATHER</v>
      </c>
      <c r="BF160" s="1" t="str">
        <f t="shared" si="108"/>
        <v>Bonis SpA</v>
      </c>
      <c r="BO160" s="1">
        <v>0</v>
      </c>
      <c r="BP160" s="1">
        <v>0</v>
      </c>
      <c r="BQ160" s="1">
        <v>0</v>
      </c>
    </row>
    <row r="161" spans="2:69" x14ac:dyDescent="0.25">
      <c r="B161" s="1">
        <v>1732</v>
      </c>
      <c r="C161" s="1" t="str">
        <f t="shared" si="120"/>
        <v>GALAD4149S6/Y1A</v>
      </c>
      <c r="D161" s="1" t="str">
        <f>"ODA16N00396-297"</f>
        <v>ODA16N00396-297</v>
      </c>
      <c r="E161" s="1" t="str">
        <f t="shared" si="110"/>
        <v>D12 USPA</v>
      </c>
      <c r="F161" s="1" t="str">
        <f t="shared" si="93"/>
        <v>BONIS SPA</v>
      </c>
      <c r="G161" s="1" t="str">
        <f t="shared" si="94"/>
        <v>STOCK TERRA MP</v>
      </c>
      <c r="H161" s="1" t="str">
        <f t="shared" si="121"/>
        <v>BRON</v>
      </c>
      <c r="J161" s="1">
        <v>1</v>
      </c>
      <c r="K161" s="1">
        <f t="shared" si="123"/>
        <v>12</v>
      </c>
      <c r="L161" s="1" t="str">
        <f t="shared" si="95"/>
        <v>01</v>
      </c>
      <c r="M161" s="1" t="str">
        <f t="shared" si="96"/>
        <v>101</v>
      </c>
      <c r="N161" s="1" t="str">
        <f t="shared" si="112"/>
        <v>001</v>
      </c>
      <c r="O161" s="1" t="str">
        <f t="shared" si="97"/>
        <v>00</v>
      </c>
      <c r="P161" s="1" t="str">
        <f t="shared" si="98"/>
        <v>S</v>
      </c>
      <c r="Q161" s="1" t="str">
        <f t="shared" si="99"/>
        <v>P</v>
      </c>
      <c r="R161" s="1" t="str">
        <f t="shared" si="100"/>
        <v>01</v>
      </c>
      <c r="S161" s="1" t="str">
        <f t="shared" si="101"/>
        <v>03</v>
      </c>
      <c r="T161" s="1" t="str">
        <f t="shared" si="102"/>
        <v>False</v>
      </c>
      <c r="U161" s="1" t="str">
        <f t="shared" si="103"/>
        <v>True</v>
      </c>
      <c r="V161" s="1" t="str">
        <f t="shared" si="113"/>
        <v>U0033395</v>
      </c>
      <c r="W161" s="1">
        <v>1</v>
      </c>
      <c r="Y161" s="1">
        <v>0</v>
      </c>
      <c r="Z161" s="1">
        <v>0</v>
      </c>
      <c r="AB161" s="1" t="str">
        <f t="shared" si="124"/>
        <v>SMU</v>
      </c>
      <c r="AD161" s="1" t="str">
        <f t="shared" si="114"/>
        <v>4520107</v>
      </c>
      <c r="AE161" s="1" t="str">
        <f t="shared" si="115"/>
        <v>DONG HUNG IND. JOINT COMPANY</v>
      </c>
      <c r="AG161" s="1">
        <v>0</v>
      </c>
      <c r="AH161" s="1">
        <v>0</v>
      </c>
      <c r="AI161" s="1" t="str">
        <f t="shared" si="104"/>
        <v>F06</v>
      </c>
      <c r="AJ161" s="1" t="str">
        <f t="shared" si="116"/>
        <v>WOMAN</v>
      </c>
      <c r="AK161" s="1" t="str">
        <f t="shared" si="105"/>
        <v>PA</v>
      </c>
      <c r="AP161" s="1" t="str">
        <f t="shared" si="106"/>
        <v>False</v>
      </c>
      <c r="AR161" s="1" t="str">
        <f t="shared" si="117"/>
        <v>GALAD</v>
      </c>
      <c r="AY161" s="1" t="str">
        <f t="shared" si="107"/>
        <v>PF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 t="str">
        <f t="shared" si="122"/>
        <v>D GOMMA SYNTHETIC LEATHER</v>
      </c>
      <c r="BF161" s="1" t="str">
        <f t="shared" si="108"/>
        <v>Bonis SpA</v>
      </c>
      <c r="BO161" s="1">
        <v>0</v>
      </c>
      <c r="BP161" s="1">
        <v>0</v>
      </c>
      <c r="BQ161" s="1">
        <v>0</v>
      </c>
    </row>
    <row r="162" spans="2:69" x14ac:dyDescent="0.25">
      <c r="B162" s="1">
        <v>1732</v>
      </c>
      <c r="C162" s="1" t="str">
        <f t="shared" si="120"/>
        <v>GALAD4149S6/Y1A</v>
      </c>
      <c r="D162" s="1" t="str">
        <f>"ODA16N00396-302"</f>
        <v>ODA16N00396-302</v>
      </c>
      <c r="E162" s="1" t="str">
        <f t="shared" si="110"/>
        <v>D12 USPA</v>
      </c>
      <c r="F162" s="1" t="str">
        <f t="shared" si="93"/>
        <v>BONIS SPA</v>
      </c>
      <c r="G162" s="1" t="str">
        <f t="shared" si="94"/>
        <v>STOCK TERRA MP</v>
      </c>
      <c r="H162" s="1" t="str">
        <f t="shared" ref="H162:H170" si="125">"PLAT"</f>
        <v>PLAT</v>
      </c>
      <c r="J162" s="1">
        <v>1</v>
      </c>
      <c r="K162" s="1">
        <f t="shared" si="123"/>
        <v>12</v>
      </c>
      <c r="L162" s="1" t="str">
        <f t="shared" si="95"/>
        <v>01</v>
      </c>
      <c r="M162" s="1" t="str">
        <f t="shared" si="96"/>
        <v>101</v>
      </c>
      <c r="N162" s="1" t="str">
        <f t="shared" si="112"/>
        <v>001</v>
      </c>
      <c r="O162" s="1" t="str">
        <f t="shared" si="97"/>
        <v>00</v>
      </c>
      <c r="P162" s="1" t="str">
        <f t="shared" si="98"/>
        <v>S</v>
      </c>
      <c r="Q162" s="1" t="str">
        <f t="shared" si="99"/>
        <v>P</v>
      </c>
      <c r="R162" s="1" t="str">
        <f t="shared" si="100"/>
        <v>01</v>
      </c>
      <c r="S162" s="1" t="str">
        <f t="shared" si="101"/>
        <v>03</v>
      </c>
      <c r="T162" s="1" t="str">
        <f t="shared" si="102"/>
        <v>False</v>
      </c>
      <c r="U162" s="1" t="str">
        <f t="shared" si="103"/>
        <v>True</v>
      </c>
      <c r="V162" s="1" t="str">
        <f t="shared" si="113"/>
        <v>U0033395</v>
      </c>
      <c r="W162" s="1">
        <v>1</v>
      </c>
      <c r="Y162" s="1">
        <v>0</v>
      </c>
      <c r="Z162" s="1">
        <v>0</v>
      </c>
      <c r="AB162" s="1" t="str">
        <f t="shared" si="124"/>
        <v>SMU</v>
      </c>
      <c r="AD162" s="1" t="str">
        <f t="shared" si="114"/>
        <v>4520107</v>
      </c>
      <c r="AE162" s="1" t="str">
        <f t="shared" si="115"/>
        <v>DONG HUNG IND. JOINT COMPANY</v>
      </c>
      <c r="AG162" s="1">
        <v>0</v>
      </c>
      <c r="AH162" s="1">
        <v>0</v>
      </c>
      <c r="AI162" s="1" t="str">
        <f t="shared" si="104"/>
        <v>F06</v>
      </c>
      <c r="AJ162" s="1" t="str">
        <f t="shared" si="116"/>
        <v>WOMAN</v>
      </c>
      <c r="AK162" s="1" t="str">
        <f t="shared" si="105"/>
        <v>PA</v>
      </c>
      <c r="AP162" s="1" t="str">
        <f t="shared" si="106"/>
        <v>False</v>
      </c>
      <c r="AR162" s="1" t="str">
        <f t="shared" si="117"/>
        <v>GALAD</v>
      </c>
      <c r="AY162" s="1" t="str">
        <f t="shared" si="107"/>
        <v>PF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 t="str">
        <f t="shared" si="122"/>
        <v>D GOMMA SYNTHETIC LEATHER</v>
      </c>
      <c r="BF162" s="1" t="str">
        <f t="shared" si="108"/>
        <v>Bonis SpA</v>
      </c>
      <c r="BO162" s="1">
        <v>0</v>
      </c>
      <c r="BP162" s="1">
        <v>0</v>
      </c>
      <c r="BQ162" s="1">
        <v>0</v>
      </c>
    </row>
    <row r="163" spans="2:69" x14ac:dyDescent="0.25">
      <c r="B163" s="1">
        <v>1732</v>
      </c>
      <c r="C163" s="1" t="str">
        <f t="shared" si="120"/>
        <v>GALAD4149S6/Y1A</v>
      </c>
      <c r="D163" s="1" t="str">
        <f>"ODA16N00396-304"</f>
        <v>ODA16N00396-304</v>
      </c>
      <c r="E163" s="1" t="str">
        <f t="shared" si="110"/>
        <v>D12 USPA</v>
      </c>
      <c r="F163" s="1" t="str">
        <f t="shared" si="93"/>
        <v>BONIS SPA</v>
      </c>
      <c r="G163" s="1" t="str">
        <f t="shared" si="94"/>
        <v>STOCK TERRA MP</v>
      </c>
      <c r="H163" s="1" t="str">
        <f t="shared" si="125"/>
        <v>PLAT</v>
      </c>
      <c r="J163" s="1">
        <v>1</v>
      </c>
      <c r="K163" s="1">
        <f t="shared" si="123"/>
        <v>12</v>
      </c>
      <c r="L163" s="1" t="str">
        <f t="shared" si="95"/>
        <v>01</v>
      </c>
      <c r="M163" s="1" t="str">
        <f t="shared" si="96"/>
        <v>101</v>
      </c>
      <c r="N163" s="1" t="str">
        <f t="shared" si="112"/>
        <v>001</v>
      </c>
      <c r="O163" s="1" t="str">
        <f t="shared" si="97"/>
        <v>00</v>
      </c>
      <c r="P163" s="1" t="str">
        <f t="shared" si="98"/>
        <v>S</v>
      </c>
      <c r="Q163" s="1" t="str">
        <f t="shared" si="99"/>
        <v>P</v>
      </c>
      <c r="R163" s="1" t="str">
        <f t="shared" si="100"/>
        <v>01</v>
      </c>
      <c r="S163" s="1" t="str">
        <f t="shared" si="101"/>
        <v>03</v>
      </c>
      <c r="T163" s="1" t="str">
        <f t="shared" si="102"/>
        <v>False</v>
      </c>
      <c r="U163" s="1" t="str">
        <f t="shared" si="103"/>
        <v>True</v>
      </c>
      <c r="V163" s="1" t="str">
        <f t="shared" si="113"/>
        <v>U0033395</v>
      </c>
      <c r="W163" s="1">
        <v>1</v>
      </c>
      <c r="Y163" s="1">
        <v>0</v>
      </c>
      <c r="Z163" s="1">
        <v>0</v>
      </c>
      <c r="AB163" s="1" t="str">
        <f t="shared" si="124"/>
        <v>SMU</v>
      </c>
      <c r="AD163" s="1" t="str">
        <f t="shared" si="114"/>
        <v>4520107</v>
      </c>
      <c r="AE163" s="1" t="str">
        <f t="shared" si="115"/>
        <v>DONG HUNG IND. JOINT COMPANY</v>
      </c>
      <c r="AG163" s="1">
        <v>0</v>
      </c>
      <c r="AH163" s="1">
        <v>0</v>
      </c>
      <c r="AI163" s="1" t="str">
        <f t="shared" si="104"/>
        <v>F06</v>
      </c>
      <c r="AJ163" s="1" t="str">
        <f t="shared" si="116"/>
        <v>WOMAN</v>
      </c>
      <c r="AK163" s="1" t="str">
        <f t="shared" si="105"/>
        <v>PA</v>
      </c>
      <c r="AP163" s="1" t="str">
        <f t="shared" si="106"/>
        <v>False</v>
      </c>
      <c r="AR163" s="1" t="str">
        <f t="shared" si="117"/>
        <v>GALAD</v>
      </c>
      <c r="AY163" s="1" t="str">
        <f t="shared" si="107"/>
        <v>PF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 t="str">
        <f t="shared" si="122"/>
        <v>D GOMMA SYNTHETIC LEATHER</v>
      </c>
      <c r="BF163" s="1" t="str">
        <f t="shared" si="108"/>
        <v>Bonis SpA</v>
      </c>
      <c r="BO163" s="1">
        <v>0</v>
      </c>
      <c r="BP163" s="1">
        <v>0</v>
      </c>
      <c r="BQ163" s="1">
        <v>0</v>
      </c>
    </row>
    <row r="164" spans="2:69" x14ac:dyDescent="0.25">
      <c r="B164" s="1">
        <v>1732</v>
      </c>
      <c r="C164" s="1" t="str">
        <f t="shared" si="120"/>
        <v>GALAD4149S6/Y1A</v>
      </c>
      <c r="D164" s="1" t="str">
        <f>"ODA16N00396-332"</f>
        <v>ODA16N00396-332</v>
      </c>
      <c r="E164" s="1" t="str">
        <f t="shared" si="110"/>
        <v>D12 USPA</v>
      </c>
      <c r="F164" s="1" t="str">
        <f t="shared" si="93"/>
        <v>BONIS SPA</v>
      </c>
      <c r="G164" s="1" t="str">
        <f t="shared" si="94"/>
        <v>STOCK TERRA MP</v>
      </c>
      <c r="H164" s="1" t="str">
        <f t="shared" si="125"/>
        <v>PLAT</v>
      </c>
      <c r="J164" s="1">
        <v>1</v>
      </c>
      <c r="K164" s="1">
        <f t="shared" si="123"/>
        <v>12</v>
      </c>
      <c r="L164" s="1" t="str">
        <f t="shared" si="95"/>
        <v>01</v>
      </c>
      <c r="M164" s="1" t="str">
        <f t="shared" si="96"/>
        <v>101</v>
      </c>
      <c r="N164" s="1" t="str">
        <f t="shared" si="112"/>
        <v>001</v>
      </c>
      <c r="O164" s="1" t="str">
        <f t="shared" si="97"/>
        <v>00</v>
      </c>
      <c r="P164" s="1" t="str">
        <f t="shared" si="98"/>
        <v>S</v>
      </c>
      <c r="Q164" s="1" t="str">
        <f t="shared" si="99"/>
        <v>P</v>
      </c>
      <c r="R164" s="1" t="str">
        <f t="shared" si="100"/>
        <v>01</v>
      </c>
      <c r="S164" s="1" t="str">
        <f t="shared" si="101"/>
        <v>03</v>
      </c>
      <c r="T164" s="1" t="str">
        <f t="shared" si="102"/>
        <v>False</v>
      </c>
      <c r="U164" s="1" t="str">
        <f t="shared" si="103"/>
        <v>True</v>
      </c>
      <c r="V164" s="1" t="str">
        <f t="shared" si="113"/>
        <v>U0033395</v>
      </c>
      <c r="W164" s="1">
        <v>1</v>
      </c>
      <c r="Y164" s="1">
        <v>0</v>
      </c>
      <c r="Z164" s="1">
        <v>0</v>
      </c>
      <c r="AB164" s="1" t="str">
        <f t="shared" si="124"/>
        <v>SMU</v>
      </c>
      <c r="AD164" s="1" t="str">
        <f t="shared" si="114"/>
        <v>4520107</v>
      </c>
      <c r="AE164" s="1" t="str">
        <f t="shared" si="115"/>
        <v>DONG HUNG IND. JOINT COMPANY</v>
      </c>
      <c r="AG164" s="1">
        <v>0</v>
      </c>
      <c r="AH164" s="1">
        <v>0</v>
      </c>
      <c r="AI164" s="1" t="str">
        <f t="shared" si="104"/>
        <v>F06</v>
      </c>
      <c r="AJ164" s="1" t="str">
        <f t="shared" si="116"/>
        <v>WOMAN</v>
      </c>
      <c r="AK164" s="1" t="str">
        <f t="shared" si="105"/>
        <v>PA</v>
      </c>
      <c r="AP164" s="1" t="str">
        <f t="shared" si="106"/>
        <v>False</v>
      </c>
      <c r="AR164" s="1" t="str">
        <f t="shared" si="117"/>
        <v>GALAD</v>
      </c>
      <c r="AY164" s="1" t="str">
        <f t="shared" si="107"/>
        <v>PF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 t="str">
        <f t="shared" si="122"/>
        <v>D GOMMA SYNTHETIC LEATHER</v>
      </c>
      <c r="BF164" s="1" t="str">
        <f t="shared" si="108"/>
        <v>Bonis SpA</v>
      </c>
      <c r="BO164" s="1">
        <v>0</v>
      </c>
      <c r="BP164" s="1">
        <v>0</v>
      </c>
      <c r="BQ164" s="1">
        <v>0</v>
      </c>
    </row>
    <row r="165" spans="2:69" x14ac:dyDescent="0.25">
      <c r="B165" s="1">
        <v>1732</v>
      </c>
      <c r="C165" s="1" t="str">
        <f t="shared" si="120"/>
        <v>GALAD4149S6/Y1A</v>
      </c>
      <c r="D165" s="1" t="str">
        <f>"ODA16N00396-342"</f>
        <v>ODA16N00396-342</v>
      </c>
      <c r="E165" s="1" t="str">
        <f t="shared" si="110"/>
        <v>D12 USPA</v>
      </c>
      <c r="F165" s="1" t="str">
        <f t="shared" si="93"/>
        <v>BONIS SPA</v>
      </c>
      <c r="G165" s="1" t="str">
        <f t="shared" si="94"/>
        <v>STOCK TERRA MP</v>
      </c>
      <c r="H165" s="1" t="str">
        <f t="shared" si="125"/>
        <v>PLAT</v>
      </c>
      <c r="J165" s="1">
        <v>1</v>
      </c>
      <c r="K165" s="1">
        <f t="shared" si="123"/>
        <v>12</v>
      </c>
      <c r="L165" s="1" t="str">
        <f t="shared" si="95"/>
        <v>01</v>
      </c>
      <c r="M165" s="1" t="str">
        <f t="shared" si="96"/>
        <v>101</v>
      </c>
      <c r="N165" s="1" t="str">
        <f t="shared" si="112"/>
        <v>001</v>
      </c>
      <c r="O165" s="1" t="str">
        <f t="shared" si="97"/>
        <v>00</v>
      </c>
      <c r="P165" s="1" t="str">
        <f t="shared" si="98"/>
        <v>S</v>
      </c>
      <c r="Q165" s="1" t="str">
        <f t="shared" si="99"/>
        <v>P</v>
      </c>
      <c r="R165" s="1" t="str">
        <f t="shared" si="100"/>
        <v>01</v>
      </c>
      <c r="S165" s="1" t="str">
        <f t="shared" si="101"/>
        <v>03</v>
      </c>
      <c r="T165" s="1" t="str">
        <f t="shared" si="102"/>
        <v>False</v>
      </c>
      <c r="U165" s="1" t="str">
        <f t="shared" si="103"/>
        <v>True</v>
      </c>
      <c r="V165" s="1" t="str">
        <f t="shared" si="113"/>
        <v>U0033395</v>
      </c>
      <c r="W165" s="1">
        <v>1</v>
      </c>
      <c r="Y165" s="1">
        <v>0</v>
      </c>
      <c r="Z165" s="1">
        <v>0</v>
      </c>
      <c r="AB165" s="1" t="str">
        <f t="shared" si="124"/>
        <v>SMU</v>
      </c>
      <c r="AD165" s="1" t="str">
        <f t="shared" si="114"/>
        <v>4520107</v>
      </c>
      <c r="AE165" s="1" t="str">
        <f t="shared" si="115"/>
        <v>DONG HUNG IND. JOINT COMPANY</v>
      </c>
      <c r="AG165" s="1">
        <v>0</v>
      </c>
      <c r="AH165" s="1">
        <v>0</v>
      </c>
      <c r="AI165" s="1" t="str">
        <f t="shared" si="104"/>
        <v>F06</v>
      </c>
      <c r="AJ165" s="1" t="str">
        <f t="shared" si="116"/>
        <v>WOMAN</v>
      </c>
      <c r="AK165" s="1" t="str">
        <f t="shared" si="105"/>
        <v>PA</v>
      </c>
      <c r="AP165" s="1" t="str">
        <f t="shared" si="106"/>
        <v>False</v>
      </c>
      <c r="AR165" s="1" t="str">
        <f t="shared" si="117"/>
        <v>GALAD</v>
      </c>
      <c r="AY165" s="1" t="str">
        <f t="shared" si="107"/>
        <v>PF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 t="str">
        <f t="shared" si="122"/>
        <v>D GOMMA SYNTHETIC LEATHER</v>
      </c>
      <c r="BF165" s="1" t="str">
        <f t="shared" si="108"/>
        <v>Bonis SpA</v>
      </c>
      <c r="BO165" s="1">
        <v>0</v>
      </c>
      <c r="BP165" s="1">
        <v>0</v>
      </c>
      <c r="BQ165" s="1">
        <v>0</v>
      </c>
    </row>
    <row r="166" spans="2:69" x14ac:dyDescent="0.25">
      <c r="B166" s="1">
        <v>1732</v>
      </c>
      <c r="C166" s="1" t="str">
        <f t="shared" si="120"/>
        <v>GALAD4149S6/Y1A</v>
      </c>
      <c r="D166" s="1" t="str">
        <f>"ODA16N00396-344"</f>
        <v>ODA16N00396-344</v>
      </c>
      <c r="E166" s="1" t="str">
        <f t="shared" si="110"/>
        <v>D12 USPA</v>
      </c>
      <c r="F166" s="1" t="str">
        <f t="shared" si="93"/>
        <v>BONIS SPA</v>
      </c>
      <c r="G166" s="1" t="str">
        <f t="shared" si="94"/>
        <v>STOCK TERRA MP</v>
      </c>
      <c r="H166" s="1" t="str">
        <f t="shared" si="125"/>
        <v>PLAT</v>
      </c>
      <c r="J166" s="1">
        <v>1</v>
      </c>
      <c r="K166" s="1">
        <f t="shared" si="123"/>
        <v>12</v>
      </c>
      <c r="L166" s="1" t="str">
        <f t="shared" si="95"/>
        <v>01</v>
      </c>
      <c r="M166" s="1" t="str">
        <f t="shared" si="96"/>
        <v>101</v>
      </c>
      <c r="N166" s="1" t="str">
        <f t="shared" si="112"/>
        <v>001</v>
      </c>
      <c r="O166" s="1" t="str">
        <f t="shared" si="97"/>
        <v>00</v>
      </c>
      <c r="P166" s="1" t="str">
        <f t="shared" si="98"/>
        <v>S</v>
      </c>
      <c r="Q166" s="1" t="str">
        <f t="shared" si="99"/>
        <v>P</v>
      </c>
      <c r="R166" s="1" t="str">
        <f t="shared" si="100"/>
        <v>01</v>
      </c>
      <c r="S166" s="1" t="str">
        <f t="shared" si="101"/>
        <v>03</v>
      </c>
      <c r="T166" s="1" t="str">
        <f t="shared" si="102"/>
        <v>False</v>
      </c>
      <c r="U166" s="1" t="str">
        <f t="shared" si="103"/>
        <v>True</v>
      </c>
      <c r="V166" s="1" t="str">
        <f t="shared" si="113"/>
        <v>U0033395</v>
      </c>
      <c r="W166" s="1">
        <v>1</v>
      </c>
      <c r="Y166" s="1">
        <v>0</v>
      </c>
      <c r="Z166" s="1">
        <v>0</v>
      </c>
      <c r="AB166" s="1" t="str">
        <f t="shared" si="124"/>
        <v>SMU</v>
      </c>
      <c r="AD166" s="1" t="str">
        <f t="shared" si="114"/>
        <v>4520107</v>
      </c>
      <c r="AE166" s="1" t="str">
        <f t="shared" si="115"/>
        <v>DONG HUNG IND. JOINT COMPANY</v>
      </c>
      <c r="AG166" s="1">
        <v>0</v>
      </c>
      <c r="AH166" s="1">
        <v>0</v>
      </c>
      <c r="AI166" s="1" t="str">
        <f t="shared" si="104"/>
        <v>F06</v>
      </c>
      <c r="AJ166" s="1" t="str">
        <f t="shared" si="116"/>
        <v>WOMAN</v>
      </c>
      <c r="AK166" s="1" t="str">
        <f t="shared" si="105"/>
        <v>PA</v>
      </c>
      <c r="AP166" s="1" t="str">
        <f t="shared" si="106"/>
        <v>False</v>
      </c>
      <c r="AR166" s="1" t="str">
        <f t="shared" si="117"/>
        <v>GALAD</v>
      </c>
      <c r="AY166" s="1" t="str">
        <f t="shared" si="107"/>
        <v>PF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 t="str">
        <f t="shared" si="122"/>
        <v>D GOMMA SYNTHETIC LEATHER</v>
      </c>
      <c r="BF166" s="1" t="str">
        <f t="shared" si="108"/>
        <v>Bonis SpA</v>
      </c>
      <c r="BO166" s="1">
        <v>0</v>
      </c>
      <c r="BP166" s="1">
        <v>0</v>
      </c>
      <c r="BQ166" s="1">
        <v>0</v>
      </c>
    </row>
    <row r="167" spans="2:69" x14ac:dyDescent="0.25">
      <c r="B167" s="1">
        <v>1732</v>
      </c>
      <c r="C167" s="1" t="str">
        <f t="shared" si="120"/>
        <v>GALAD4149S6/Y1A</v>
      </c>
      <c r="D167" s="1" t="str">
        <f>"ODA16N00396-346"</f>
        <v>ODA16N00396-346</v>
      </c>
      <c r="E167" s="1" t="str">
        <f t="shared" si="110"/>
        <v>D12 USPA</v>
      </c>
      <c r="F167" s="1" t="str">
        <f t="shared" si="93"/>
        <v>BONIS SPA</v>
      </c>
      <c r="G167" s="1" t="str">
        <f t="shared" si="94"/>
        <v>STOCK TERRA MP</v>
      </c>
      <c r="H167" s="1" t="str">
        <f t="shared" si="125"/>
        <v>PLAT</v>
      </c>
      <c r="J167" s="1">
        <v>1</v>
      </c>
      <c r="K167" s="1">
        <f t="shared" si="123"/>
        <v>12</v>
      </c>
      <c r="L167" s="1" t="str">
        <f t="shared" si="95"/>
        <v>01</v>
      </c>
      <c r="M167" s="1" t="str">
        <f t="shared" si="96"/>
        <v>101</v>
      </c>
      <c r="N167" s="1" t="str">
        <f t="shared" si="112"/>
        <v>001</v>
      </c>
      <c r="O167" s="1" t="str">
        <f t="shared" si="97"/>
        <v>00</v>
      </c>
      <c r="P167" s="1" t="str">
        <f t="shared" si="98"/>
        <v>S</v>
      </c>
      <c r="Q167" s="1" t="str">
        <f t="shared" si="99"/>
        <v>P</v>
      </c>
      <c r="R167" s="1" t="str">
        <f t="shared" si="100"/>
        <v>01</v>
      </c>
      <c r="S167" s="1" t="str">
        <f t="shared" si="101"/>
        <v>03</v>
      </c>
      <c r="T167" s="1" t="str">
        <f t="shared" si="102"/>
        <v>False</v>
      </c>
      <c r="U167" s="1" t="str">
        <f t="shared" si="103"/>
        <v>True</v>
      </c>
      <c r="V167" s="1" t="str">
        <f t="shared" si="113"/>
        <v>U0033395</v>
      </c>
      <c r="W167" s="1">
        <v>1</v>
      </c>
      <c r="Y167" s="1">
        <v>0</v>
      </c>
      <c r="Z167" s="1">
        <v>0</v>
      </c>
      <c r="AB167" s="1" t="str">
        <f t="shared" si="124"/>
        <v>SMU</v>
      </c>
      <c r="AD167" s="1" t="str">
        <f t="shared" si="114"/>
        <v>4520107</v>
      </c>
      <c r="AE167" s="1" t="str">
        <f t="shared" si="115"/>
        <v>DONG HUNG IND. JOINT COMPANY</v>
      </c>
      <c r="AG167" s="1">
        <v>0</v>
      </c>
      <c r="AH167" s="1">
        <v>0</v>
      </c>
      <c r="AI167" s="1" t="str">
        <f t="shared" si="104"/>
        <v>F06</v>
      </c>
      <c r="AJ167" s="1" t="str">
        <f t="shared" si="116"/>
        <v>WOMAN</v>
      </c>
      <c r="AK167" s="1" t="str">
        <f t="shared" si="105"/>
        <v>PA</v>
      </c>
      <c r="AP167" s="1" t="str">
        <f t="shared" si="106"/>
        <v>False</v>
      </c>
      <c r="AR167" s="1" t="str">
        <f t="shared" si="117"/>
        <v>GALAD</v>
      </c>
      <c r="AY167" s="1" t="str">
        <f t="shared" si="107"/>
        <v>PF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 t="str">
        <f t="shared" si="122"/>
        <v>D GOMMA SYNTHETIC LEATHER</v>
      </c>
      <c r="BF167" s="1" t="str">
        <f t="shared" si="108"/>
        <v>Bonis SpA</v>
      </c>
      <c r="BO167" s="1">
        <v>0</v>
      </c>
      <c r="BP167" s="1">
        <v>0</v>
      </c>
      <c r="BQ167" s="1">
        <v>0</v>
      </c>
    </row>
    <row r="168" spans="2:69" x14ac:dyDescent="0.25">
      <c r="B168" s="1">
        <v>1732</v>
      </c>
      <c r="C168" s="1" t="str">
        <f t="shared" si="120"/>
        <v>GALAD4149S6/Y1A</v>
      </c>
      <c r="D168" s="1" t="str">
        <f>"ODA16N00396-348"</f>
        <v>ODA16N00396-348</v>
      </c>
      <c r="E168" s="1" t="str">
        <f t="shared" si="110"/>
        <v>D12 USPA</v>
      </c>
      <c r="F168" s="1" t="str">
        <f t="shared" si="93"/>
        <v>BONIS SPA</v>
      </c>
      <c r="G168" s="1" t="str">
        <f t="shared" si="94"/>
        <v>STOCK TERRA MP</v>
      </c>
      <c r="H168" s="1" t="str">
        <f t="shared" si="125"/>
        <v>PLAT</v>
      </c>
      <c r="J168" s="1">
        <v>1</v>
      </c>
      <c r="K168" s="1">
        <f t="shared" si="123"/>
        <v>12</v>
      </c>
      <c r="L168" s="1" t="str">
        <f t="shared" si="95"/>
        <v>01</v>
      </c>
      <c r="M168" s="1" t="str">
        <f t="shared" si="96"/>
        <v>101</v>
      </c>
      <c r="N168" s="1" t="str">
        <f t="shared" si="112"/>
        <v>001</v>
      </c>
      <c r="O168" s="1" t="str">
        <f t="shared" si="97"/>
        <v>00</v>
      </c>
      <c r="P168" s="1" t="str">
        <f t="shared" si="98"/>
        <v>S</v>
      </c>
      <c r="Q168" s="1" t="str">
        <f t="shared" si="99"/>
        <v>P</v>
      </c>
      <c r="R168" s="1" t="str">
        <f t="shared" si="100"/>
        <v>01</v>
      </c>
      <c r="S168" s="1" t="str">
        <f t="shared" si="101"/>
        <v>03</v>
      </c>
      <c r="T168" s="1" t="str">
        <f t="shared" si="102"/>
        <v>False</v>
      </c>
      <c r="U168" s="1" t="str">
        <f t="shared" si="103"/>
        <v>True</v>
      </c>
      <c r="V168" s="1" t="str">
        <f t="shared" si="113"/>
        <v>U0033395</v>
      </c>
      <c r="W168" s="1">
        <v>1</v>
      </c>
      <c r="Y168" s="1">
        <v>0</v>
      </c>
      <c r="Z168" s="1">
        <v>0</v>
      </c>
      <c r="AB168" s="1" t="str">
        <f t="shared" si="124"/>
        <v>SMU</v>
      </c>
      <c r="AD168" s="1" t="str">
        <f t="shared" si="114"/>
        <v>4520107</v>
      </c>
      <c r="AE168" s="1" t="str">
        <f t="shared" si="115"/>
        <v>DONG HUNG IND. JOINT COMPANY</v>
      </c>
      <c r="AG168" s="1">
        <v>0</v>
      </c>
      <c r="AH168" s="1">
        <v>0</v>
      </c>
      <c r="AI168" s="1" t="str">
        <f t="shared" si="104"/>
        <v>F06</v>
      </c>
      <c r="AJ168" s="1" t="str">
        <f t="shared" si="116"/>
        <v>WOMAN</v>
      </c>
      <c r="AK168" s="1" t="str">
        <f t="shared" si="105"/>
        <v>PA</v>
      </c>
      <c r="AP168" s="1" t="str">
        <f t="shared" si="106"/>
        <v>False</v>
      </c>
      <c r="AR168" s="1" t="str">
        <f t="shared" si="117"/>
        <v>GALAD</v>
      </c>
      <c r="AY168" s="1" t="str">
        <f t="shared" si="107"/>
        <v>PF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 t="str">
        <f t="shared" si="122"/>
        <v>D GOMMA SYNTHETIC LEATHER</v>
      </c>
      <c r="BF168" s="1" t="str">
        <f t="shared" si="108"/>
        <v>Bonis SpA</v>
      </c>
      <c r="BO168" s="1">
        <v>0</v>
      </c>
      <c r="BP168" s="1">
        <v>0</v>
      </c>
      <c r="BQ168" s="1">
        <v>0</v>
      </c>
    </row>
    <row r="169" spans="2:69" x14ac:dyDescent="0.25">
      <c r="B169" s="1">
        <v>1732</v>
      </c>
      <c r="C169" s="1" t="str">
        <f t="shared" si="120"/>
        <v>GALAD4149S6/Y1A</v>
      </c>
      <c r="D169" s="1" t="str">
        <f>"ODA16N00396-350"</f>
        <v>ODA16N00396-350</v>
      </c>
      <c r="E169" s="1" t="str">
        <f t="shared" si="110"/>
        <v>D12 USPA</v>
      </c>
      <c r="F169" s="1" t="str">
        <f t="shared" si="93"/>
        <v>BONIS SPA</v>
      </c>
      <c r="G169" s="1" t="str">
        <f t="shared" si="94"/>
        <v>STOCK TERRA MP</v>
      </c>
      <c r="H169" s="1" t="str">
        <f t="shared" si="125"/>
        <v>PLAT</v>
      </c>
      <c r="J169" s="1">
        <v>1</v>
      </c>
      <c r="K169" s="1">
        <f t="shared" si="123"/>
        <v>12</v>
      </c>
      <c r="L169" s="1" t="str">
        <f t="shared" si="95"/>
        <v>01</v>
      </c>
      <c r="M169" s="1" t="str">
        <f t="shared" si="96"/>
        <v>101</v>
      </c>
      <c r="N169" s="1" t="str">
        <f t="shared" si="112"/>
        <v>001</v>
      </c>
      <c r="O169" s="1" t="str">
        <f t="shared" si="97"/>
        <v>00</v>
      </c>
      <c r="P169" s="1" t="str">
        <f t="shared" si="98"/>
        <v>S</v>
      </c>
      <c r="Q169" s="1" t="str">
        <f t="shared" si="99"/>
        <v>P</v>
      </c>
      <c r="R169" s="1" t="str">
        <f t="shared" si="100"/>
        <v>01</v>
      </c>
      <c r="S169" s="1" t="str">
        <f t="shared" si="101"/>
        <v>03</v>
      </c>
      <c r="T169" s="1" t="str">
        <f t="shared" si="102"/>
        <v>False</v>
      </c>
      <c r="U169" s="1" t="str">
        <f t="shared" si="103"/>
        <v>True</v>
      </c>
      <c r="V169" s="1" t="str">
        <f t="shared" si="113"/>
        <v>U0033395</v>
      </c>
      <c r="W169" s="1">
        <v>1</v>
      </c>
      <c r="Y169" s="1">
        <v>0</v>
      </c>
      <c r="Z169" s="1">
        <v>0</v>
      </c>
      <c r="AB169" s="1" t="str">
        <f t="shared" si="124"/>
        <v>SMU</v>
      </c>
      <c r="AD169" s="1" t="str">
        <f t="shared" si="114"/>
        <v>4520107</v>
      </c>
      <c r="AE169" s="1" t="str">
        <f t="shared" si="115"/>
        <v>DONG HUNG IND. JOINT COMPANY</v>
      </c>
      <c r="AG169" s="1">
        <v>0</v>
      </c>
      <c r="AH169" s="1">
        <v>0</v>
      </c>
      <c r="AI169" s="1" t="str">
        <f t="shared" si="104"/>
        <v>F06</v>
      </c>
      <c r="AJ169" s="1" t="str">
        <f t="shared" si="116"/>
        <v>WOMAN</v>
      </c>
      <c r="AK169" s="1" t="str">
        <f t="shared" si="105"/>
        <v>PA</v>
      </c>
      <c r="AP169" s="1" t="str">
        <f t="shared" si="106"/>
        <v>False</v>
      </c>
      <c r="AR169" s="1" t="str">
        <f t="shared" si="117"/>
        <v>GALAD</v>
      </c>
      <c r="AY169" s="1" t="str">
        <f t="shared" si="107"/>
        <v>PF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 t="str">
        <f t="shared" si="122"/>
        <v>D GOMMA SYNTHETIC LEATHER</v>
      </c>
      <c r="BF169" s="1" t="str">
        <f t="shared" si="108"/>
        <v>Bonis SpA</v>
      </c>
      <c r="BO169" s="1">
        <v>0</v>
      </c>
      <c r="BP169" s="1">
        <v>0</v>
      </c>
      <c r="BQ169" s="1">
        <v>0</v>
      </c>
    </row>
    <row r="170" spans="2:69" x14ac:dyDescent="0.25">
      <c r="B170" s="1">
        <v>1732</v>
      </c>
      <c r="C170" s="1" t="str">
        <f t="shared" si="120"/>
        <v>GALAD4149S6/Y1A</v>
      </c>
      <c r="D170" s="1" t="str">
        <f>"ODA16N00396-351"</f>
        <v>ODA16N00396-351</v>
      </c>
      <c r="E170" s="1" t="str">
        <f t="shared" si="110"/>
        <v>D12 USPA</v>
      </c>
      <c r="F170" s="1" t="str">
        <f t="shared" si="93"/>
        <v>BONIS SPA</v>
      </c>
      <c r="G170" s="1" t="str">
        <f t="shared" si="94"/>
        <v>STOCK TERRA MP</v>
      </c>
      <c r="H170" s="1" t="str">
        <f t="shared" si="125"/>
        <v>PLAT</v>
      </c>
      <c r="J170" s="1">
        <v>1</v>
      </c>
      <c r="K170" s="1">
        <f t="shared" si="123"/>
        <v>12</v>
      </c>
      <c r="L170" s="1" t="str">
        <f t="shared" si="95"/>
        <v>01</v>
      </c>
      <c r="M170" s="1" t="str">
        <f t="shared" si="96"/>
        <v>101</v>
      </c>
      <c r="N170" s="1" t="str">
        <f t="shared" si="112"/>
        <v>001</v>
      </c>
      <c r="O170" s="1" t="str">
        <f t="shared" si="97"/>
        <v>00</v>
      </c>
      <c r="P170" s="1" t="str">
        <f t="shared" si="98"/>
        <v>S</v>
      </c>
      <c r="Q170" s="1" t="str">
        <f t="shared" si="99"/>
        <v>P</v>
      </c>
      <c r="R170" s="1" t="str">
        <f t="shared" si="100"/>
        <v>01</v>
      </c>
      <c r="S170" s="1" t="str">
        <f t="shared" si="101"/>
        <v>03</v>
      </c>
      <c r="T170" s="1" t="str">
        <f t="shared" si="102"/>
        <v>False</v>
      </c>
      <c r="U170" s="1" t="str">
        <f t="shared" si="103"/>
        <v>True</v>
      </c>
      <c r="V170" s="1" t="str">
        <f t="shared" si="113"/>
        <v>U0033395</v>
      </c>
      <c r="W170" s="1">
        <v>1</v>
      </c>
      <c r="Y170" s="1">
        <v>0</v>
      </c>
      <c r="Z170" s="1">
        <v>0</v>
      </c>
      <c r="AB170" s="1" t="str">
        <f t="shared" si="124"/>
        <v>SMU</v>
      </c>
      <c r="AD170" s="1" t="str">
        <f t="shared" si="114"/>
        <v>4520107</v>
      </c>
      <c r="AE170" s="1" t="str">
        <f t="shared" si="115"/>
        <v>DONG HUNG IND. JOINT COMPANY</v>
      </c>
      <c r="AG170" s="1">
        <v>0</v>
      </c>
      <c r="AH170" s="1">
        <v>0</v>
      </c>
      <c r="AI170" s="1" t="str">
        <f t="shared" si="104"/>
        <v>F06</v>
      </c>
      <c r="AJ170" s="1" t="str">
        <f t="shared" si="116"/>
        <v>WOMAN</v>
      </c>
      <c r="AK170" s="1" t="str">
        <f t="shared" si="105"/>
        <v>PA</v>
      </c>
      <c r="AP170" s="1" t="str">
        <f t="shared" si="106"/>
        <v>False</v>
      </c>
      <c r="AR170" s="1" t="str">
        <f t="shared" si="117"/>
        <v>GALAD</v>
      </c>
      <c r="AY170" s="1" t="str">
        <f t="shared" si="107"/>
        <v>PF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 t="str">
        <f t="shared" si="122"/>
        <v>D GOMMA SYNTHETIC LEATHER</v>
      </c>
      <c r="BF170" s="1" t="str">
        <f t="shared" si="108"/>
        <v>Bonis SpA</v>
      </c>
      <c r="BO170" s="1">
        <v>0</v>
      </c>
      <c r="BP170" s="1">
        <v>0</v>
      </c>
      <c r="BQ170" s="1">
        <v>0</v>
      </c>
    </row>
    <row r="171" spans="2:69" x14ac:dyDescent="0.25">
      <c r="B171" s="1">
        <v>1733</v>
      </c>
      <c r="C171" s="1" t="str">
        <f>"NOBIL4044S6/NH1A"</f>
        <v>NOBIL4044S6/NH1A</v>
      </c>
      <c r="D171" s="1" t="str">
        <f>"ODA16N00410-202"</f>
        <v>ODA16N00410-202</v>
      </c>
      <c r="E171" s="1" t="str">
        <f>"C12 USPA"</f>
        <v>C12 USPA</v>
      </c>
      <c r="F171" s="1" t="str">
        <f t="shared" si="93"/>
        <v>BONIS SPA</v>
      </c>
      <c r="G171" s="1" t="str">
        <f t="shared" si="94"/>
        <v>STOCK TERRA MP</v>
      </c>
      <c r="H171" s="1" t="str">
        <f t="shared" ref="H171:H195" si="126">"WHI"</f>
        <v>WHI</v>
      </c>
      <c r="J171" s="1">
        <v>1</v>
      </c>
      <c r="K171" s="1">
        <f t="shared" si="123"/>
        <v>12</v>
      </c>
      <c r="L171" s="1" t="str">
        <f t="shared" si="95"/>
        <v>01</v>
      </c>
      <c r="M171" s="1" t="str">
        <f t="shared" si="96"/>
        <v>101</v>
      </c>
      <c r="N171" s="1" t="str">
        <f>"002"</f>
        <v>002</v>
      </c>
      <c r="O171" s="1" t="str">
        <f t="shared" si="97"/>
        <v>00</v>
      </c>
      <c r="P171" s="1" t="str">
        <f t="shared" si="98"/>
        <v>S</v>
      </c>
      <c r="Q171" s="1" t="str">
        <f t="shared" si="99"/>
        <v>P</v>
      </c>
      <c r="R171" s="1" t="str">
        <f t="shared" si="100"/>
        <v>01</v>
      </c>
      <c r="S171" s="1" t="str">
        <f t="shared" si="101"/>
        <v>03</v>
      </c>
      <c r="T171" s="1" t="str">
        <f t="shared" si="102"/>
        <v>False</v>
      </c>
      <c r="U171" s="1" t="str">
        <f t="shared" si="103"/>
        <v>True</v>
      </c>
      <c r="V171" s="1" t="str">
        <f>"U0031247"</f>
        <v>U0031247</v>
      </c>
      <c r="W171" s="1">
        <v>1</v>
      </c>
      <c r="Y171" s="1">
        <v>0</v>
      </c>
      <c r="Z171" s="1">
        <v>0</v>
      </c>
      <c r="AB171" s="1" t="str">
        <f t="shared" si="124"/>
        <v>SMU</v>
      </c>
      <c r="AD171" s="1" t="str">
        <f>"4520307"</f>
        <v>4520307</v>
      </c>
      <c r="AE171" s="1" t="str">
        <f>"CHENGDU JOY SHINE FOOTWEAR LTD"</f>
        <v>CHENGDU JOY SHINE FOOTWEAR LTD</v>
      </c>
      <c r="AG171" s="1">
        <v>0</v>
      </c>
      <c r="AH171" s="1">
        <v>0</v>
      </c>
      <c r="AI171" s="1" t="str">
        <f t="shared" si="104"/>
        <v>F06</v>
      </c>
      <c r="AJ171" s="1" t="str">
        <f>"MAN"</f>
        <v>MAN</v>
      </c>
      <c r="AK171" s="1" t="str">
        <f t="shared" si="105"/>
        <v>PA</v>
      </c>
      <c r="AP171" s="1" t="str">
        <f t="shared" si="106"/>
        <v>False</v>
      </c>
      <c r="AR171" s="1" t="str">
        <f>"NOBIL"</f>
        <v>NOBIL</v>
      </c>
      <c r="AY171" s="1" t="str">
        <f t="shared" si="107"/>
        <v>PF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 t="str">
        <f>"BBER FLAT MOL.NYLON+MICROSUEDE"</f>
        <v>BBER FLAT MOL.NYLON+MICROSUEDE</v>
      </c>
      <c r="BF171" s="1" t="str">
        <f t="shared" si="108"/>
        <v>Bonis SpA</v>
      </c>
      <c r="BO171" s="1">
        <v>0</v>
      </c>
      <c r="BP171" s="1">
        <v>0</v>
      </c>
      <c r="BQ171" s="1">
        <v>0</v>
      </c>
    </row>
    <row r="172" spans="2:69" x14ac:dyDescent="0.25">
      <c r="B172" s="1">
        <v>1742</v>
      </c>
      <c r="C172" s="1" t="str">
        <f t="shared" ref="C172:C203" si="127">"DECOR4237S7/C1"</f>
        <v>DECOR4237S7/C1</v>
      </c>
      <c r="D172" s="1" t="str">
        <f>"ODA17N00003-001"</f>
        <v>ODA17N00003-001</v>
      </c>
      <c r="E172" s="1" t="str">
        <f t="shared" ref="E172:E203" si="128">"D12 USPA"</f>
        <v>D12 USPA</v>
      </c>
      <c r="F172" s="1" t="str">
        <f t="shared" si="93"/>
        <v>BONIS SPA</v>
      </c>
      <c r="G172" s="1" t="str">
        <f t="shared" si="94"/>
        <v>STOCK TERRA MP</v>
      </c>
      <c r="H172" s="1" t="str">
        <f t="shared" si="126"/>
        <v>WHI</v>
      </c>
      <c r="J172" s="1">
        <v>1</v>
      </c>
      <c r="K172" s="1">
        <f t="shared" si="123"/>
        <v>12</v>
      </c>
      <c r="L172" s="1" t="str">
        <f t="shared" si="95"/>
        <v>01</v>
      </c>
      <c r="M172" s="1" t="str">
        <f t="shared" si="96"/>
        <v>101</v>
      </c>
      <c r="N172" s="1" t="str">
        <f>"011"</f>
        <v>011</v>
      </c>
      <c r="O172" s="1" t="str">
        <f t="shared" si="97"/>
        <v>00</v>
      </c>
      <c r="P172" s="1" t="str">
        <f t="shared" si="98"/>
        <v>S</v>
      </c>
      <c r="Q172" s="1" t="str">
        <f t="shared" si="99"/>
        <v>P</v>
      </c>
      <c r="R172" s="1" t="str">
        <f t="shared" si="100"/>
        <v>01</v>
      </c>
      <c r="S172" s="1" t="str">
        <f t="shared" si="101"/>
        <v>03</v>
      </c>
      <c r="T172" s="1" t="str">
        <f t="shared" si="102"/>
        <v>False</v>
      </c>
      <c r="U172" s="1" t="str">
        <f t="shared" si="103"/>
        <v>True</v>
      </c>
      <c r="V172" s="1" t="str">
        <f>"U0031314"</f>
        <v>U0031314</v>
      </c>
      <c r="W172" s="1">
        <v>1</v>
      </c>
      <c r="Y172" s="1">
        <v>0</v>
      </c>
      <c r="Z172" s="1">
        <v>0</v>
      </c>
      <c r="AB172" s="1" t="str">
        <f t="shared" si="124"/>
        <v>SMU</v>
      </c>
      <c r="AD172" s="1" t="str">
        <f t="shared" ref="AD172:AD203" si="129">"4520308"</f>
        <v>4520308</v>
      </c>
      <c r="AE172" s="1" t="str">
        <f t="shared" ref="AE172:AE203" si="130">"QUANZHOU REORDERS FORSUN"</f>
        <v>QUANZHOU REORDERS FORSUN</v>
      </c>
      <c r="AG172" s="1">
        <v>0</v>
      </c>
      <c r="AH172" s="1">
        <v>0</v>
      </c>
      <c r="AI172" s="1" t="str">
        <f t="shared" si="104"/>
        <v>F06</v>
      </c>
      <c r="AJ172" s="1" t="str">
        <f t="shared" ref="AJ172:AJ203" si="131">"WOMAN"</f>
        <v>WOMAN</v>
      </c>
      <c r="AK172" s="1" t="str">
        <f t="shared" si="105"/>
        <v>PA</v>
      </c>
      <c r="AP172" s="1" t="str">
        <f t="shared" si="106"/>
        <v>False</v>
      </c>
      <c r="AR172" s="1" t="str">
        <f t="shared" ref="AR172:AR203" si="132">"DECOR"</f>
        <v>DECOR</v>
      </c>
      <c r="AY172" s="1" t="str">
        <f t="shared" si="107"/>
        <v>PF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 t="str">
        <f t="shared" ref="BE172:BE203" si="133">"R GOMMA CANVAS"</f>
        <v>R GOMMA CANVAS</v>
      </c>
      <c r="BF172" s="1" t="str">
        <f t="shared" si="108"/>
        <v>Bonis SpA</v>
      </c>
      <c r="BO172" s="1">
        <v>0</v>
      </c>
      <c r="BP172" s="1">
        <v>0</v>
      </c>
      <c r="BQ172" s="1">
        <v>0</v>
      </c>
    </row>
    <row r="173" spans="2:69" x14ac:dyDescent="0.25">
      <c r="B173" s="1">
        <v>1742</v>
      </c>
      <c r="C173" s="1" t="str">
        <f t="shared" si="127"/>
        <v>DECOR4237S7/C1</v>
      </c>
      <c r="D173" s="1" t="str">
        <f>"ODA17N00003-005"</f>
        <v>ODA17N00003-005</v>
      </c>
      <c r="E173" s="1" t="str">
        <f t="shared" si="128"/>
        <v>D12 USPA</v>
      </c>
      <c r="F173" s="1" t="str">
        <f t="shared" si="93"/>
        <v>BONIS SPA</v>
      </c>
      <c r="G173" s="1" t="str">
        <f t="shared" si="94"/>
        <v>STOCK TERRA MP</v>
      </c>
      <c r="H173" s="1" t="str">
        <f t="shared" si="126"/>
        <v>WHI</v>
      </c>
      <c r="J173" s="1">
        <v>1</v>
      </c>
      <c r="K173" s="1">
        <f t="shared" si="123"/>
        <v>12</v>
      </c>
      <c r="L173" s="1" t="str">
        <f t="shared" si="95"/>
        <v>01</v>
      </c>
      <c r="M173" s="1" t="str">
        <f t="shared" si="96"/>
        <v>101</v>
      </c>
      <c r="N173" s="1" t="str">
        <f>"011"</f>
        <v>011</v>
      </c>
      <c r="O173" s="1" t="str">
        <f t="shared" si="97"/>
        <v>00</v>
      </c>
      <c r="P173" s="1" t="str">
        <f t="shared" si="98"/>
        <v>S</v>
      </c>
      <c r="Q173" s="1" t="str">
        <f t="shared" si="99"/>
        <v>P</v>
      </c>
      <c r="R173" s="1" t="str">
        <f t="shared" si="100"/>
        <v>01</v>
      </c>
      <c r="S173" s="1" t="str">
        <f t="shared" si="101"/>
        <v>03</v>
      </c>
      <c r="T173" s="1" t="str">
        <f t="shared" si="102"/>
        <v>False</v>
      </c>
      <c r="U173" s="1" t="str">
        <f t="shared" si="103"/>
        <v>True</v>
      </c>
      <c r="V173" s="1" t="str">
        <f>"U0031314"</f>
        <v>U0031314</v>
      </c>
      <c r="W173" s="1">
        <v>1</v>
      </c>
      <c r="Y173" s="1">
        <v>0</v>
      </c>
      <c r="Z173" s="1">
        <v>0</v>
      </c>
      <c r="AB173" s="1" t="str">
        <f t="shared" si="124"/>
        <v>SMU</v>
      </c>
      <c r="AD173" s="1" t="str">
        <f t="shared" si="129"/>
        <v>4520308</v>
      </c>
      <c r="AE173" s="1" t="str">
        <f t="shared" si="130"/>
        <v>QUANZHOU REORDERS FORSUN</v>
      </c>
      <c r="AG173" s="1">
        <v>0</v>
      </c>
      <c r="AH173" s="1">
        <v>0</v>
      </c>
      <c r="AI173" s="1" t="str">
        <f t="shared" si="104"/>
        <v>F06</v>
      </c>
      <c r="AJ173" s="1" t="str">
        <f t="shared" si="131"/>
        <v>WOMAN</v>
      </c>
      <c r="AK173" s="1" t="str">
        <f t="shared" si="105"/>
        <v>PA</v>
      </c>
      <c r="AP173" s="1" t="str">
        <f t="shared" si="106"/>
        <v>False</v>
      </c>
      <c r="AR173" s="1" t="str">
        <f t="shared" si="132"/>
        <v>DECOR</v>
      </c>
      <c r="AY173" s="1" t="str">
        <f t="shared" si="107"/>
        <v>PF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 t="str">
        <f t="shared" si="133"/>
        <v>R GOMMA CANVAS</v>
      </c>
      <c r="BF173" s="1" t="str">
        <f t="shared" si="108"/>
        <v>Bonis SpA</v>
      </c>
      <c r="BO173" s="1">
        <v>0</v>
      </c>
      <c r="BP173" s="1">
        <v>0</v>
      </c>
      <c r="BQ173" s="1">
        <v>0</v>
      </c>
    </row>
    <row r="174" spans="2:69" x14ac:dyDescent="0.25">
      <c r="B174" s="1">
        <v>1742</v>
      </c>
      <c r="C174" s="1" t="str">
        <f t="shared" si="127"/>
        <v>DECOR4237S7/C1</v>
      </c>
      <c r="D174" s="1" t="str">
        <f>"ODA17N00003-020"</f>
        <v>ODA17N00003-020</v>
      </c>
      <c r="E174" s="1" t="str">
        <f t="shared" si="128"/>
        <v>D12 USPA</v>
      </c>
      <c r="F174" s="1" t="str">
        <f t="shared" si="93"/>
        <v>BONIS SPA</v>
      </c>
      <c r="G174" s="1" t="str">
        <f t="shared" si="94"/>
        <v>STOCK TERRA MP</v>
      </c>
      <c r="H174" s="1" t="str">
        <f t="shared" si="126"/>
        <v>WHI</v>
      </c>
      <c r="J174" s="1">
        <v>1</v>
      </c>
      <c r="K174" s="1">
        <f t="shared" si="123"/>
        <v>12</v>
      </c>
      <c r="L174" s="1" t="str">
        <f t="shared" si="95"/>
        <v>01</v>
      </c>
      <c r="M174" s="1" t="str">
        <f t="shared" si="96"/>
        <v>101</v>
      </c>
      <c r="N174" s="1" t="str">
        <f>"011"</f>
        <v>011</v>
      </c>
      <c r="O174" s="1" t="str">
        <f t="shared" si="97"/>
        <v>00</v>
      </c>
      <c r="P174" s="1" t="str">
        <f t="shared" si="98"/>
        <v>S</v>
      </c>
      <c r="Q174" s="1" t="str">
        <f t="shared" si="99"/>
        <v>P</v>
      </c>
      <c r="R174" s="1" t="str">
        <f t="shared" si="100"/>
        <v>01</v>
      </c>
      <c r="S174" s="1" t="str">
        <f t="shared" si="101"/>
        <v>03</v>
      </c>
      <c r="T174" s="1" t="str">
        <f t="shared" si="102"/>
        <v>False</v>
      </c>
      <c r="U174" s="1" t="str">
        <f t="shared" si="103"/>
        <v>True</v>
      </c>
      <c r="V174" s="1" t="str">
        <f>"U0031314"</f>
        <v>U0031314</v>
      </c>
      <c r="W174" s="1">
        <v>1</v>
      </c>
      <c r="Y174" s="1">
        <v>0</v>
      </c>
      <c r="Z174" s="1">
        <v>0</v>
      </c>
      <c r="AB174" s="1" t="str">
        <f t="shared" si="124"/>
        <v>SMU</v>
      </c>
      <c r="AD174" s="1" t="str">
        <f t="shared" si="129"/>
        <v>4520308</v>
      </c>
      <c r="AE174" s="1" t="str">
        <f t="shared" si="130"/>
        <v>QUANZHOU REORDERS FORSUN</v>
      </c>
      <c r="AG174" s="1">
        <v>0</v>
      </c>
      <c r="AH174" s="1">
        <v>0</v>
      </c>
      <c r="AI174" s="1" t="str">
        <f t="shared" si="104"/>
        <v>F06</v>
      </c>
      <c r="AJ174" s="1" t="str">
        <f t="shared" si="131"/>
        <v>WOMAN</v>
      </c>
      <c r="AK174" s="1" t="str">
        <f t="shared" si="105"/>
        <v>PA</v>
      </c>
      <c r="AP174" s="1" t="str">
        <f t="shared" si="106"/>
        <v>False</v>
      </c>
      <c r="AR174" s="1" t="str">
        <f t="shared" si="132"/>
        <v>DECOR</v>
      </c>
      <c r="AY174" s="1" t="str">
        <f t="shared" si="107"/>
        <v>PF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 t="str">
        <f t="shared" si="133"/>
        <v>R GOMMA CANVAS</v>
      </c>
      <c r="BF174" s="1" t="str">
        <f t="shared" si="108"/>
        <v>Bonis SpA</v>
      </c>
      <c r="BO174" s="1">
        <v>0</v>
      </c>
      <c r="BP174" s="1">
        <v>0</v>
      </c>
      <c r="BQ174" s="1">
        <v>0</v>
      </c>
    </row>
    <row r="175" spans="2:69" x14ac:dyDescent="0.25">
      <c r="B175" s="1">
        <v>1744</v>
      </c>
      <c r="C175" s="1" t="str">
        <f t="shared" si="127"/>
        <v>DECOR4237S7/C1</v>
      </c>
      <c r="D175" s="1" t="str">
        <f>"ODA17N00003-022"</f>
        <v>ODA17N00003-022</v>
      </c>
      <c r="E175" s="1" t="str">
        <f t="shared" si="128"/>
        <v>D12 USPA</v>
      </c>
      <c r="F175" s="1" t="str">
        <f t="shared" si="93"/>
        <v>BONIS SPA</v>
      </c>
      <c r="G175" s="1" t="str">
        <f t="shared" si="94"/>
        <v>STOCK TERRA MP</v>
      </c>
      <c r="H175" s="1" t="str">
        <f t="shared" si="126"/>
        <v>WHI</v>
      </c>
      <c r="J175" s="1">
        <v>1</v>
      </c>
      <c r="K175" s="1">
        <f t="shared" si="123"/>
        <v>12</v>
      </c>
      <c r="L175" s="1" t="str">
        <f t="shared" si="95"/>
        <v>01</v>
      </c>
      <c r="M175" s="1" t="str">
        <f t="shared" si="96"/>
        <v>101</v>
      </c>
      <c r="N175" s="1" t="str">
        <f>"013"</f>
        <v>013</v>
      </c>
      <c r="O175" s="1" t="str">
        <f t="shared" si="97"/>
        <v>00</v>
      </c>
      <c r="P175" s="1" t="str">
        <f t="shared" si="98"/>
        <v>S</v>
      </c>
      <c r="Q175" s="1" t="str">
        <f t="shared" si="99"/>
        <v>P</v>
      </c>
      <c r="R175" s="1" t="str">
        <f t="shared" si="100"/>
        <v>01</v>
      </c>
      <c r="S175" s="1" t="str">
        <f t="shared" si="101"/>
        <v>03</v>
      </c>
      <c r="T175" s="1" t="str">
        <f t="shared" si="102"/>
        <v>False</v>
      </c>
      <c r="U175" s="1" t="str">
        <f t="shared" si="103"/>
        <v>True</v>
      </c>
      <c r="V175" s="1" t="str">
        <f>"U0023677"</f>
        <v>U0023677</v>
      </c>
      <c r="W175" s="1">
        <v>1</v>
      </c>
      <c r="Y175" s="1">
        <v>0</v>
      </c>
      <c r="Z175" s="1">
        <v>0</v>
      </c>
      <c r="AB175" s="1" t="str">
        <f t="shared" si="124"/>
        <v>SMU</v>
      </c>
      <c r="AD175" s="1" t="str">
        <f t="shared" si="129"/>
        <v>4520308</v>
      </c>
      <c r="AE175" s="1" t="str">
        <f t="shared" si="130"/>
        <v>QUANZHOU REORDERS FORSUN</v>
      </c>
      <c r="AG175" s="1">
        <v>0</v>
      </c>
      <c r="AH175" s="1">
        <v>0</v>
      </c>
      <c r="AI175" s="1" t="str">
        <f t="shared" si="104"/>
        <v>F06</v>
      </c>
      <c r="AJ175" s="1" t="str">
        <f t="shared" si="131"/>
        <v>WOMAN</v>
      </c>
      <c r="AK175" s="1" t="str">
        <f t="shared" si="105"/>
        <v>PA</v>
      </c>
      <c r="AP175" s="1" t="str">
        <f t="shared" si="106"/>
        <v>False</v>
      </c>
      <c r="AR175" s="1" t="str">
        <f t="shared" si="132"/>
        <v>DECOR</v>
      </c>
      <c r="AY175" s="1" t="str">
        <f t="shared" si="107"/>
        <v>PF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 t="str">
        <f t="shared" si="133"/>
        <v>R GOMMA CANVAS</v>
      </c>
      <c r="BF175" s="1" t="str">
        <f t="shared" si="108"/>
        <v>Bonis SpA</v>
      </c>
      <c r="BO175" s="1">
        <v>0</v>
      </c>
      <c r="BP175" s="1">
        <v>0</v>
      </c>
      <c r="BQ175" s="1">
        <v>0</v>
      </c>
    </row>
    <row r="176" spans="2:69" x14ac:dyDescent="0.25">
      <c r="B176" s="1">
        <v>1742</v>
      </c>
      <c r="C176" s="1" t="str">
        <f t="shared" si="127"/>
        <v>DECOR4237S7/C1</v>
      </c>
      <c r="D176" s="1" t="str">
        <f>"ODA17N00003-023"</f>
        <v>ODA17N00003-023</v>
      </c>
      <c r="E176" s="1" t="str">
        <f t="shared" si="128"/>
        <v>D12 USPA</v>
      </c>
      <c r="F176" s="1" t="str">
        <f t="shared" si="93"/>
        <v>BONIS SPA</v>
      </c>
      <c r="G176" s="1" t="str">
        <f t="shared" si="94"/>
        <v>STOCK TERRA MP</v>
      </c>
      <c r="H176" s="1" t="str">
        <f t="shared" si="126"/>
        <v>WHI</v>
      </c>
      <c r="J176" s="1">
        <v>1</v>
      </c>
      <c r="K176" s="1">
        <f t="shared" si="123"/>
        <v>12</v>
      </c>
      <c r="L176" s="1" t="str">
        <f t="shared" si="95"/>
        <v>01</v>
      </c>
      <c r="M176" s="1" t="str">
        <f t="shared" si="96"/>
        <v>101</v>
      </c>
      <c r="N176" s="1" t="str">
        <f t="shared" ref="N176:N193" si="134">"011"</f>
        <v>011</v>
      </c>
      <c r="O176" s="1" t="str">
        <f t="shared" si="97"/>
        <v>00</v>
      </c>
      <c r="P176" s="1" t="str">
        <f t="shared" si="98"/>
        <v>S</v>
      </c>
      <c r="Q176" s="1" t="str">
        <f t="shared" si="99"/>
        <v>P</v>
      </c>
      <c r="R176" s="1" t="str">
        <f t="shared" si="100"/>
        <v>01</v>
      </c>
      <c r="S176" s="1" t="str">
        <f t="shared" si="101"/>
        <v>03</v>
      </c>
      <c r="T176" s="1" t="str">
        <f t="shared" si="102"/>
        <v>False</v>
      </c>
      <c r="U176" s="1" t="str">
        <f t="shared" si="103"/>
        <v>True</v>
      </c>
      <c r="V176" s="1" t="str">
        <f t="shared" ref="V176:V193" si="135">"U0031314"</f>
        <v>U0031314</v>
      </c>
      <c r="W176" s="1">
        <v>1</v>
      </c>
      <c r="Y176" s="1">
        <v>0</v>
      </c>
      <c r="Z176" s="1">
        <v>0</v>
      </c>
      <c r="AB176" s="1" t="str">
        <f t="shared" si="124"/>
        <v>SMU</v>
      </c>
      <c r="AD176" s="1" t="str">
        <f t="shared" si="129"/>
        <v>4520308</v>
      </c>
      <c r="AE176" s="1" t="str">
        <f t="shared" si="130"/>
        <v>QUANZHOU REORDERS FORSUN</v>
      </c>
      <c r="AG176" s="1">
        <v>0</v>
      </c>
      <c r="AH176" s="1">
        <v>0</v>
      </c>
      <c r="AI176" s="1" t="str">
        <f t="shared" si="104"/>
        <v>F06</v>
      </c>
      <c r="AJ176" s="1" t="str">
        <f t="shared" si="131"/>
        <v>WOMAN</v>
      </c>
      <c r="AK176" s="1" t="str">
        <f t="shared" si="105"/>
        <v>PA</v>
      </c>
      <c r="AP176" s="1" t="str">
        <f t="shared" si="106"/>
        <v>False</v>
      </c>
      <c r="AR176" s="1" t="str">
        <f t="shared" si="132"/>
        <v>DECOR</v>
      </c>
      <c r="AY176" s="1" t="str">
        <f t="shared" si="107"/>
        <v>PF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 t="str">
        <f t="shared" si="133"/>
        <v>R GOMMA CANVAS</v>
      </c>
      <c r="BF176" s="1" t="str">
        <f t="shared" si="108"/>
        <v>Bonis SpA</v>
      </c>
      <c r="BO176" s="1">
        <v>0</v>
      </c>
      <c r="BP176" s="1">
        <v>0</v>
      </c>
      <c r="BQ176" s="1">
        <v>0</v>
      </c>
    </row>
    <row r="177" spans="2:69" x14ac:dyDescent="0.25">
      <c r="B177" s="1">
        <v>1742</v>
      </c>
      <c r="C177" s="1" t="str">
        <f t="shared" si="127"/>
        <v>DECOR4237S7/C1</v>
      </c>
      <c r="D177" s="1" t="str">
        <f>"ODA17N00003-032"</f>
        <v>ODA17N00003-032</v>
      </c>
      <c r="E177" s="1" t="str">
        <f t="shared" si="128"/>
        <v>D12 USPA</v>
      </c>
      <c r="F177" s="1" t="str">
        <f t="shared" si="93"/>
        <v>BONIS SPA</v>
      </c>
      <c r="G177" s="1" t="str">
        <f t="shared" si="94"/>
        <v>STOCK TERRA MP</v>
      </c>
      <c r="H177" s="1" t="str">
        <f t="shared" si="126"/>
        <v>WHI</v>
      </c>
      <c r="J177" s="1">
        <v>1</v>
      </c>
      <c r="K177" s="1">
        <f t="shared" si="123"/>
        <v>12</v>
      </c>
      <c r="L177" s="1" t="str">
        <f t="shared" si="95"/>
        <v>01</v>
      </c>
      <c r="M177" s="1" t="str">
        <f t="shared" si="96"/>
        <v>101</v>
      </c>
      <c r="N177" s="1" t="str">
        <f t="shared" si="134"/>
        <v>011</v>
      </c>
      <c r="O177" s="1" t="str">
        <f t="shared" si="97"/>
        <v>00</v>
      </c>
      <c r="P177" s="1" t="str">
        <f t="shared" si="98"/>
        <v>S</v>
      </c>
      <c r="Q177" s="1" t="str">
        <f t="shared" si="99"/>
        <v>P</v>
      </c>
      <c r="R177" s="1" t="str">
        <f t="shared" si="100"/>
        <v>01</v>
      </c>
      <c r="S177" s="1" t="str">
        <f t="shared" si="101"/>
        <v>03</v>
      </c>
      <c r="T177" s="1" t="str">
        <f t="shared" si="102"/>
        <v>False</v>
      </c>
      <c r="U177" s="1" t="str">
        <f t="shared" si="103"/>
        <v>True</v>
      </c>
      <c r="V177" s="1" t="str">
        <f t="shared" si="135"/>
        <v>U0031314</v>
      </c>
      <c r="W177" s="1">
        <v>1</v>
      </c>
      <c r="Y177" s="1">
        <v>0</v>
      </c>
      <c r="Z177" s="1">
        <v>0</v>
      </c>
      <c r="AB177" s="1" t="str">
        <f t="shared" si="124"/>
        <v>SMU</v>
      </c>
      <c r="AD177" s="1" t="str">
        <f t="shared" si="129"/>
        <v>4520308</v>
      </c>
      <c r="AE177" s="1" t="str">
        <f t="shared" si="130"/>
        <v>QUANZHOU REORDERS FORSUN</v>
      </c>
      <c r="AG177" s="1">
        <v>0</v>
      </c>
      <c r="AH177" s="1">
        <v>0</v>
      </c>
      <c r="AI177" s="1" t="str">
        <f t="shared" si="104"/>
        <v>F06</v>
      </c>
      <c r="AJ177" s="1" t="str">
        <f t="shared" si="131"/>
        <v>WOMAN</v>
      </c>
      <c r="AK177" s="1" t="str">
        <f t="shared" si="105"/>
        <v>PA</v>
      </c>
      <c r="AP177" s="1" t="str">
        <f t="shared" si="106"/>
        <v>False</v>
      </c>
      <c r="AR177" s="1" t="str">
        <f t="shared" si="132"/>
        <v>DECOR</v>
      </c>
      <c r="AY177" s="1" t="str">
        <f t="shared" si="107"/>
        <v>PF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 t="str">
        <f t="shared" si="133"/>
        <v>R GOMMA CANVAS</v>
      </c>
      <c r="BF177" s="1" t="str">
        <f t="shared" si="108"/>
        <v>Bonis SpA</v>
      </c>
      <c r="BO177" s="1">
        <v>0</v>
      </c>
      <c r="BP177" s="1">
        <v>0</v>
      </c>
      <c r="BQ177" s="1">
        <v>0</v>
      </c>
    </row>
    <row r="178" spans="2:69" x14ac:dyDescent="0.25">
      <c r="B178" s="1">
        <v>1742</v>
      </c>
      <c r="C178" s="1" t="str">
        <f t="shared" si="127"/>
        <v>DECOR4237S7/C1</v>
      </c>
      <c r="D178" s="1" t="str">
        <f>"ODA17N00003-039"</f>
        <v>ODA17N00003-039</v>
      </c>
      <c r="E178" s="1" t="str">
        <f t="shared" si="128"/>
        <v>D12 USPA</v>
      </c>
      <c r="F178" s="1" t="str">
        <f t="shared" si="93"/>
        <v>BONIS SPA</v>
      </c>
      <c r="G178" s="1" t="str">
        <f t="shared" si="94"/>
        <v>STOCK TERRA MP</v>
      </c>
      <c r="H178" s="1" t="str">
        <f t="shared" si="126"/>
        <v>WHI</v>
      </c>
      <c r="J178" s="1">
        <v>1</v>
      </c>
      <c r="K178" s="1">
        <f t="shared" si="123"/>
        <v>12</v>
      </c>
      <c r="L178" s="1" t="str">
        <f t="shared" si="95"/>
        <v>01</v>
      </c>
      <c r="M178" s="1" t="str">
        <f t="shared" si="96"/>
        <v>101</v>
      </c>
      <c r="N178" s="1" t="str">
        <f t="shared" si="134"/>
        <v>011</v>
      </c>
      <c r="O178" s="1" t="str">
        <f t="shared" si="97"/>
        <v>00</v>
      </c>
      <c r="P178" s="1" t="str">
        <f t="shared" si="98"/>
        <v>S</v>
      </c>
      <c r="Q178" s="1" t="str">
        <f t="shared" si="99"/>
        <v>P</v>
      </c>
      <c r="R178" s="1" t="str">
        <f t="shared" si="100"/>
        <v>01</v>
      </c>
      <c r="S178" s="1" t="str">
        <f t="shared" si="101"/>
        <v>03</v>
      </c>
      <c r="T178" s="1" t="str">
        <f t="shared" si="102"/>
        <v>False</v>
      </c>
      <c r="U178" s="1" t="str">
        <f t="shared" si="103"/>
        <v>True</v>
      </c>
      <c r="V178" s="1" t="str">
        <f t="shared" si="135"/>
        <v>U0031314</v>
      </c>
      <c r="W178" s="1">
        <v>1</v>
      </c>
      <c r="Y178" s="1">
        <v>0</v>
      </c>
      <c r="Z178" s="1">
        <v>0</v>
      </c>
      <c r="AB178" s="1" t="str">
        <f t="shared" si="124"/>
        <v>SMU</v>
      </c>
      <c r="AD178" s="1" t="str">
        <f t="shared" si="129"/>
        <v>4520308</v>
      </c>
      <c r="AE178" s="1" t="str">
        <f t="shared" si="130"/>
        <v>QUANZHOU REORDERS FORSUN</v>
      </c>
      <c r="AG178" s="1">
        <v>0</v>
      </c>
      <c r="AH178" s="1">
        <v>0</v>
      </c>
      <c r="AI178" s="1" t="str">
        <f t="shared" si="104"/>
        <v>F06</v>
      </c>
      <c r="AJ178" s="1" t="str">
        <f t="shared" si="131"/>
        <v>WOMAN</v>
      </c>
      <c r="AK178" s="1" t="str">
        <f t="shared" si="105"/>
        <v>PA</v>
      </c>
      <c r="AP178" s="1" t="str">
        <f t="shared" si="106"/>
        <v>False</v>
      </c>
      <c r="AR178" s="1" t="str">
        <f t="shared" si="132"/>
        <v>DECOR</v>
      </c>
      <c r="AY178" s="1" t="str">
        <f t="shared" si="107"/>
        <v>PF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 t="str">
        <f t="shared" si="133"/>
        <v>R GOMMA CANVAS</v>
      </c>
      <c r="BF178" s="1" t="str">
        <f t="shared" si="108"/>
        <v>Bonis SpA</v>
      </c>
      <c r="BO178" s="1">
        <v>0</v>
      </c>
      <c r="BP178" s="1">
        <v>0</v>
      </c>
      <c r="BQ178" s="1">
        <v>0</v>
      </c>
    </row>
    <row r="179" spans="2:69" x14ac:dyDescent="0.25">
      <c r="B179" s="1">
        <v>1742</v>
      </c>
      <c r="C179" s="1" t="str">
        <f t="shared" si="127"/>
        <v>DECOR4237S7/C1</v>
      </c>
      <c r="D179" s="1" t="str">
        <f>"ODA17N00003-043"</f>
        <v>ODA17N00003-043</v>
      </c>
      <c r="E179" s="1" t="str">
        <f t="shared" si="128"/>
        <v>D12 USPA</v>
      </c>
      <c r="F179" s="1" t="str">
        <f t="shared" si="93"/>
        <v>BONIS SPA</v>
      </c>
      <c r="G179" s="1" t="str">
        <f t="shared" si="94"/>
        <v>STOCK TERRA MP</v>
      </c>
      <c r="H179" s="1" t="str">
        <f t="shared" si="126"/>
        <v>WHI</v>
      </c>
      <c r="J179" s="1">
        <v>1</v>
      </c>
      <c r="K179" s="1">
        <f t="shared" si="123"/>
        <v>12</v>
      </c>
      <c r="L179" s="1" t="str">
        <f t="shared" si="95"/>
        <v>01</v>
      </c>
      <c r="M179" s="1" t="str">
        <f t="shared" si="96"/>
        <v>101</v>
      </c>
      <c r="N179" s="1" t="str">
        <f t="shared" si="134"/>
        <v>011</v>
      </c>
      <c r="O179" s="1" t="str">
        <f t="shared" si="97"/>
        <v>00</v>
      </c>
      <c r="P179" s="1" t="str">
        <f t="shared" si="98"/>
        <v>S</v>
      </c>
      <c r="Q179" s="1" t="str">
        <f t="shared" si="99"/>
        <v>P</v>
      </c>
      <c r="R179" s="1" t="str">
        <f t="shared" si="100"/>
        <v>01</v>
      </c>
      <c r="S179" s="1" t="str">
        <f t="shared" si="101"/>
        <v>03</v>
      </c>
      <c r="T179" s="1" t="str">
        <f t="shared" si="102"/>
        <v>False</v>
      </c>
      <c r="U179" s="1" t="str">
        <f t="shared" si="103"/>
        <v>True</v>
      </c>
      <c r="V179" s="1" t="str">
        <f t="shared" si="135"/>
        <v>U0031314</v>
      </c>
      <c r="W179" s="1">
        <v>1</v>
      </c>
      <c r="Y179" s="1">
        <v>0</v>
      </c>
      <c r="Z179" s="1">
        <v>0</v>
      </c>
      <c r="AB179" s="1" t="str">
        <f t="shared" si="124"/>
        <v>SMU</v>
      </c>
      <c r="AD179" s="1" t="str">
        <f t="shared" si="129"/>
        <v>4520308</v>
      </c>
      <c r="AE179" s="1" t="str">
        <f t="shared" si="130"/>
        <v>QUANZHOU REORDERS FORSUN</v>
      </c>
      <c r="AG179" s="1">
        <v>0</v>
      </c>
      <c r="AH179" s="1">
        <v>0</v>
      </c>
      <c r="AI179" s="1" t="str">
        <f t="shared" si="104"/>
        <v>F06</v>
      </c>
      <c r="AJ179" s="1" t="str">
        <f t="shared" si="131"/>
        <v>WOMAN</v>
      </c>
      <c r="AK179" s="1" t="str">
        <f t="shared" si="105"/>
        <v>PA</v>
      </c>
      <c r="AP179" s="1" t="str">
        <f t="shared" si="106"/>
        <v>False</v>
      </c>
      <c r="AR179" s="1" t="str">
        <f t="shared" si="132"/>
        <v>DECOR</v>
      </c>
      <c r="AY179" s="1" t="str">
        <f t="shared" si="107"/>
        <v>PF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 t="str">
        <f t="shared" si="133"/>
        <v>R GOMMA CANVAS</v>
      </c>
      <c r="BF179" s="1" t="str">
        <f t="shared" si="108"/>
        <v>Bonis SpA</v>
      </c>
      <c r="BO179" s="1">
        <v>0</v>
      </c>
      <c r="BP179" s="1">
        <v>0</v>
      </c>
      <c r="BQ179" s="1">
        <v>0</v>
      </c>
    </row>
    <row r="180" spans="2:69" x14ac:dyDescent="0.25">
      <c r="B180" s="1">
        <v>1742</v>
      </c>
      <c r="C180" s="1" t="str">
        <f t="shared" si="127"/>
        <v>DECOR4237S7/C1</v>
      </c>
      <c r="D180" s="1" t="str">
        <f>"ODA17N00003-045"</f>
        <v>ODA17N00003-045</v>
      </c>
      <c r="E180" s="1" t="str">
        <f t="shared" si="128"/>
        <v>D12 USPA</v>
      </c>
      <c r="F180" s="1" t="str">
        <f t="shared" si="93"/>
        <v>BONIS SPA</v>
      </c>
      <c r="G180" s="1" t="str">
        <f t="shared" si="94"/>
        <v>STOCK TERRA MP</v>
      </c>
      <c r="H180" s="1" t="str">
        <f t="shared" si="126"/>
        <v>WHI</v>
      </c>
      <c r="J180" s="1">
        <v>1</v>
      </c>
      <c r="K180" s="1">
        <f t="shared" si="123"/>
        <v>12</v>
      </c>
      <c r="L180" s="1" t="str">
        <f t="shared" si="95"/>
        <v>01</v>
      </c>
      <c r="M180" s="1" t="str">
        <f t="shared" si="96"/>
        <v>101</v>
      </c>
      <c r="N180" s="1" t="str">
        <f t="shared" si="134"/>
        <v>011</v>
      </c>
      <c r="O180" s="1" t="str">
        <f t="shared" si="97"/>
        <v>00</v>
      </c>
      <c r="P180" s="1" t="str">
        <f t="shared" si="98"/>
        <v>S</v>
      </c>
      <c r="Q180" s="1" t="str">
        <f t="shared" si="99"/>
        <v>P</v>
      </c>
      <c r="R180" s="1" t="str">
        <f t="shared" si="100"/>
        <v>01</v>
      </c>
      <c r="S180" s="1" t="str">
        <f t="shared" si="101"/>
        <v>03</v>
      </c>
      <c r="T180" s="1" t="str">
        <f t="shared" si="102"/>
        <v>False</v>
      </c>
      <c r="U180" s="1" t="str">
        <f t="shared" si="103"/>
        <v>True</v>
      </c>
      <c r="V180" s="1" t="str">
        <f t="shared" si="135"/>
        <v>U0031314</v>
      </c>
      <c r="W180" s="1">
        <v>1</v>
      </c>
      <c r="Y180" s="1">
        <v>0</v>
      </c>
      <c r="Z180" s="1">
        <v>0</v>
      </c>
      <c r="AB180" s="1" t="str">
        <f t="shared" si="124"/>
        <v>SMU</v>
      </c>
      <c r="AD180" s="1" t="str">
        <f t="shared" si="129"/>
        <v>4520308</v>
      </c>
      <c r="AE180" s="1" t="str">
        <f t="shared" si="130"/>
        <v>QUANZHOU REORDERS FORSUN</v>
      </c>
      <c r="AG180" s="1">
        <v>0</v>
      </c>
      <c r="AH180" s="1">
        <v>0</v>
      </c>
      <c r="AI180" s="1" t="str">
        <f t="shared" si="104"/>
        <v>F06</v>
      </c>
      <c r="AJ180" s="1" t="str">
        <f t="shared" si="131"/>
        <v>WOMAN</v>
      </c>
      <c r="AK180" s="1" t="str">
        <f t="shared" si="105"/>
        <v>PA</v>
      </c>
      <c r="AP180" s="1" t="str">
        <f t="shared" si="106"/>
        <v>False</v>
      </c>
      <c r="AR180" s="1" t="str">
        <f t="shared" si="132"/>
        <v>DECOR</v>
      </c>
      <c r="AY180" s="1" t="str">
        <f t="shared" si="107"/>
        <v>PF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 t="str">
        <f t="shared" si="133"/>
        <v>R GOMMA CANVAS</v>
      </c>
      <c r="BF180" s="1" t="str">
        <f t="shared" si="108"/>
        <v>Bonis SpA</v>
      </c>
      <c r="BO180" s="1">
        <v>0</v>
      </c>
      <c r="BP180" s="1">
        <v>0</v>
      </c>
      <c r="BQ180" s="1">
        <v>0</v>
      </c>
    </row>
    <row r="181" spans="2:69" x14ac:dyDescent="0.25">
      <c r="B181" s="1">
        <v>1742</v>
      </c>
      <c r="C181" s="1" t="str">
        <f t="shared" si="127"/>
        <v>DECOR4237S7/C1</v>
      </c>
      <c r="D181" s="1" t="str">
        <f>"ODA17N00003-049"</f>
        <v>ODA17N00003-049</v>
      </c>
      <c r="E181" s="1" t="str">
        <f t="shared" si="128"/>
        <v>D12 USPA</v>
      </c>
      <c r="F181" s="1" t="str">
        <f t="shared" si="93"/>
        <v>BONIS SPA</v>
      </c>
      <c r="G181" s="1" t="str">
        <f t="shared" si="94"/>
        <v>STOCK TERRA MP</v>
      </c>
      <c r="H181" s="1" t="str">
        <f t="shared" si="126"/>
        <v>WHI</v>
      </c>
      <c r="J181" s="1">
        <v>1</v>
      </c>
      <c r="K181" s="1">
        <f t="shared" si="123"/>
        <v>12</v>
      </c>
      <c r="L181" s="1" t="str">
        <f t="shared" si="95"/>
        <v>01</v>
      </c>
      <c r="M181" s="1" t="str">
        <f t="shared" si="96"/>
        <v>101</v>
      </c>
      <c r="N181" s="1" t="str">
        <f t="shared" si="134"/>
        <v>011</v>
      </c>
      <c r="O181" s="1" t="str">
        <f t="shared" si="97"/>
        <v>00</v>
      </c>
      <c r="P181" s="1" t="str">
        <f t="shared" si="98"/>
        <v>S</v>
      </c>
      <c r="Q181" s="1" t="str">
        <f t="shared" si="99"/>
        <v>P</v>
      </c>
      <c r="R181" s="1" t="str">
        <f t="shared" si="100"/>
        <v>01</v>
      </c>
      <c r="S181" s="1" t="str">
        <f t="shared" si="101"/>
        <v>03</v>
      </c>
      <c r="T181" s="1" t="str">
        <f t="shared" si="102"/>
        <v>False</v>
      </c>
      <c r="U181" s="1" t="str">
        <f t="shared" si="103"/>
        <v>True</v>
      </c>
      <c r="V181" s="1" t="str">
        <f t="shared" si="135"/>
        <v>U0031314</v>
      </c>
      <c r="W181" s="1">
        <v>1</v>
      </c>
      <c r="Y181" s="1">
        <v>0</v>
      </c>
      <c r="Z181" s="1">
        <v>0</v>
      </c>
      <c r="AB181" s="1" t="str">
        <f t="shared" si="124"/>
        <v>SMU</v>
      </c>
      <c r="AD181" s="1" t="str">
        <f t="shared" si="129"/>
        <v>4520308</v>
      </c>
      <c r="AE181" s="1" t="str">
        <f t="shared" si="130"/>
        <v>QUANZHOU REORDERS FORSUN</v>
      </c>
      <c r="AG181" s="1">
        <v>0</v>
      </c>
      <c r="AH181" s="1">
        <v>0</v>
      </c>
      <c r="AI181" s="1" t="str">
        <f t="shared" si="104"/>
        <v>F06</v>
      </c>
      <c r="AJ181" s="1" t="str">
        <f t="shared" si="131"/>
        <v>WOMAN</v>
      </c>
      <c r="AK181" s="1" t="str">
        <f t="shared" si="105"/>
        <v>PA</v>
      </c>
      <c r="AP181" s="1" t="str">
        <f t="shared" si="106"/>
        <v>False</v>
      </c>
      <c r="AR181" s="1" t="str">
        <f t="shared" si="132"/>
        <v>DECOR</v>
      </c>
      <c r="AY181" s="1" t="str">
        <f t="shared" si="107"/>
        <v>PF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 t="str">
        <f t="shared" si="133"/>
        <v>R GOMMA CANVAS</v>
      </c>
      <c r="BF181" s="1" t="str">
        <f t="shared" si="108"/>
        <v>Bonis SpA</v>
      </c>
      <c r="BO181" s="1">
        <v>0</v>
      </c>
      <c r="BP181" s="1">
        <v>0</v>
      </c>
      <c r="BQ181" s="1">
        <v>0</v>
      </c>
    </row>
    <row r="182" spans="2:69" x14ac:dyDescent="0.25">
      <c r="B182" s="1">
        <v>1742</v>
      </c>
      <c r="C182" s="1" t="str">
        <f t="shared" si="127"/>
        <v>DECOR4237S7/C1</v>
      </c>
      <c r="D182" s="1" t="str">
        <f>"ODA17N00003-058"</f>
        <v>ODA17N00003-058</v>
      </c>
      <c r="E182" s="1" t="str">
        <f t="shared" si="128"/>
        <v>D12 USPA</v>
      </c>
      <c r="F182" s="1" t="str">
        <f t="shared" si="93"/>
        <v>BONIS SPA</v>
      </c>
      <c r="G182" s="1" t="str">
        <f t="shared" si="94"/>
        <v>STOCK TERRA MP</v>
      </c>
      <c r="H182" s="1" t="str">
        <f t="shared" si="126"/>
        <v>WHI</v>
      </c>
      <c r="J182" s="1">
        <v>1</v>
      </c>
      <c r="K182" s="1">
        <f t="shared" si="123"/>
        <v>12</v>
      </c>
      <c r="L182" s="1" t="str">
        <f t="shared" si="95"/>
        <v>01</v>
      </c>
      <c r="M182" s="1" t="str">
        <f t="shared" si="96"/>
        <v>101</v>
      </c>
      <c r="N182" s="1" t="str">
        <f t="shared" si="134"/>
        <v>011</v>
      </c>
      <c r="O182" s="1" t="str">
        <f t="shared" si="97"/>
        <v>00</v>
      </c>
      <c r="P182" s="1" t="str">
        <f t="shared" si="98"/>
        <v>S</v>
      </c>
      <c r="Q182" s="1" t="str">
        <f t="shared" si="99"/>
        <v>P</v>
      </c>
      <c r="R182" s="1" t="str">
        <f t="shared" si="100"/>
        <v>01</v>
      </c>
      <c r="S182" s="1" t="str">
        <f t="shared" si="101"/>
        <v>03</v>
      </c>
      <c r="T182" s="1" t="str">
        <f t="shared" si="102"/>
        <v>False</v>
      </c>
      <c r="U182" s="1" t="str">
        <f t="shared" si="103"/>
        <v>True</v>
      </c>
      <c r="V182" s="1" t="str">
        <f t="shared" si="135"/>
        <v>U0031314</v>
      </c>
      <c r="W182" s="1">
        <v>1</v>
      </c>
      <c r="Y182" s="1">
        <v>0</v>
      </c>
      <c r="Z182" s="1">
        <v>0</v>
      </c>
      <c r="AB182" s="1" t="str">
        <f t="shared" si="124"/>
        <v>SMU</v>
      </c>
      <c r="AD182" s="1" t="str">
        <f t="shared" si="129"/>
        <v>4520308</v>
      </c>
      <c r="AE182" s="1" t="str">
        <f t="shared" si="130"/>
        <v>QUANZHOU REORDERS FORSUN</v>
      </c>
      <c r="AG182" s="1">
        <v>0</v>
      </c>
      <c r="AH182" s="1">
        <v>0</v>
      </c>
      <c r="AI182" s="1" t="str">
        <f t="shared" si="104"/>
        <v>F06</v>
      </c>
      <c r="AJ182" s="1" t="str">
        <f t="shared" si="131"/>
        <v>WOMAN</v>
      </c>
      <c r="AK182" s="1" t="str">
        <f t="shared" si="105"/>
        <v>PA</v>
      </c>
      <c r="AP182" s="1" t="str">
        <f t="shared" si="106"/>
        <v>False</v>
      </c>
      <c r="AR182" s="1" t="str">
        <f t="shared" si="132"/>
        <v>DECOR</v>
      </c>
      <c r="AY182" s="1" t="str">
        <f t="shared" si="107"/>
        <v>PF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 t="str">
        <f t="shared" si="133"/>
        <v>R GOMMA CANVAS</v>
      </c>
      <c r="BF182" s="1" t="str">
        <f t="shared" si="108"/>
        <v>Bonis SpA</v>
      </c>
      <c r="BO182" s="1">
        <v>0</v>
      </c>
      <c r="BP182" s="1">
        <v>0</v>
      </c>
      <c r="BQ182" s="1">
        <v>0</v>
      </c>
    </row>
    <row r="183" spans="2:69" x14ac:dyDescent="0.25">
      <c r="B183" s="1">
        <v>1742</v>
      </c>
      <c r="C183" s="1" t="str">
        <f t="shared" si="127"/>
        <v>DECOR4237S7/C1</v>
      </c>
      <c r="D183" s="1" t="str">
        <f>"ODA17N00003-060"</f>
        <v>ODA17N00003-060</v>
      </c>
      <c r="E183" s="1" t="str">
        <f t="shared" si="128"/>
        <v>D12 USPA</v>
      </c>
      <c r="F183" s="1" t="str">
        <f t="shared" si="93"/>
        <v>BONIS SPA</v>
      </c>
      <c r="G183" s="1" t="str">
        <f t="shared" si="94"/>
        <v>STOCK TERRA MP</v>
      </c>
      <c r="H183" s="1" t="str">
        <f t="shared" si="126"/>
        <v>WHI</v>
      </c>
      <c r="J183" s="1">
        <v>1</v>
      </c>
      <c r="K183" s="1">
        <f t="shared" si="123"/>
        <v>12</v>
      </c>
      <c r="L183" s="1" t="str">
        <f t="shared" si="95"/>
        <v>01</v>
      </c>
      <c r="M183" s="1" t="str">
        <f t="shared" si="96"/>
        <v>101</v>
      </c>
      <c r="N183" s="1" t="str">
        <f t="shared" si="134"/>
        <v>011</v>
      </c>
      <c r="O183" s="1" t="str">
        <f t="shared" si="97"/>
        <v>00</v>
      </c>
      <c r="P183" s="1" t="str">
        <f t="shared" si="98"/>
        <v>S</v>
      </c>
      <c r="Q183" s="1" t="str">
        <f t="shared" si="99"/>
        <v>P</v>
      </c>
      <c r="R183" s="1" t="str">
        <f t="shared" si="100"/>
        <v>01</v>
      </c>
      <c r="S183" s="1" t="str">
        <f t="shared" si="101"/>
        <v>03</v>
      </c>
      <c r="T183" s="1" t="str">
        <f t="shared" si="102"/>
        <v>False</v>
      </c>
      <c r="U183" s="1" t="str">
        <f t="shared" si="103"/>
        <v>True</v>
      </c>
      <c r="V183" s="1" t="str">
        <f t="shared" si="135"/>
        <v>U0031314</v>
      </c>
      <c r="W183" s="1">
        <v>1</v>
      </c>
      <c r="Y183" s="1">
        <v>0</v>
      </c>
      <c r="Z183" s="1">
        <v>0</v>
      </c>
      <c r="AB183" s="1" t="str">
        <f t="shared" si="124"/>
        <v>SMU</v>
      </c>
      <c r="AD183" s="1" t="str">
        <f t="shared" si="129"/>
        <v>4520308</v>
      </c>
      <c r="AE183" s="1" t="str">
        <f t="shared" si="130"/>
        <v>QUANZHOU REORDERS FORSUN</v>
      </c>
      <c r="AG183" s="1">
        <v>0</v>
      </c>
      <c r="AH183" s="1">
        <v>0</v>
      </c>
      <c r="AI183" s="1" t="str">
        <f t="shared" si="104"/>
        <v>F06</v>
      </c>
      <c r="AJ183" s="1" t="str">
        <f t="shared" si="131"/>
        <v>WOMAN</v>
      </c>
      <c r="AK183" s="1" t="str">
        <f t="shared" si="105"/>
        <v>PA</v>
      </c>
      <c r="AP183" s="1" t="str">
        <f t="shared" si="106"/>
        <v>False</v>
      </c>
      <c r="AR183" s="1" t="str">
        <f t="shared" si="132"/>
        <v>DECOR</v>
      </c>
      <c r="AY183" s="1" t="str">
        <f t="shared" si="107"/>
        <v>PF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 t="str">
        <f t="shared" si="133"/>
        <v>R GOMMA CANVAS</v>
      </c>
      <c r="BF183" s="1" t="str">
        <f t="shared" si="108"/>
        <v>Bonis SpA</v>
      </c>
      <c r="BO183" s="1">
        <v>0</v>
      </c>
      <c r="BP183" s="1">
        <v>0</v>
      </c>
      <c r="BQ183" s="1">
        <v>0</v>
      </c>
    </row>
    <row r="184" spans="2:69" x14ac:dyDescent="0.25">
      <c r="B184" s="1">
        <v>1742</v>
      </c>
      <c r="C184" s="1" t="str">
        <f t="shared" si="127"/>
        <v>DECOR4237S7/C1</v>
      </c>
      <c r="D184" s="1" t="str">
        <f>"ODA17N00003-061"</f>
        <v>ODA17N00003-061</v>
      </c>
      <c r="E184" s="1" t="str">
        <f t="shared" si="128"/>
        <v>D12 USPA</v>
      </c>
      <c r="F184" s="1" t="str">
        <f t="shared" si="93"/>
        <v>BONIS SPA</v>
      </c>
      <c r="G184" s="1" t="str">
        <f t="shared" si="94"/>
        <v>STOCK TERRA MP</v>
      </c>
      <c r="H184" s="1" t="str">
        <f t="shared" si="126"/>
        <v>WHI</v>
      </c>
      <c r="J184" s="1">
        <v>1</v>
      </c>
      <c r="K184" s="1">
        <f t="shared" si="123"/>
        <v>12</v>
      </c>
      <c r="L184" s="1" t="str">
        <f t="shared" si="95"/>
        <v>01</v>
      </c>
      <c r="M184" s="1" t="str">
        <f t="shared" si="96"/>
        <v>101</v>
      </c>
      <c r="N184" s="1" t="str">
        <f t="shared" si="134"/>
        <v>011</v>
      </c>
      <c r="O184" s="1" t="str">
        <f t="shared" si="97"/>
        <v>00</v>
      </c>
      <c r="P184" s="1" t="str">
        <f t="shared" si="98"/>
        <v>S</v>
      </c>
      <c r="Q184" s="1" t="str">
        <f t="shared" si="99"/>
        <v>P</v>
      </c>
      <c r="R184" s="1" t="str">
        <f t="shared" si="100"/>
        <v>01</v>
      </c>
      <c r="S184" s="1" t="str">
        <f t="shared" si="101"/>
        <v>03</v>
      </c>
      <c r="T184" s="1" t="str">
        <f t="shared" si="102"/>
        <v>False</v>
      </c>
      <c r="U184" s="1" t="str">
        <f t="shared" si="103"/>
        <v>True</v>
      </c>
      <c r="V184" s="1" t="str">
        <f t="shared" si="135"/>
        <v>U0031314</v>
      </c>
      <c r="W184" s="1">
        <v>1</v>
      </c>
      <c r="Y184" s="1">
        <v>0</v>
      </c>
      <c r="Z184" s="1">
        <v>0</v>
      </c>
      <c r="AB184" s="1" t="str">
        <f t="shared" si="124"/>
        <v>SMU</v>
      </c>
      <c r="AD184" s="1" t="str">
        <f t="shared" si="129"/>
        <v>4520308</v>
      </c>
      <c r="AE184" s="1" t="str">
        <f t="shared" si="130"/>
        <v>QUANZHOU REORDERS FORSUN</v>
      </c>
      <c r="AG184" s="1">
        <v>0</v>
      </c>
      <c r="AH184" s="1">
        <v>0</v>
      </c>
      <c r="AI184" s="1" t="str">
        <f t="shared" si="104"/>
        <v>F06</v>
      </c>
      <c r="AJ184" s="1" t="str">
        <f t="shared" si="131"/>
        <v>WOMAN</v>
      </c>
      <c r="AK184" s="1" t="str">
        <f t="shared" si="105"/>
        <v>PA</v>
      </c>
      <c r="AP184" s="1" t="str">
        <f t="shared" si="106"/>
        <v>False</v>
      </c>
      <c r="AR184" s="1" t="str">
        <f t="shared" si="132"/>
        <v>DECOR</v>
      </c>
      <c r="AY184" s="1" t="str">
        <f t="shared" si="107"/>
        <v>PF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 t="str">
        <f t="shared" si="133"/>
        <v>R GOMMA CANVAS</v>
      </c>
      <c r="BF184" s="1" t="str">
        <f t="shared" si="108"/>
        <v>Bonis SpA</v>
      </c>
      <c r="BO184" s="1">
        <v>0</v>
      </c>
      <c r="BP184" s="1">
        <v>0</v>
      </c>
      <c r="BQ184" s="1">
        <v>0</v>
      </c>
    </row>
    <row r="185" spans="2:69" x14ac:dyDescent="0.25">
      <c r="B185" s="1">
        <v>1742</v>
      </c>
      <c r="C185" s="1" t="str">
        <f t="shared" si="127"/>
        <v>DECOR4237S7/C1</v>
      </c>
      <c r="D185" s="1" t="str">
        <f>"ODA17N00003-065"</f>
        <v>ODA17N00003-065</v>
      </c>
      <c r="E185" s="1" t="str">
        <f t="shared" si="128"/>
        <v>D12 USPA</v>
      </c>
      <c r="F185" s="1" t="str">
        <f t="shared" si="93"/>
        <v>BONIS SPA</v>
      </c>
      <c r="G185" s="1" t="str">
        <f t="shared" si="94"/>
        <v>STOCK TERRA MP</v>
      </c>
      <c r="H185" s="1" t="str">
        <f t="shared" si="126"/>
        <v>WHI</v>
      </c>
      <c r="J185" s="1">
        <v>1</v>
      </c>
      <c r="K185" s="1">
        <f t="shared" si="123"/>
        <v>12</v>
      </c>
      <c r="L185" s="1" t="str">
        <f t="shared" si="95"/>
        <v>01</v>
      </c>
      <c r="M185" s="1" t="str">
        <f t="shared" si="96"/>
        <v>101</v>
      </c>
      <c r="N185" s="1" t="str">
        <f t="shared" si="134"/>
        <v>011</v>
      </c>
      <c r="O185" s="1" t="str">
        <f t="shared" si="97"/>
        <v>00</v>
      </c>
      <c r="P185" s="1" t="str">
        <f t="shared" si="98"/>
        <v>S</v>
      </c>
      <c r="Q185" s="1" t="str">
        <f t="shared" si="99"/>
        <v>P</v>
      </c>
      <c r="R185" s="1" t="str">
        <f t="shared" si="100"/>
        <v>01</v>
      </c>
      <c r="S185" s="1" t="str">
        <f t="shared" si="101"/>
        <v>03</v>
      </c>
      <c r="T185" s="1" t="str">
        <f t="shared" si="102"/>
        <v>False</v>
      </c>
      <c r="U185" s="1" t="str">
        <f t="shared" si="103"/>
        <v>True</v>
      </c>
      <c r="V185" s="1" t="str">
        <f t="shared" si="135"/>
        <v>U0031314</v>
      </c>
      <c r="W185" s="1">
        <v>1</v>
      </c>
      <c r="Y185" s="1">
        <v>0</v>
      </c>
      <c r="Z185" s="1">
        <v>0</v>
      </c>
      <c r="AB185" s="1" t="str">
        <f t="shared" si="124"/>
        <v>SMU</v>
      </c>
      <c r="AD185" s="1" t="str">
        <f t="shared" si="129"/>
        <v>4520308</v>
      </c>
      <c r="AE185" s="1" t="str">
        <f t="shared" si="130"/>
        <v>QUANZHOU REORDERS FORSUN</v>
      </c>
      <c r="AG185" s="1">
        <v>0</v>
      </c>
      <c r="AH185" s="1">
        <v>0</v>
      </c>
      <c r="AI185" s="1" t="str">
        <f t="shared" si="104"/>
        <v>F06</v>
      </c>
      <c r="AJ185" s="1" t="str">
        <f t="shared" si="131"/>
        <v>WOMAN</v>
      </c>
      <c r="AK185" s="1" t="str">
        <f t="shared" si="105"/>
        <v>PA</v>
      </c>
      <c r="AP185" s="1" t="str">
        <f t="shared" si="106"/>
        <v>False</v>
      </c>
      <c r="AR185" s="1" t="str">
        <f t="shared" si="132"/>
        <v>DECOR</v>
      </c>
      <c r="AY185" s="1" t="str">
        <f t="shared" si="107"/>
        <v>PF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 t="str">
        <f t="shared" si="133"/>
        <v>R GOMMA CANVAS</v>
      </c>
      <c r="BF185" s="1" t="str">
        <f t="shared" si="108"/>
        <v>Bonis SpA</v>
      </c>
      <c r="BO185" s="1">
        <v>0</v>
      </c>
      <c r="BP185" s="1">
        <v>0</v>
      </c>
      <c r="BQ185" s="1">
        <v>0</v>
      </c>
    </row>
    <row r="186" spans="2:69" x14ac:dyDescent="0.25">
      <c r="B186" s="1">
        <v>1742</v>
      </c>
      <c r="C186" s="1" t="str">
        <f t="shared" si="127"/>
        <v>DECOR4237S7/C1</v>
      </c>
      <c r="D186" s="1" t="str">
        <f>"ODA17N00003-067"</f>
        <v>ODA17N00003-067</v>
      </c>
      <c r="E186" s="1" t="str">
        <f t="shared" si="128"/>
        <v>D12 USPA</v>
      </c>
      <c r="F186" s="1" t="str">
        <f t="shared" si="93"/>
        <v>BONIS SPA</v>
      </c>
      <c r="G186" s="1" t="str">
        <f t="shared" si="94"/>
        <v>STOCK TERRA MP</v>
      </c>
      <c r="H186" s="1" t="str">
        <f t="shared" si="126"/>
        <v>WHI</v>
      </c>
      <c r="J186" s="1">
        <v>1</v>
      </c>
      <c r="K186" s="1">
        <f t="shared" si="123"/>
        <v>12</v>
      </c>
      <c r="L186" s="1" t="str">
        <f t="shared" si="95"/>
        <v>01</v>
      </c>
      <c r="M186" s="1" t="str">
        <f t="shared" si="96"/>
        <v>101</v>
      </c>
      <c r="N186" s="1" t="str">
        <f t="shared" si="134"/>
        <v>011</v>
      </c>
      <c r="O186" s="1" t="str">
        <f t="shared" si="97"/>
        <v>00</v>
      </c>
      <c r="P186" s="1" t="str">
        <f t="shared" si="98"/>
        <v>S</v>
      </c>
      <c r="Q186" s="1" t="str">
        <f t="shared" si="99"/>
        <v>P</v>
      </c>
      <c r="R186" s="1" t="str">
        <f t="shared" si="100"/>
        <v>01</v>
      </c>
      <c r="S186" s="1" t="str">
        <f t="shared" si="101"/>
        <v>03</v>
      </c>
      <c r="T186" s="1" t="str">
        <f t="shared" si="102"/>
        <v>False</v>
      </c>
      <c r="U186" s="1" t="str">
        <f t="shared" si="103"/>
        <v>True</v>
      </c>
      <c r="V186" s="1" t="str">
        <f t="shared" si="135"/>
        <v>U0031314</v>
      </c>
      <c r="W186" s="1">
        <v>1</v>
      </c>
      <c r="Y186" s="1">
        <v>0</v>
      </c>
      <c r="Z186" s="1">
        <v>0</v>
      </c>
      <c r="AB186" s="1" t="str">
        <f t="shared" ref="AB186:AB217" si="136">"SMU"</f>
        <v>SMU</v>
      </c>
      <c r="AD186" s="1" t="str">
        <f t="shared" si="129"/>
        <v>4520308</v>
      </c>
      <c r="AE186" s="1" t="str">
        <f t="shared" si="130"/>
        <v>QUANZHOU REORDERS FORSUN</v>
      </c>
      <c r="AG186" s="1">
        <v>0</v>
      </c>
      <c r="AH186" s="1">
        <v>0</v>
      </c>
      <c r="AI186" s="1" t="str">
        <f t="shared" si="104"/>
        <v>F06</v>
      </c>
      <c r="AJ186" s="1" t="str">
        <f t="shared" si="131"/>
        <v>WOMAN</v>
      </c>
      <c r="AK186" s="1" t="str">
        <f t="shared" si="105"/>
        <v>PA</v>
      </c>
      <c r="AP186" s="1" t="str">
        <f t="shared" si="106"/>
        <v>False</v>
      </c>
      <c r="AR186" s="1" t="str">
        <f t="shared" si="132"/>
        <v>DECOR</v>
      </c>
      <c r="AY186" s="1" t="str">
        <f t="shared" si="107"/>
        <v>PF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 t="str">
        <f t="shared" si="133"/>
        <v>R GOMMA CANVAS</v>
      </c>
      <c r="BF186" s="1" t="str">
        <f t="shared" si="108"/>
        <v>Bonis SpA</v>
      </c>
      <c r="BO186" s="1">
        <v>0</v>
      </c>
      <c r="BP186" s="1">
        <v>0</v>
      </c>
      <c r="BQ186" s="1">
        <v>0</v>
      </c>
    </row>
    <row r="187" spans="2:69" x14ac:dyDescent="0.25">
      <c r="B187" s="1">
        <v>1742</v>
      </c>
      <c r="C187" s="1" t="str">
        <f t="shared" si="127"/>
        <v>DECOR4237S7/C1</v>
      </c>
      <c r="D187" s="1" t="str">
        <f>"ODA17N00003-074"</f>
        <v>ODA17N00003-074</v>
      </c>
      <c r="E187" s="1" t="str">
        <f t="shared" si="128"/>
        <v>D12 USPA</v>
      </c>
      <c r="F187" s="1" t="str">
        <f t="shared" si="93"/>
        <v>BONIS SPA</v>
      </c>
      <c r="G187" s="1" t="str">
        <f t="shared" si="94"/>
        <v>STOCK TERRA MP</v>
      </c>
      <c r="H187" s="1" t="str">
        <f t="shared" si="126"/>
        <v>WHI</v>
      </c>
      <c r="J187" s="1">
        <v>1</v>
      </c>
      <c r="K187" s="1">
        <f t="shared" si="123"/>
        <v>12</v>
      </c>
      <c r="L187" s="1" t="str">
        <f t="shared" si="95"/>
        <v>01</v>
      </c>
      <c r="M187" s="1" t="str">
        <f t="shared" si="96"/>
        <v>101</v>
      </c>
      <c r="N187" s="1" t="str">
        <f t="shared" si="134"/>
        <v>011</v>
      </c>
      <c r="O187" s="1" t="str">
        <f t="shared" si="97"/>
        <v>00</v>
      </c>
      <c r="P187" s="1" t="str">
        <f t="shared" si="98"/>
        <v>S</v>
      </c>
      <c r="Q187" s="1" t="str">
        <f t="shared" si="99"/>
        <v>P</v>
      </c>
      <c r="R187" s="1" t="str">
        <f t="shared" si="100"/>
        <v>01</v>
      </c>
      <c r="S187" s="1" t="str">
        <f t="shared" si="101"/>
        <v>03</v>
      </c>
      <c r="T187" s="1" t="str">
        <f t="shared" si="102"/>
        <v>False</v>
      </c>
      <c r="U187" s="1" t="str">
        <f t="shared" si="103"/>
        <v>True</v>
      </c>
      <c r="V187" s="1" t="str">
        <f t="shared" si="135"/>
        <v>U0031314</v>
      </c>
      <c r="W187" s="1">
        <v>1</v>
      </c>
      <c r="Y187" s="1">
        <v>0</v>
      </c>
      <c r="Z187" s="1">
        <v>0</v>
      </c>
      <c r="AB187" s="1" t="str">
        <f t="shared" si="136"/>
        <v>SMU</v>
      </c>
      <c r="AD187" s="1" t="str">
        <f t="shared" si="129"/>
        <v>4520308</v>
      </c>
      <c r="AE187" s="1" t="str">
        <f t="shared" si="130"/>
        <v>QUANZHOU REORDERS FORSUN</v>
      </c>
      <c r="AG187" s="1">
        <v>0</v>
      </c>
      <c r="AH187" s="1">
        <v>0</v>
      </c>
      <c r="AI187" s="1" t="str">
        <f t="shared" si="104"/>
        <v>F06</v>
      </c>
      <c r="AJ187" s="1" t="str">
        <f t="shared" si="131"/>
        <v>WOMAN</v>
      </c>
      <c r="AK187" s="1" t="str">
        <f t="shared" si="105"/>
        <v>PA</v>
      </c>
      <c r="AP187" s="1" t="str">
        <f t="shared" si="106"/>
        <v>False</v>
      </c>
      <c r="AR187" s="1" t="str">
        <f t="shared" si="132"/>
        <v>DECOR</v>
      </c>
      <c r="AY187" s="1" t="str">
        <f t="shared" si="107"/>
        <v>PF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 t="str">
        <f t="shared" si="133"/>
        <v>R GOMMA CANVAS</v>
      </c>
      <c r="BF187" s="1" t="str">
        <f t="shared" si="108"/>
        <v>Bonis SpA</v>
      </c>
      <c r="BO187" s="1">
        <v>0</v>
      </c>
      <c r="BP187" s="1">
        <v>0</v>
      </c>
      <c r="BQ187" s="1">
        <v>0</v>
      </c>
    </row>
    <row r="188" spans="2:69" x14ac:dyDescent="0.25">
      <c r="B188" s="1">
        <v>1742</v>
      </c>
      <c r="C188" s="1" t="str">
        <f t="shared" si="127"/>
        <v>DECOR4237S7/C1</v>
      </c>
      <c r="D188" s="1" t="str">
        <f>"ODA17N00003-077"</f>
        <v>ODA17N00003-077</v>
      </c>
      <c r="E188" s="1" t="str">
        <f t="shared" si="128"/>
        <v>D12 USPA</v>
      </c>
      <c r="F188" s="1" t="str">
        <f t="shared" si="93"/>
        <v>BONIS SPA</v>
      </c>
      <c r="G188" s="1" t="str">
        <f t="shared" si="94"/>
        <v>STOCK TERRA MP</v>
      </c>
      <c r="H188" s="1" t="str">
        <f t="shared" si="126"/>
        <v>WHI</v>
      </c>
      <c r="J188" s="1">
        <v>1</v>
      </c>
      <c r="K188" s="1">
        <f t="shared" si="123"/>
        <v>12</v>
      </c>
      <c r="L188" s="1" t="str">
        <f t="shared" si="95"/>
        <v>01</v>
      </c>
      <c r="M188" s="1" t="str">
        <f t="shared" si="96"/>
        <v>101</v>
      </c>
      <c r="N188" s="1" t="str">
        <f t="shared" si="134"/>
        <v>011</v>
      </c>
      <c r="O188" s="1" t="str">
        <f t="shared" si="97"/>
        <v>00</v>
      </c>
      <c r="P188" s="1" t="str">
        <f t="shared" si="98"/>
        <v>S</v>
      </c>
      <c r="Q188" s="1" t="str">
        <f t="shared" si="99"/>
        <v>P</v>
      </c>
      <c r="R188" s="1" t="str">
        <f t="shared" si="100"/>
        <v>01</v>
      </c>
      <c r="S188" s="1" t="str">
        <f t="shared" si="101"/>
        <v>03</v>
      </c>
      <c r="T188" s="1" t="str">
        <f t="shared" si="102"/>
        <v>False</v>
      </c>
      <c r="U188" s="1" t="str">
        <f t="shared" si="103"/>
        <v>True</v>
      </c>
      <c r="V188" s="1" t="str">
        <f t="shared" si="135"/>
        <v>U0031314</v>
      </c>
      <c r="W188" s="1">
        <v>1</v>
      </c>
      <c r="Y188" s="1">
        <v>0</v>
      </c>
      <c r="Z188" s="1">
        <v>0</v>
      </c>
      <c r="AB188" s="1" t="str">
        <f t="shared" si="136"/>
        <v>SMU</v>
      </c>
      <c r="AD188" s="1" t="str">
        <f t="shared" si="129"/>
        <v>4520308</v>
      </c>
      <c r="AE188" s="1" t="str">
        <f t="shared" si="130"/>
        <v>QUANZHOU REORDERS FORSUN</v>
      </c>
      <c r="AG188" s="1">
        <v>0</v>
      </c>
      <c r="AH188" s="1">
        <v>0</v>
      </c>
      <c r="AI188" s="1" t="str">
        <f t="shared" si="104"/>
        <v>F06</v>
      </c>
      <c r="AJ188" s="1" t="str">
        <f t="shared" si="131"/>
        <v>WOMAN</v>
      </c>
      <c r="AK188" s="1" t="str">
        <f t="shared" si="105"/>
        <v>PA</v>
      </c>
      <c r="AP188" s="1" t="str">
        <f t="shared" si="106"/>
        <v>False</v>
      </c>
      <c r="AR188" s="1" t="str">
        <f t="shared" si="132"/>
        <v>DECOR</v>
      </c>
      <c r="AY188" s="1" t="str">
        <f t="shared" si="107"/>
        <v>PF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 t="str">
        <f t="shared" si="133"/>
        <v>R GOMMA CANVAS</v>
      </c>
      <c r="BF188" s="1" t="str">
        <f t="shared" si="108"/>
        <v>Bonis SpA</v>
      </c>
      <c r="BO188" s="1">
        <v>0</v>
      </c>
      <c r="BP188" s="1">
        <v>0</v>
      </c>
      <c r="BQ188" s="1">
        <v>0</v>
      </c>
    </row>
    <row r="189" spans="2:69" x14ac:dyDescent="0.25">
      <c r="B189" s="1">
        <v>1742</v>
      </c>
      <c r="C189" s="1" t="str">
        <f t="shared" si="127"/>
        <v>DECOR4237S7/C1</v>
      </c>
      <c r="D189" s="1" t="str">
        <f>"ODA17N00003-078"</f>
        <v>ODA17N00003-078</v>
      </c>
      <c r="E189" s="1" t="str">
        <f t="shared" si="128"/>
        <v>D12 USPA</v>
      </c>
      <c r="F189" s="1" t="str">
        <f t="shared" si="93"/>
        <v>BONIS SPA</v>
      </c>
      <c r="G189" s="1" t="str">
        <f t="shared" si="94"/>
        <v>STOCK TERRA MP</v>
      </c>
      <c r="H189" s="1" t="str">
        <f t="shared" si="126"/>
        <v>WHI</v>
      </c>
      <c r="J189" s="1">
        <v>1</v>
      </c>
      <c r="K189" s="1">
        <f t="shared" si="123"/>
        <v>12</v>
      </c>
      <c r="L189" s="1" t="str">
        <f t="shared" si="95"/>
        <v>01</v>
      </c>
      <c r="M189" s="1" t="str">
        <f t="shared" si="96"/>
        <v>101</v>
      </c>
      <c r="N189" s="1" t="str">
        <f t="shared" si="134"/>
        <v>011</v>
      </c>
      <c r="O189" s="1" t="str">
        <f t="shared" si="97"/>
        <v>00</v>
      </c>
      <c r="P189" s="1" t="str">
        <f t="shared" si="98"/>
        <v>S</v>
      </c>
      <c r="Q189" s="1" t="str">
        <f t="shared" si="99"/>
        <v>P</v>
      </c>
      <c r="R189" s="1" t="str">
        <f t="shared" si="100"/>
        <v>01</v>
      </c>
      <c r="S189" s="1" t="str">
        <f t="shared" si="101"/>
        <v>03</v>
      </c>
      <c r="T189" s="1" t="str">
        <f t="shared" si="102"/>
        <v>False</v>
      </c>
      <c r="U189" s="1" t="str">
        <f t="shared" si="103"/>
        <v>True</v>
      </c>
      <c r="V189" s="1" t="str">
        <f t="shared" si="135"/>
        <v>U0031314</v>
      </c>
      <c r="W189" s="1">
        <v>1</v>
      </c>
      <c r="Y189" s="1">
        <v>0</v>
      </c>
      <c r="Z189" s="1">
        <v>0</v>
      </c>
      <c r="AB189" s="1" t="str">
        <f t="shared" si="136"/>
        <v>SMU</v>
      </c>
      <c r="AD189" s="1" t="str">
        <f t="shared" si="129"/>
        <v>4520308</v>
      </c>
      <c r="AE189" s="1" t="str">
        <f t="shared" si="130"/>
        <v>QUANZHOU REORDERS FORSUN</v>
      </c>
      <c r="AG189" s="1">
        <v>0</v>
      </c>
      <c r="AH189" s="1">
        <v>0</v>
      </c>
      <c r="AI189" s="1" t="str">
        <f t="shared" si="104"/>
        <v>F06</v>
      </c>
      <c r="AJ189" s="1" t="str">
        <f t="shared" si="131"/>
        <v>WOMAN</v>
      </c>
      <c r="AK189" s="1" t="str">
        <f t="shared" si="105"/>
        <v>PA</v>
      </c>
      <c r="AP189" s="1" t="str">
        <f t="shared" si="106"/>
        <v>False</v>
      </c>
      <c r="AR189" s="1" t="str">
        <f t="shared" si="132"/>
        <v>DECOR</v>
      </c>
      <c r="AY189" s="1" t="str">
        <f t="shared" si="107"/>
        <v>PF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 t="str">
        <f t="shared" si="133"/>
        <v>R GOMMA CANVAS</v>
      </c>
      <c r="BF189" s="1" t="str">
        <f t="shared" si="108"/>
        <v>Bonis SpA</v>
      </c>
      <c r="BO189" s="1">
        <v>0</v>
      </c>
      <c r="BP189" s="1">
        <v>0</v>
      </c>
      <c r="BQ189" s="1">
        <v>0</v>
      </c>
    </row>
    <row r="190" spans="2:69" x14ac:dyDescent="0.25">
      <c r="B190" s="1">
        <v>1742</v>
      </c>
      <c r="C190" s="1" t="str">
        <f t="shared" si="127"/>
        <v>DECOR4237S7/C1</v>
      </c>
      <c r="D190" s="1" t="str">
        <f>"ODA17N00003-079"</f>
        <v>ODA17N00003-079</v>
      </c>
      <c r="E190" s="1" t="str">
        <f t="shared" si="128"/>
        <v>D12 USPA</v>
      </c>
      <c r="F190" s="1" t="str">
        <f t="shared" si="93"/>
        <v>BONIS SPA</v>
      </c>
      <c r="G190" s="1" t="str">
        <f t="shared" si="94"/>
        <v>STOCK TERRA MP</v>
      </c>
      <c r="H190" s="1" t="str">
        <f t="shared" si="126"/>
        <v>WHI</v>
      </c>
      <c r="J190" s="1">
        <v>1</v>
      </c>
      <c r="K190" s="1">
        <f t="shared" si="123"/>
        <v>12</v>
      </c>
      <c r="L190" s="1" t="str">
        <f t="shared" si="95"/>
        <v>01</v>
      </c>
      <c r="M190" s="1" t="str">
        <f t="shared" si="96"/>
        <v>101</v>
      </c>
      <c r="N190" s="1" t="str">
        <f t="shared" si="134"/>
        <v>011</v>
      </c>
      <c r="O190" s="1" t="str">
        <f t="shared" si="97"/>
        <v>00</v>
      </c>
      <c r="P190" s="1" t="str">
        <f t="shared" si="98"/>
        <v>S</v>
      </c>
      <c r="Q190" s="1" t="str">
        <f t="shared" si="99"/>
        <v>P</v>
      </c>
      <c r="R190" s="1" t="str">
        <f t="shared" si="100"/>
        <v>01</v>
      </c>
      <c r="S190" s="1" t="str">
        <f t="shared" si="101"/>
        <v>03</v>
      </c>
      <c r="T190" s="1" t="str">
        <f t="shared" si="102"/>
        <v>False</v>
      </c>
      <c r="U190" s="1" t="str">
        <f t="shared" si="103"/>
        <v>True</v>
      </c>
      <c r="V190" s="1" t="str">
        <f t="shared" si="135"/>
        <v>U0031314</v>
      </c>
      <c r="W190" s="1">
        <v>1</v>
      </c>
      <c r="Y190" s="1">
        <v>0</v>
      </c>
      <c r="Z190" s="1">
        <v>0</v>
      </c>
      <c r="AB190" s="1" t="str">
        <f t="shared" si="136"/>
        <v>SMU</v>
      </c>
      <c r="AD190" s="1" t="str">
        <f t="shared" si="129"/>
        <v>4520308</v>
      </c>
      <c r="AE190" s="1" t="str">
        <f t="shared" si="130"/>
        <v>QUANZHOU REORDERS FORSUN</v>
      </c>
      <c r="AG190" s="1">
        <v>0</v>
      </c>
      <c r="AH190" s="1">
        <v>0</v>
      </c>
      <c r="AI190" s="1" t="str">
        <f t="shared" si="104"/>
        <v>F06</v>
      </c>
      <c r="AJ190" s="1" t="str">
        <f t="shared" si="131"/>
        <v>WOMAN</v>
      </c>
      <c r="AK190" s="1" t="str">
        <f t="shared" si="105"/>
        <v>PA</v>
      </c>
      <c r="AP190" s="1" t="str">
        <f t="shared" si="106"/>
        <v>False</v>
      </c>
      <c r="AR190" s="1" t="str">
        <f t="shared" si="132"/>
        <v>DECOR</v>
      </c>
      <c r="AY190" s="1" t="str">
        <f t="shared" si="107"/>
        <v>PF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 t="str">
        <f t="shared" si="133"/>
        <v>R GOMMA CANVAS</v>
      </c>
      <c r="BF190" s="1" t="str">
        <f t="shared" si="108"/>
        <v>Bonis SpA</v>
      </c>
      <c r="BO190" s="1">
        <v>0</v>
      </c>
      <c r="BP190" s="1">
        <v>0</v>
      </c>
      <c r="BQ190" s="1">
        <v>0</v>
      </c>
    </row>
    <row r="191" spans="2:69" x14ac:dyDescent="0.25">
      <c r="B191" s="1">
        <v>1742</v>
      </c>
      <c r="C191" s="1" t="str">
        <f t="shared" si="127"/>
        <v>DECOR4237S7/C1</v>
      </c>
      <c r="D191" s="1" t="str">
        <f>"ODA17N00003-081"</f>
        <v>ODA17N00003-081</v>
      </c>
      <c r="E191" s="1" t="str">
        <f t="shared" si="128"/>
        <v>D12 USPA</v>
      </c>
      <c r="F191" s="1" t="str">
        <f t="shared" si="93"/>
        <v>BONIS SPA</v>
      </c>
      <c r="G191" s="1" t="str">
        <f t="shared" si="94"/>
        <v>STOCK TERRA MP</v>
      </c>
      <c r="H191" s="1" t="str">
        <f t="shared" si="126"/>
        <v>WHI</v>
      </c>
      <c r="J191" s="1">
        <v>1</v>
      </c>
      <c r="K191" s="1">
        <f t="shared" si="123"/>
        <v>12</v>
      </c>
      <c r="L191" s="1" t="str">
        <f t="shared" si="95"/>
        <v>01</v>
      </c>
      <c r="M191" s="1" t="str">
        <f t="shared" si="96"/>
        <v>101</v>
      </c>
      <c r="N191" s="1" t="str">
        <f t="shared" si="134"/>
        <v>011</v>
      </c>
      <c r="O191" s="1" t="str">
        <f t="shared" si="97"/>
        <v>00</v>
      </c>
      <c r="P191" s="1" t="str">
        <f t="shared" si="98"/>
        <v>S</v>
      </c>
      <c r="Q191" s="1" t="str">
        <f t="shared" si="99"/>
        <v>P</v>
      </c>
      <c r="R191" s="1" t="str">
        <f t="shared" si="100"/>
        <v>01</v>
      </c>
      <c r="S191" s="1" t="str">
        <f t="shared" si="101"/>
        <v>03</v>
      </c>
      <c r="T191" s="1" t="str">
        <f t="shared" si="102"/>
        <v>False</v>
      </c>
      <c r="U191" s="1" t="str">
        <f t="shared" si="103"/>
        <v>True</v>
      </c>
      <c r="V191" s="1" t="str">
        <f t="shared" si="135"/>
        <v>U0031314</v>
      </c>
      <c r="W191" s="1">
        <v>1</v>
      </c>
      <c r="Y191" s="1">
        <v>0</v>
      </c>
      <c r="Z191" s="1">
        <v>0</v>
      </c>
      <c r="AB191" s="1" t="str">
        <f t="shared" si="136"/>
        <v>SMU</v>
      </c>
      <c r="AD191" s="1" t="str">
        <f t="shared" si="129"/>
        <v>4520308</v>
      </c>
      <c r="AE191" s="1" t="str">
        <f t="shared" si="130"/>
        <v>QUANZHOU REORDERS FORSUN</v>
      </c>
      <c r="AG191" s="1">
        <v>0</v>
      </c>
      <c r="AH191" s="1">
        <v>0</v>
      </c>
      <c r="AI191" s="1" t="str">
        <f t="shared" si="104"/>
        <v>F06</v>
      </c>
      <c r="AJ191" s="1" t="str">
        <f t="shared" si="131"/>
        <v>WOMAN</v>
      </c>
      <c r="AK191" s="1" t="str">
        <f t="shared" si="105"/>
        <v>PA</v>
      </c>
      <c r="AP191" s="1" t="str">
        <f t="shared" si="106"/>
        <v>False</v>
      </c>
      <c r="AR191" s="1" t="str">
        <f t="shared" si="132"/>
        <v>DECOR</v>
      </c>
      <c r="AY191" s="1" t="str">
        <f t="shared" si="107"/>
        <v>PF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 t="str">
        <f t="shared" si="133"/>
        <v>R GOMMA CANVAS</v>
      </c>
      <c r="BF191" s="1" t="str">
        <f t="shared" si="108"/>
        <v>Bonis SpA</v>
      </c>
      <c r="BO191" s="1">
        <v>0</v>
      </c>
      <c r="BP191" s="1">
        <v>0</v>
      </c>
      <c r="BQ191" s="1">
        <v>0</v>
      </c>
    </row>
    <row r="192" spans="2:69" x14ac:dyDescent="0.25">
      <c r="B192" s="1">
        <v>1742</v>
      </c>
      <c r="C192" s="1" t="str">
        <f t="shared" si="127"/>
        <v>DECOR4237S7/C1</v>
      </c>
      <c r="D192" s="1" t="str">
        <f>"ODA17N00003-091"</f>
        <v>ODA17N00003-091</v>
      </c>
      <c r="E192" s="1" t="str">
        <f t="shared" si="128"/>
        <v>D12 USPA</v>
      </c>
      <c r="F192" s="1" t="str">
        <f t="shared" si="93"/>
        <v>BONIS SPA</v>
      </c>
      <c r="G192" s="1" t="str">
        <f t="shared" si="94"/>
        <v>STOCK TERRA MP</v>
      </c>
      <c r="H192" s="1" t="str">
        <f t="shared" si="126"/>
        <v>WHI</v>
      </c>
      <c r="J192" s="1">
        <v>1</v>
      </c>
      <c r="K192" s="1">
        <f t="shared" si="123"/>
        <v>12</v>
      </c>
      <c r="L192" s="1" t="str">
        <f t="shared" si="95"/>
        <v>01</v>
      </c>
      <c r="M192" s="1" t="str">
        <f t="shared" si="96"/>
        <v>101</v>
      </c>
      <c r="N192" s="1" t="str">
        <f t="shared" si="134"/>
        <v>011</v>
      </c>
      <c r="O192" s="1" t="str">
        <f t="shared" si="97"/>
        <v>00</v>
      </c>
      <c r="P192" s="1" t="str">
        <f t="shared" si="98"/>
        <v>S</v>
      </c>
      <c r="Q192" s="1" t="str">
        <f t="shared" si="99"/>
        <v>P</v>
      </c>
      <c r="R192" s="1" t="str">
        <f t="shared" si="100"/>
        <v>01</v>
      </c>
      <c r="S192" s="1" t="str">
        <f t="shared" si="101"/>
        <v>03</v>
      </c>
      <c r="T192" s="1" t="str">
        <f t="shared" si="102"/>
        <v>False</v>
      </c>
      <c r="U192" s="1" t="str">
        <f t="shared" si="103"/>
        <v>True</v>
      </c>
      <c r="V192" s="1" t="str">
        <f t="shared" si="135"/>
        <v>U0031314</v>
      </c>
      <c r="W192" s="1">
        <v>1</v>
      </c>
      <c r="Y192" s="1">
        <v>0</v>
      </c>
      <c r="Z192" s="1">
        <v>0</v>
      </c>
      <c r="AB192" s="1" t="str">
        <f t="shared" si="136"/>
        <v>SMU</v>
      </c>
      <c r="AD192" s="1" t="str">
        <f t="shared" si="129"/>
        <v>4520308</v>
      </c>
      <c r="AE192" s="1" t="str">
        <f t="shared" si="130"/>
        <v>QUANZHOU REORDERS FORSUN</v>
      </c>
      <c r="AG192" s="1">
        <v>0</v>
      </c>
      <c r="AH192" s="1">
        <v>0</v>
      </c>
      <c r="AI192" s="1" t="str">
        <f t="shared" si="104"/>
        <v>F06</v>
      </c>
      <c r="AJ192" s="1" t="str">
        <f t="shared" si="131"/>
        <v>WOMAN</v>
      </c>
      <c r="AK192" s="1" t="str">
        <f t="shared" si="105"/>
        <v>PA</v>
      </c>
      <c r="AP192" s="1" t="str">
        <f t="shared" si="106"/>
        <v>False</v>
      </c>
      <c r="AR192" s="1" t="str">
        <f t="shared" si="132"/>
        <v>DECOR</v>
      </c>
      <c r="AY192" s="1" t="str">
        <f t="shared" si="107"/>
        <v>PF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 t="str">
        <f t="shared" si="133"/>
        <v>R GOMMA CANVAS</v>
      </c>
      <c r="BF192" s="1" t="str">
        <f t="shared" si="108"/>
        <v>Bonis SpA</v>
      </c>
      <c r="BO192" s="1">
        <v>0</v>
      </c>
      <c r="BP192" s="1">
        <v>0</v>
      </c>
      <c r="BQ192" s="1">
        <v>0</v>
      </c>
    </row>
    <row r="193" spans="2:69" x14ac:dyDescent="0.25">
      <c r="B193" s="1">
        <v>1742</v>
      </c>
      <c r="C193" s="1" t="str">
        <f t="shared" si="127"/>
        <v>DECOR4237S7/C1</v>
      </c>
      <c r="D193" s="1" t="str">
        <f>"ODA17N00003-093"</f>
        <v>ODA17N00003-093</v>
      </c>
      <c r="E193" s="1" t="str">
        <f t="shared" si="128"/>
        <v>D12 USPA</v>
      </c>
      <c r="F193" s="1" t="str">
        <f t="shared" si="93"/>
        <v>BONIS SPA</v>
      </c>
      <c r="G193" s="1" t="str">
        <f t="shared" si="94"/>
        <v>STOCK TERRA MP</v>
      </c>
      <c r="H193" s="1" t="str">
        <f t="shared" si="126"/>
        <v>WHI</v>
      </c>
      <c r="J193" s="1">
        <v>1</v>
      </c>
      <c r="K193" s="1">
        <f t="shared" si="123"/>
        <v>12</v>
      </c>
      <c r="L193" s="1" t="str">
        <f t="shared" si="95"/>
        <v>01</v>
      </c>
      <c r="M193" s="1" t="str">
        <f t="shared" si="96"/>
        <v>101</v>
      </c>
      <c r="N193" s="1" t="str">
        <f t="shared" si="134"/>
        <v>011</v>
      </c>
      <c r="O193" s="1" t="str">
        <f t="shared" si="97"/>
        <v>00</v>
      </c>
      <c r="P193" s="1" t="str">
        <f t="shared" si="98"/>
        <v>S</v>
      </c>
      <c r="Q193" s="1" t="str">
        <f t="shared" si="99"/>
        <v>P</v>
      </c>
      <c r="R193" s="1" t="str">
        <f t="shared" si="100"/>
        <v>01</v>
      </c>
      <c r="S193" s="1" t="str">
        <f t="shared" si="101"/>
        <v>03</v>
      </c>
      <c r="T193" s="1" t="str">
        <f t="shared" si="102"/>
        <v>False</v>
      </c>
      <c r="U193" s="1" t="str">
        <f t="shared" si="103"/>
        <v>True</v>
      </c>
      <c r="V193" s="1" t="str">
        <f t="shared" si="135"/>
        <v>U0031314</v>
      </c>
      <c r="W193" s="1">
        <v>1</v>
      </c>
      <c r="Y193" s="1">
        <v>0</v>
      </c>
      <c r="Z193" s="1">
        <v>0</v>
      </c>
      <c r="AB193" s="1" t="str">
        <f t="shared" si="136"/>
        <v>SMU</v>
      </c>
      <c r="AD193" s="1" t="str">
        <f t="shared" si="129"/>
        <v>4520308</v>
      </c>
      <c r="AE193" s="1" t="str">
        <f t="shared" si="130"/>
        <v>QUANZHOU REORDERS FORSUN</v>
      </c>
      <c r="AG193" s="1">
        <v>0</v>
      </c>
      <c r="AH193" s="1">
        <v>0</v>
      </c>
      <c r="AI193" s="1" t="str">
        <f t="shared" si="104"/>
        <v>F06</v>
      </c>
      <c r="AJ193" s="1" t="str">
        <f t="shared" si="131"/>
        <v>WOMAN</v>
      </c>
      <c r="AK193" s="1" t="str">
        <f t="shared" si="105"/>
        <v>PA</v>
      </c>
      <c r="AP193" s="1" t="str">
        <f t="shared" si="106"/>
        <v>False</v>
      </c>
      <c r="AR193" s="1" t="str">
        <f t="shared" si="132"/>
        <v>DECOR</v>
      </c>
      <c r="AY193" s="1" t="str">
        <f t="shared" si="107"/>
        <v>PF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 t="str">
        <f t="shared" si="133"/>
        <v>R GOMMA CANVAS</v>
      </c>
      <c r="BF193" s="1" t="str">
        <f t="shared" si="108"/>
        <v>Bonis SpA</v>
      </c>
      <c r="BO193" s="1">
        <v>0</v>
      </c>
      <c r="BP193" s="1">
        <v>0</v>
      </c>
      <c r="BQ193" s="1">
        <v>0</v>
      </c>
    </row>
    <row r="194" spans="2:69" x14ac:dyDescent="0.25">
      <c r="B194" s="1">
        <v>1744</v>
      </c>
      <c r="C194" s="1" t="str">
        <f t="shared" si="127"/>
        <v>DECOR4237S7/C1</v>
      </c>
      <c r="D194" s="1" t="str">
        <f>"ODA17N00003-096"</f>
        <v>ODA17N00003-096</v>
      </c>
      <c r="E194" s="1" t="str">
        <f t="shared" si="128"/>
        <v>D12 USPA</v>
      </c>
      <c r="F194" s="1" t="str">
        <f t="shared" ref="F194:F257" si="137">"BONIS SPA"</f>
        <v>BONIS SPA</v>
      </c>
      <c r="G194" s="1" t="str">
        <f t="shared" ref="G194:G257" si="138">"STOCK TERRA MP"</f>
        <v>STOCK TERRA MP</v>
      </c>
      <c r="H194" s="1" t="str">
        <f t="shared" si="126"/>
        <v>WHI</v>
      </c>
      <c r="J194" s="1">
        <v>1</v>
      </c>
      <c r="K194" s="1">
        <f t="shared" si="123"/>
        <v>12</v>
      </c>
      <c r="L194" s="1" t="str">
        <f t="shared" ref="L194:L257" si="139">"01"</f>
        <v>01</v>
      </c>
      <c r="M194" s="1" t="str">
        <f t="shared" ref="M194:M257" si="140">"101"</f>
        <v>101</v>
      </c>
      <c r="N194" s="1" t="str">
        <f>"013"</f>
        <v>013</v>
      </c>
      <c r="O194" s="1" t="str">
        <f t="shared" ref="O194:O257" si="141">"00"</f>
        <v>00</v>
      </c>
      <c r="P194" s="1" t="str">
        <f t="shared" ref="P194:P257" si="142">"S"</f>
        <v>S</v>
      </c>
      <c r="Q194" s="1" t="str">
        <f t="shared" ref="Q194:Q257" si="143">"P"</f>
        <v>P</v>
      </c>
      <c r="R194" s="1" t="str">
        <f t="shared" ref="R194:R257" si="144">"01"</f>
        <v>01</v>
      </c>
      <c r="S194" s="1" t="str">
        <f t="shared" ref="S194:S257" si="145">"03"</f>
        <v>03</v>
      </c>
      <c r="T194" s="1" t="str">
        <f t="shared" ref="T194:T257" si="146">"False"</f>
        <v>False</v>
      </c>
      <c r="U194" s="1" t="str">
        <f t="shared" ref="U194:U257" si="147">"True"</f>
        <v>True</v>
      </c>
      <c r="V194" s="1" t="str">
        <f>"U0023677"</f>
        <v>U0023677</v>
      </c>
      <c r="W194" s="1">
        <v>1</v>
      </c>
      <c r="Y194" s="1">
        <v>0</v>
      </c>
      <c r="Z194" s="1">
        <v>0</v>
      </c>
      <c r="AB194" s="1" t="str">
        <f t="shared" si="136"/>
        <v>SMU</v>
      </c>
      <c r="AD194" s="1" t="str">
        <f t="shared" si="129"/>
        <v>4520308</v>
      </c>
      <c r="AE194" s="1" t="str">
        <f t="shared" si="130"/>
        <v>QUANZHOU REORDERS FORSUN</v>
      </c>
      <c r="AG194" s="1">
        <v>0</v>
      </c>
      <c r="AH194" s="1">
        <v>0</v>
      </c>
      <c r="AI194" s="1" t="str">
        <f t="shared" ref="AI194:AI257" si="148">"F06"</f>
        <v>F06</v>
      </c>
      <c r="AJ194" s="1" t="str">
        <f t="shared" si="131"/>
        <v>WOMAN</v>
      </c>
      <c r="AK194" s="1" t="str">
        <f t="shared" ref="AK194:AK257" si="149">"PA"</f>
        <v>PA</v>
      </c>
      <c r="AP194" s="1" t="str">
        <f t="shared" ref="AP194:AP257" si="150">"False"</f>
        <v>False</v>
      </c>
      <c r="AR194" s="1" t="str">
        <f t="shared" si="132"/>
        <v>DECOR</v>
      </c>
      <c r="AY194" s="1" t="str">
        <f t="shared" ref="AY194:AY257" si="151">"PF"</f>
        <v>PF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 t="str">
        <f t="shared" si="133"/>
        <v>R GOMMA CANVAS</v>
      </c>
      <c r="BF194" s="1" t="str">
        <f t="shared" ref="BF194:BF257" si="152">"Bonis SpA"</f>
        <v>Bonis SpA</v>
      </c>
      <c r="BO194" s="1">
        <v>0</v>
      </c>
      <c r="BP194" s="1">
        <v>0</v>
      </c>
      <c r="BQ194" s="1">
        <v>0</v>
      </c>
    </row>
    <row r="195" spans="2:69" x14ac:dyDescent="0.25">
      <c r="B195" s="1">
        <v>1742</v>
      </c>
      <c r="C195" s="1" t="str">
        <f t="shared" si="127"/>
        <v>DECOR4237S7/C1</v>
      </c>
      <c r="D195" s="1" t="str">
        <f>"ODA17N00003-098"</f>
        <v>ODA17N00003-098</v>
      </c>
      <c r="E195" s="1" t="str">
        <f t="shared" si="128"/>
        <v>D12 USPA</v>
      </c>
      <c r="F195" s="1" t="str">
        <f t="shared" si="137"/>
        <v>BONIS SPA</v>
      </c>
      <c r="G195" s="1" t="str">
        <f t="shared" si="138"/>
        <v>STOCK TERRA MP</v>
      </c>
      <c r="H195" s="1" t="str">
        <f t="shared" si="126"/>
        <v>WHI</v>
      </c>
      <c r="J195" s="1">
        <v>1</v>
      </c>
      <c r="K195" s="1">
        <f t="shared" si="123"/>
        <v>12</v>
      </c>
      <c r="L195" s="1" t="str">
        <f t="shared" si="139"/>
        <v>01</v>
      </c>
      <c r="M195" s="1" t="str">
        <f t="shared" si="140"/>
        <v>101</v>
      </c>
      <c r="N195" s="1" t="str">
        <f>"011"</f>
        <v>011</v>
      </c>
      <c r="O195" s="1" t="str">
        <f t="shared" si="141"/>
        <v>00</v>
      </c>
      <c r="P195" s="1" t="str">
        <f t="shared" si="142"/>
        <v>S</v>
      </c>
      <c r="Q195" s="1" t="str">
        <f t="shared" si="143"/>
        <v>P</v>
      </c>
      <c r="R195" s="1" t="str">
        <f t="shared" si="144"/>
        <v>01</v>
      </c>
      <c r="S195" s="1" t="str">
        <f t="shared" si="145"/>
        <v>03</v>
      </c>
      <c r="T195" s="1" t="str">
        <f t="shared" si="146"/>
        <v>False</v>
      </c>
      <c r="U195" s="1" t="str">
        <f t="shared" si="147"/>
        <v>True</v>
      </c>
      <c r="V195" s="1" t="str">
        <f>"U0031314"</f>
        <v>U0031314</v>
      </c>
      <c r="W195" s="1">
        <v>1</v>
      </c>
      <c r="Y195" s="1">
        <v>0</v>
      </c>
      <c r="Z195" s="1">
        <v>0</v>
      </c>
      <c r="AB195" s="1" t="str">
        <f t="shared" si="136"/>
        <v>SMU</v>
      </c>
      <c r="AD195" s="1" t="str">
        <f t="shared" si="129"/>
        <v>4520308</v>
      </c>
      <c r="AE195" s="1" t="str">
        <f t="shared" si="130"/>
        <v>QUANZHOU REORDERS FORSUN</v>
      </c>
      <c r="AG195" s="1">
        <v>0</v>
      </c>
      <c r="AH195" s="1">
        <v>0</v>
      </c>
      <c r="AI195" s="1" t="str">
        <f t="shared" si="148"/>
        <v>F06</v>
      </c>
      <c r="AJ195" s="1" t="str">
        <f t="shared" si="131"/>
        <v>WOMAN</v>
      </c>
      <c r="AK195" s="1" t="str">
        <f t="shared" si="149"/>
        <v>PA</v>
      </c>
      <c r="AP195" s="1" t="str">
        <f t="shared" si="150"/>
        <v>False</v>
      </c>
      <c r="AR195" s="1" t="str">
        <f t="shared" si="132"/>
        <v>DECOR</v>
      </c>
      <c r="AY195" s="1" t="str">
        <f t="shared" si="151"/>
        <v>PF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 t="str">
        <f t="shared" si="133"/>
        <v>R GOMMA CANVAS</v>
      </c>
      <c r="BF195" s="1" t="str">
        <f t="shared" si="152"/>
        <v>Bonis SpA</v>
      </c>
      <c r="BO195" s="1">
        <v>0</v>
      </c>
      <c r="BP195" s="1">
        <v>0</v>
      </c>
      <c r="BQ195" s="1">
        <v>0</v>
      </c>
    </row>
    <row r="196" spans="2:69" x14ac:dyDescent="0.25">
      <c r="B196" s="1">
        <v>1743</v>
      </c>
      <c r="C196" s="1" t="str">
        <f t="shared" si="127"/>
        <v>DECOR4237S7/C1</v>
      </c>
      <c r="D196" s="1" t="str">
        <f>"ODA17N00003-101"</f>
        <v>ODA17N00003-101</v>
      </c>
      <c r="E196" s="1" t="str">
        <f t="shared" si="128"/>
        <v>D12 USPA</v>
      </c>
      <c r="F196" s="1" t="str">
        <f t="shared" si="137"/>
        <v>BONIS SPA</v>
      </c>
      <c r="G196" s="1" t="str">
        <f t="shared" si="138"/>
        <v>STOCK TERRA MP</v>
      </c>
      <c r="H196" s="1" t="str">
        <f t="shared" ref="H196:H229" si="153">"BLK"</f>
        <v>BLK</v>
      </c>
      <c r="J196" s="1">
        <v>1</v>
      </c>
      <c r="K196" s="1">
        <f t="shared" si="123"/>
        <v>12</v>
      </c>
      <c r="L196" s="1" t="str">
        <f t="shared" si="139"/>
        <v>01</v>
      </c>
      <c r="M196" s="1" t="str">
        <f t="shared" si="140"/>
        <v>101</v>
      </c>
      <c r="N196" s="1" t="str">
        <f t="shared" ref="N196:N229" si="154">"012"</f>
        <v>012</v>
      </c>
      <c r="O196" s="1" t="str">
        <f t="shared" si="141"/>
        <v>00</v>
      </c>
      <c r="P196" s="1" t="str">
        <f t="shared" si="142"/>
        <v>S</v>
      </c>
      <c r="Q196" s="1" t="str">
        <f t="shared" si="143"/>
        <v>P</v>
      </c>
      <c r="R196" s="1" t="str">
        <f t="shared" si="144"/>
        <v>01</v>
      </c>
      <c r="S196" s="1" t="str">
        <f t="shared" si="145"/>
        <v>03</v>
      </c>
      <c r="T196" s="1" t="str">
        <f t="shared" si="146"/>
        <v>False</v>
      </c>
      <c r="U196" s="1" t="str">
        <f t="shared" si="147"/>
        <v>True</v>
      </c>
      <c r="V196" s="1" t="str">
        <f>"U0031318"</f>
        <v>U0031318</v>
      </c>
      <c r="W196" s="1">
        <v>1</v>
      </c>
      <c r="Y196" s="1">
        <v>0</v>
      </c>
      <c r="Z196" s="1">
        <v>0</v>
      </c>
      <c r="AB196" s="1" t="str">
        <f t="shared" si="136"/>
        <v>SMU</v>
      </c>
      <c r="AD196" s="1" t="str">
        <f t="shared" si="129"/>
        <v>4520308</v>
      </c>
      <c r="AE196" s="1" t="str">
        <f t="shared" si="130"/>
        <v>QUANZHOU REORDERS FORSUN</v>
      </c>
      <c r="AG196" s="1">
        <v>0</v>
      </c>
      <c r="AH196" s="1">
        <v>0</v>
      </c>
      <c r="AI196" s="1" t="str">
        <f t="shared" si="148"/>
        <v>F06</v>
      </c>
      <c r="AJ196" s="1" t="str">
        <f t="shared" si="131"/>
        <v>WOMAN</v>
      </c>
      <c r="AK196" s="1" t="str">
        <f t="shared" si="149"/>
        <v>PA</v>
      </c>
      <c r="AP196" s="1" t="str">
        <f t="shared" si="150"/>
        <v>False</v>
      </c>
      <c r="AR196" s="1" t="str">
        <f t="shared" si="132"/>
        <v>DECOR</v>
      </c>
      <c r="AY196" s="1" t="str">
        <f t="shared" si="151"/>
        <v>PF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 t="str">
        <f t="shared" si="133"/>
        <v>R GOMMA CANVAS</v>
      </c>
      <c r="BF196" s="1" t="str">
        <f t="shared" si="152"/>
        <v>Bonis SpA</v>
      </c>
      <c r="BO196" s="1">
        <v>0</v>
      </c>
      <c r="BP196" s="1">
        <v>0</v>
      </c>
      <c r="BQ196" s="1">
        <v>0</v>
      </c>
    </row>
    <row r="197" spans="2:69" x14ac:dyDescent="0.25">
      <c r="B197" s="1">
        <v>1743</v>
      </c>
      <c r="C197" s="1" t="str">
        <f t="shared" si="127"/>
        <v>DECOR4237S7/C1</v>
      </c>
      <c r="D197" s="1" t="str">
        <f>"ODA17N00003-104"</f>
        <v>ODA17N00003-104</v>
      </c>
      <c r="E197" s="1" t="str">
        <f t="shared" si="128"/>
        <v>D12 USPA</v>
      </c>
      <c r="F197" s="1" t="str">
        <f t="shared" si="137"/>
        <v>BONIS SPA</v>
      </c>
      <c r="G197" s="1" t="str">
        <f t="shared" si="138"/>
        <v>STOCK TERRA MP</v>
      </c>
      <c r="H197" s="1" t="str">
        <f t="shared" si="153"/>
        <v>BLK</v>
      </c>
      <c r="J197" s="1">
        <v>1</v>
      </c>
      <c r="K197" s="1">
        <f t="shared" si="123"/>
        <v>12</v>
      </c>
      <c r="L197" s="1" t="str">
        <f t="shared" si="139"/>
        <v>01</v>
      </c>
      <c r="M197" s="1" t="str">
        <f t="shared" si="140"/>
        <v>101</v>
      </c>
      <c r="N197" s="1" t="str">
        <f t="shared" si="154"/>
        <v>012</v>
      </c>
      <c r="O197" s="1" t="str">
        <f t="shared" si="141"/>
        <v>00</v>
      </c>
      <c r="P197" s="1" t="str">
        <f t="shared" si="142"/>
        <v>S</v>
      </c>
      <c r="Q197" s="1" t="str">
        <f t="shared" si="143"/>
        <v>P</v>
      </c>
      <c r="R197" s="1" t="str">
        <f t="shared" si="144"/>
        <v>01</v>
      </c>
      <c r="S197" s="1" t="str">
        <f t="shared" si="145"/>
        <v>03</v>
      </c>
      <c r="T197" s="1" t="str">
        <f t="shared" si="146"/>
        <v>False</v>
      </c>
      <c r="U197" s="1" t="str">
        <f t="shared" si="147"/>
        <v>True</v>
      </c>
      <c r="V197" s="1" t="str">
        <f>"U0031318"</f>
        <v>U0031318</v>
      </c>
      <c r="W197" s="1">
        <v>1</v>
      </c>
      <c r="Y197" s="1">
        <v>0</v>
      </c>
      <c r="Z197" s="1">
        <v>0</v>
      </c>
      <c r="AB197" s="1" t="str">
        <f t="shared" si="136"/>
        <v>SMU</v>
      </c>
      <c r="AD197" s="1" t="str">
        <f t="shared" si="129"/>
        <v>4520308</v>
      </c>
      <c r="AE197" s="1" t="str">
        <f t="shared" si="130"/>
        <v>QUANZHOU REORDERS FORSUN</v>
      </c>
      <c r="AG197" s="1">
        <v>0</v>
      </c>
      <c r="AH197" s="1">
        <v>0</v>
      </c>
      <c r="AI197" s="1" t="str">
        <f t="shared" si="148"/>
        <v>F06</v>
      </c>
      <c r="AJ197" s="1" t="str">
        <f t="shared" si="131"/>
        <v>WOMAN</v>
      </c>
      <c r="AK197" s="1" t="str">
        <f t="shared" si="149"/>
        <v>PA</v>
      </c>
      <c r="AP197" s="1" t="str">
        <f t="shared" si="150"/>
        <v>False</v>
      </c>
      <c r="AR197" s="1" t="str">
        <f t="shared" si="132"/>
        <v>DECOR</v>
      </c>
      <c r="AY197" s="1" t="str">
        <f t="shared" si="151"/>
        <v>PF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 t="str">
        <f t="shared" si="133"/>
        <v>R GOMMA CANVAS</v>
      </c>
      <c r="BF197" s="1" t="str">
        <f t="shared" si="152"/>
        <v>Bonis SpA</v>
      </c>
      <c r="BO197" s="1">
        <v>0</v>
      </c>
      <c r="BP197" s="1">
        <v>0</v>
      </c>
      <c r="BQ197" s="1">
        <v>0</v>
      </c>
    </row>
    <row r="198" spans="2:69" x14ac:dyDescent="0.25">
      <c r="B198" s="1">
        <v>1743</v>
      </c>
      <c r="C198" s="1" t="str">
        <f t="shared" si="127"/>
        <v>DECOR4237S7/C1</v>
      </c>
      <c r="D198" s="1" t="str">
        <f>"ODA17N00003-107"</f>
        <v>ODA17N00003-107</v>
      </c>
      <c r="E198" s="1" t="str">
        <f t="shared" si="128"/>
        <v>D12 USPA</v>
      </c>
      <c r="F198" s="1" t="str">
        <f t="shared" si="137"/>
        <v>BONIS SPA</v>
      </c>
      <c r="G198" s="1" t="str">
        <f t="shared" si="138"/>
        <v>STOCK TERRA MP</v>
      </c>
      <c r="H198" s="1" t="str">
        <f t="shared" si="153"/>
        <v>BLK</v>
      </c>
      <c r="J198" s="1">
        <v>1</v>
      </c>
      <c r="K198" s="1">
        <f t="shared" si="123"/>
        <v>12</v>
      </c>
      <c r="L198" s="1" t="str">
        <f t="shared" si="139"/>
        <v>01</v>
      </c>
      <c r="M198" s="1" t="str">
        <f t="shared" si="140"/>
        <v>101</v>
      </c>
      <c r="N198" s="1" t="str">
        <f t="shared" si="154"/>
        <v>012</v>
      </c>
      <c r="O198" s="1" t="str">
        <f t="shared" si="141"/>
        <v>00</v>
      </c>
      <c r="P198" s="1" t="str">
        <f t="shared" si="142"/>
        <v>S</v>
      </c>
      <c r="Q198" s="1" t="str">
        <f t="shared" si="143"/>
        <v>P</v>
      </c>
      <c r="R198" s="1" t="str">
        <f t="shared" si="144"/>
        <v>01</v>
      </c>
      <c r="S198" s="1" t="str">
        <f t="shared" si="145"/>
        <v>03</v>
      </c>
      <c r="T198" s="1" t="str">
        <f t="shared" si="146"/>
        <v>False</v>
      </c>
      <c r="U198" s="1" t="str">
        <f t="shared" si="147"/>
        <v>True</v>
      </c>
      <c r="V198" s="1" t="str">
        <f>"U0031318"</f>
        <v>U0031318</v>
      </c>
      <c r="W198" s="1">
        <v>1</v>
      </c>
      <c r="Y198" s="1">
        <v>0</v>
      </c>
      <c r="Z198" s="1">
        <v>0</v>
      </c>
      <c r="AB198" s="1" t="str">
        <f t="shared" si="136"/>
        <v>SMU</v>
      </c>
      <c r="AD198" s="1" t="str">
        <f t="shared" si="129"/>
        <v>4520308</v>
      </c>
      <c r="AE198" s="1" t="str">
        <f t="shared" si="130"/>
        <v>QUANZHOU REORDERS FORSUN</v>
      </c>
      <c r="AG198" s="1">
        <v>0</v>
      </c>
      <c r="AH198" s="1">
        <v>0</v>
      </c>
      <c r="AI198" s="1" t="str">
        <f t="shared" si="148"/>
        <v>F06</v>
      </c>
      <c r="AJ198" s="1" t="str">
        <f t="shared" si="131"/>
        <v>WOMAN</v>
      </c>
      <c r="AK198" s="1" t="str">
        <f t="shared" si="149"/>
        <v>PA</v>
      </c>
      <c r="AP198" s="1" t="str">
        <f t="shared" si="150"/>
        <v>False</v>
      </c>
      <c r="AR198" s="1" t="str">
        <f t="shared" si="132"/>
        <v>DECOR</v>
      </c>
      <c r="AY198" s="1" t="str">
        <f t="shared" si="151"/>
        <v>PF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 t="str">
        <f t="shared" si="133"/>
        <v>R GOMMA CANVAS</v>
      </c>
      <c r="BF198" s="1" t="str">
        <f t="shared" si="152"/>
        <v>Bonis SpA</v>
      </c>
      <c r="BO198" s="1">
        <v>0</v>
      </c>
      <c r="BP198" s="1">
        <v>0</v>
      </c>
      <c r="BQ198" s="1">
        <v>0</v>
      </c>
    </row>
    <row r="199" spans="2:69" x14ac:dyDescent="0.25">
      <c r="B199" s="1">
        <v>1743</v>
      </c>
      <c r="C199" s="1" t="str">
        <f t="shared" si="127"/>
        <v>DECOR4237S7/C1</v>
      </c>
      <c r="D199" s="1" t="str">
        <f>"ODA17N00003-108"</f>
        <v>ODA17N00003-108</v>
      </c>
      <c r="E199" s="1" t="str">
        <f t="shared" si="128"/>
        <v>D12 USPA</v>
      </c>
      <c r="F199" s="1" t="str">
        <f t="shared" si="137"/>
        <v>BONIS SPA</v>
      </c>
      <c r="G199" s="1" t="str">
        <f t="shared" si="138"/>
        <v>STOCK TERRA MP</v>
      </c>
      <c r="H199" s="1" t="str">
        <f t="shared" si="153"/>
        <v>BLK</v>
      </c>
      <c r="J199" s="1">
        <v>1</v>
      </c>
      <c r="K199" s="1">
        <f t="shared" si="123"/>
        <v>12</v>
      </c>
      <c r="L199" s="1" t="str">
        <f t="shared" si="139"/>
        <v>01</v>
      </c>
      <c r="M199" s="1" t="str">
        <f t="shared" si="140"/>
        <v>101</v>
      </c>
      <c r="N199" s="1" t="str">
        <f t="shared" si="154"/>
        <v>012</v>
      </c>
      <c r="O199" s="1" t="str">
        <f t="shared" si="141"/>
        <v>00</v>
      </c>
      <c r="P199" s="1" t="str">
        <f t="shared" si="142"/>
        <v>S</v>
      </c>
      <c r="Q199" s="1" t="str">
        <f t="shared" si="143"/>
        <v>P</v>
      </c>
      <c r="R199" s="1" t="str">
        <f t="shared" si="144"/>
        <v>01</v>
      </c>
      <c r="S199" s="1" t="str">
        <f t="shared" si="145"/>
        <v>03</v>
      </c>
      <c r="T199" s="1" t="str">
        <f t="shared" si="146"/>
        <v>False</v>
      </c>
      <c r="U199" s="1" t="str">
        <f t="shared" si="147"/>
        <v>True</v>
      </c>
      <c r="V199" s="1" t="str">
        <f>"U0031318"</f>
        <v>U0031318</v>
      </c>
      <c r="W199" s="1">
        <v>1</v>
      </c>
      <c r="Y199" s="1">
        <v>0</v>
      </c>
      <c r="Z199" s="1">
        <v>0</v>
      </c>
      <c r="AB199" s="1" t="str">
        <f t="shared" si="136"/>
        <v>SMU</v>
      </c>
      <c r="AD199" s="1" t="str">
        <f t="shared" si="129"/>
        <v>4520308</v>
      </c>
      <c r="AE199" s="1" t="str">
        <f t="shared" si="130"/>
        <v>QUANZHOU REORDERS FORSUN</v>
      </c>
      <c r="AG199" s="1">
        <v>0</v>
      </c>
      <c r="AH199" s="1">
        <v>0</v>
      </c>
      <c r="AI199" s="1" t="str">
        <f t="shared" si="148"/>
        <v>F06</v>
      </c>
      <c r="AJ199" s="1" t="str">
        <f t="shared" si="131"/>
        <v>WOMAN</v>
      </c>
      <c r="AK199" s="1" t="str">
        <f t="shared" si="149"/>
        <v>PA</v>
      </c>
      <c r="AP199" s="1" t="str">
        <f t="shared" si="150"/>
        <v>False</v>
      </c>
      <c r="AR199" s="1" t="str">
        <f t="shared" si="132"/>
        <v>DECOR</v>
      </c>
      <c r="AY199" s="1" t="str">
        <f t="shared" si="151"/>
        <v>PF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 t="str">
        <f t="shared" si="133"/>
        <v>R GOMMA CANVAS</v>
      </c>
      <c r="BF199" s="1" t="str">
        <f t="shared" si="152"/>
        <v>Bonis SpA</v>
      </c>
      <c r="BO199" s="1">
        <v>0</v>
      </c>
      <c r="BP199" s="1">
        <v>0</v>
      </c>
      <c r="BQ199" s="1">
        <v>0</v>
      </c>
    </row>
    <row r="200" spans="2:69" x14ac:dyDescent="0.25">
      <c r="B200" s="1">
        <v>1743</v>
      </c>
      <c r="C200" s="1" t="str">
        <f t="shared" si="127"/>
        <v>DECOR4237S7/C1</v>
      </c>
      <c r="D200" s="1" t="str">
        <f>"ODA17N00003-116"</f>
        <v>ODA17N00003-116</v>
      </c>
      <c r="E200" s="1" t="str">
        <f t="shared" si="128"/>
        <v>D12 USPA</v>
      </c>
      <c r="F200" s="1" t="str">
        <f t="shared" si="137"/>
        <v>BONIS SPA</v>
      </c>
      <c r="G200" s="1" t="str">
        <f t="shared" si="138"/>
        <v>STOCK TERRA MP</v>
      </c>
      <c r="H200" s="1" t="str">
        <f t="shared" si="153"/>
        <v>BLK</v>
      </c>
      <c r="J200" s="1">
        <v>1</v>
      </c>
      <c r="K200" s="1">
        <f t="shared" si="123"/>
        <v>12</v>
      </c>
      <c r="L200" s="1" t="str">
        <f t="shared" si="139"/>
        <v>01</v>
      </c>
      <c r="M200" s="1" t="str">
        <f t="shared" si="140"/>
        <v>101</v>
      </c>
      <c r="N200" s="1" t="str">
        <f t="shared" si="154"/>
        <v>012</v>
      </c>
      <c r="O200" s="1" t="str">
        <f t="shared" si="141"/>
        <v>00</v>
      </c>
      <c r="P200" s="1" t="str">
        <f t="shared" si="142"/>
        <v>S</v>
      </c>
      <c r="Q200" s="1" t="str">
        <f t="shared" si="143"/>
        <v>P</v>
      </c>
      <c r="R200" s="1" t="str">
        <f t="shared" si="144"/>
        <v>01</v>
      </c>
      <c r="S200" s="1" t="str">
        <f t="shared" si="145"/>
        <v>03</v>
      </c>
      <c r="T200" s="1" t="str">
        <f t="shared" si="146"/>
        <v>False</v>
      </c>
      <c r="U200" s="1" t="str">
        <f t="shared" si="147"/>
        <v>True</v>
      </c>
      <c r="V200" s="1" t="str">
        <f>"U0031320"</f>
        <v>U0031320</v>
      </c>
      <c r="W200" s="1">
        <v>1</v>
      </c>
      <c r="Y200" s="1">
        <v>0</v>
      </c>
      <c r="Z200" s="1">
        <v>0</v>
      </c>
      <c r="AB200" s="1" t="str">
        <f t="shared" si="136"/>
        <v>SMU</v>
      </c>
      <c r="AD200" s="1" t="str">
        <f t="shared" si="129"/>
        <v>4520308</v>
      </c>
      <c r="AE200" s="1" t="str">
        <f t="shared" si="130"/>
        <v>QUANZHOU REORDERS FORSUN</v>
      </c>
      <c r="AG200" s="1">
        <v>0</v>
      </c>
      <c r="AH200" s="1">
        <v>0</v>
      </c>
      <c r="AI200" s="1" t="str">
        <f t="shared" si="148"/>
        <v>F06</v>
      </c>
      <c r="AJ200" s="1" t="str">
        <f t="shared" si="131"/>
        <v>WOMAN</v>
      </c>
      <c r="AK200" s="1" t="str">
        <f t="shared" si="149"/>
        <v>PA</v>
      </c>
      <c r="AP200" s="1" t="str">
        <f t="shared" si="150"/>
        <v>False</v>
      </c>
      <c r="AR200" s="1" t="str">
        <f t="shared" si="132"/>
        <v>DECOR</v>
      </c>
      <c r="AY200" s="1" t="str">
        <f t="shared" si="151"/>
        <v>PF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 t="str">
        <f t="shared" si="133"/>
        <v>R GOMMA CANVAS</v>
      </c>
      <c r="BF200" s="1" t="str">
        <f t="shared" si="152"/>
        <v>Bonis SpA</v>
      </c>
      <c r="BO200" s="1">
        <v>0</v>
      </c>
      <c r="BP200" s="1">
        <v>0</v>
      </c>
      <c r="BQ200" s="1">
        <v>0</v>
      </c>
    </row>
    <row r="201" spans="2:69" x14ac:dyDescent="0.25">
      <c r="B201" s="1">
        <v>1743</v>
      </c>
      <c r="C201" s="1" t="str">
        <f t="shared" si="127"/>
        <v>DECOR4237S7/C1</v>
      </c>
      <c r="D201" s="1" t="str">
        <f>"ODA17N00003-117"</f>
        <v>ODA17N00003-117</v>
      </c>
      <c r="E201" s="1" t="str">
        <f t="shared" si="128"/>
        <v>D12 USPA</v>
      </c>
      <c r="F201" s="1" t="str">
        <f t="shared" si="137"/>
        <v>BONIS SPA</v>
      </c>
      <c r="G201" s="1" t="str">
        <f t="shared" si="138"/>
        <v>STOCK TERRA MP</v>
      </c>
      <c r="H201" s="1" t="str">
        <f t="shared" si="153"/>
        <v>BLK</v>
      </c>
      <c r="J201" s="1">
        <v>1</v>
      </c>
      <c r="K201" s="1">
        <f t="shared" si="123"/>
        <v>12</v>
      </c>
      <c r="L201" s="1" t="str">
        <f t="shared" si="139"/>
        <v>01</v>
      </c>
      <c r="M201" s="1" t="str">
        <f t="shared" si="140"/>
        <v>101</v>
      </c>
      <c r="N201" s="1" t="str">
        <f t="shared" si="154"/>
        <v>012</v>
      </c>
      <c r="O201" s="1" t="str">
        <f t="shared" si="141"/>
        <v>00</v>
      </c>
      <c r="P201" s="1" t="str">
        <f t="shared" si="142"/>
        <v>S</v>
      </c>
      <c r="Q201" s="1" t="str">
        <f t="shared" si="143"/>
        <v>P</v>
      </c>
      <c r="R201" s="1" t="str">
        <f t="shared" si="144"/>
        <v>01</v>
      </c>
      <c r="S201" s="1" t="str">
        <f t="shared" si="145"/>
        <v>03</v>
      </c>
      <c r="T201" s="1" t="str">
        <f t="shared" si="146"/>
        <v>False</v>
      </c>
      <c r="U201" s="1" t="str">
        <f t="shared" si="147"/>
        <v>True</v>
      </c>
      <c r="V201" s="1" t="str">
        <f>"U0031318"</f>
        <v>U0031318</v>
      </c>
      <c r="W201" s="1">
        <v>1</v>
      </c>
      <c r="Y201" s="1">
        <v>0</v>
      </c>
      <c r="Z201" s="1">
        <v>0</v>
      </c>
      <c r="AB201" s="1" t="str">
        <f t="shared" si="136"/>
        <v>SMU</v>
      </c>
      <c r="AD201" s="1" t="str">
        <f t="shared" si="129"/>
        <v>4520308</v>
      </c>
      <c r="AE201" s="1" t="str">
        <f t="shared" si="130"/>
        <v>QUANZHOU REORDERS FORSUN</v>
      </c>
      <c r="AG201" s="1">
        <v>0</v>
      </c>
      <c r="AH201" s="1">
        <v>0</v>
      </c>
      <c r="AI201" s="1" t="str">
        <f t="shared" si="148"/>
        <v>F06</v>
      </c>
      <c r="AJ201" s="1" t="str">
        <f t="shared" si="131"/>
        <v>WOMAN</v>
      </c>
      <c r="AK201" s="1" t="str">
        <f t="shared" si="149"/>
        <v>PA</v>
      </c>
      <c r="AP201" s="1" t="str">
        <f t="shared" si="150"/>
        <v>False</v>
      </c>
      <c r="AR201" s="1" t="str">
        <f t="shared" si="132"/>
        <v>DECOR</v>
      </c>
      <c r="AY201" s="1" t="str">
        <f t="shared" si="151"/>
        <v>PF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 t="str">
        <f t="shared" si="133"/>
        <v>R GOMMA CANVAS</v>
      </c>
      <c r="BF201" s="1" t="str">
        <f t="shared" si="152"/>
        <v>Bonis SpA</v>
      </c>
      <c r="BO201" s="1">
        <v>0</v>
      </c>
      <c r="BP201" s="1">
        <v>0</v>
      </c>
      <c r="BQ201" s="1">
        <v>0</v>
      </c>
    </row>
    <row r="202" spans="2:69" x14ac:dyDescent="0.25">
      <c r="B202" s="1">
        <v>1743</v>
      </c>
      <c r="C202" s="1" t="str">
        <f t="shared" si="127"/>
        <v>DECOR4237S7/C1</v>
      </c>
      <c r="D202" s="1" t="str">
        <f>"ODA17N00003-121"</f>
        <v>ODA17N00003-121</v>
      </c>
      <c r="E202" s="1" t="str">
        <f t="shared" si="128"/>
        <v>D12 USPA</v>
      </c>
      <c r="F202" s="1" t="str">
        <f t="shared" si="137"/>
        <v>BONIS SPA</v>
      </c>
      <c r="G202" s="1" t="str">
        <f t="shared" si="138"/>
        <v>STOCK TERRA MP</v>
      </c>
      <c r="H202" s="1" t="str">
        <f t="shared" si="153"/>
        <v>BLK</v>
      </c>
      <c r="J202" s="1">
        <v>1</v>
      </c>
      <c r="K202" s="1">
        <f t="shared" si="123"/>
        <v>12</v>
      </c>
      <c r="L202" s="1" t="str">
        <f t="shared" si="139"/>
        <v>01</v>
      </c>
      <c r="M202" s="1" t="str">
        <f t="shared" si="140"/>
        <v>101</v>
      </c>
      <c r="N202" s="1" t="str">
        <f t="shared" si="154"/>
        <v>012</v>
      </c>
      <c r="O202" s="1" t="str">
        <f t="shared" si="141"/>
        <v>00</v>
      </c>
      <c r="P202" s="1" t="str">
        <f t="shared" si="142"/>
        <v>S</v>
      </c>
      <c r="Q202" s="1" t="str">
        <f t="shared" si="143"/>
        <v>P</v>
      </c>
      <c r="R202" s="1" t="str">
        <f t="shared" si="144"/>
        <v>01</v>
      </c>
      <c r="S202" s="1" t="str">
        <f t="shared" si="145"/>
        <v>03</v>
      </c>
      <c r="T202" s="1" t="str">
        <f t="shared" si="146"/>
        <v>False</v>
      </c>
      <c r="U202" s="1" t="str">
        <f t="shared" si="147"/>
        <v>True</v>
      </c>
      <c r="V202" s="1" t="str">
        <f>"U0031320"</f>
        <v>U0031320</v>
      </c>
      <c r="W202" s="1">
        <v>1</v>
      </c>
      <c r="Y202" s="1">
        <v>0</v>
      </c>
      <c r="Z202" s="1">
        <v>0</v>
      </c>
      <c r="AB202" s="1" t="str">
        <f t="shared" si="136"/>
        <v>SMU</v>
      </c>
      <c r="AD202" s="1" t="str">
        <f t="shared" si="129"/>
        <v>4520308</v>
      </c>
      <c r="AE202" s="1" t="str">
        <f t="shared" si="130"/>
        <v>QUANZHOU REORDERS FORSUN</v>
      </c>
      <c r="AG202" s="1">
        <v>0</v>
      </c>
      <c r="AH202" s="1">
        <v>0</v>
      </c>
      <c r="AI202" s="1" t="str">
        <f t="shared" si="148"/>
        <v>F06</v>
      </c>
      <c r="AJ202" s="1" t="str">
        <f t="shared" si="131"/>
        <v>WOMAN</v>
      </c>
      <c r="AK202" s="1" t="str">
        <f t="shared" si="149"/>
        <v>PA</v>
      </c>
      <c r="AP202" s="1" t="str">
        <f t="shared" si="150"/>
        <v>False</v>
      </c>
      <c r="AR202" s="1" t="str">
        <f t="shared" si="132"/>
        <v>DECOR</v>
      </c>
      <c r="AY202" s="1" t="str">
        <f t="shared" si="151"/>
        <v>PF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 t="str">
        <f t="shared" si="133"/>
        <v>R GOMMA CANVAS</v>
      </c>
      <c r="BF202" s="1" t="str">
        <f t="shared" si="152"/>
        <v>Bonis SpA</v>
      </c>
      <c r="BO202" s="1">
        <v>0</v>
      </c>
      <c r="BP202" s="1">
        <v>0</v>
      </c>
      <c r="BQ202" s="1">
        <v>0</v>
      </c>
    </row>
    <row r="203" spans="2:69" x14ac:dyDescent="0.25">
      <c r="B203" s="1">
        <v>1743</v>
      </c>
      <c r="C203" s="1" t="str">
        <f t="shared" si="127"/>
        <v>DECOR4237S7/C1</v>
      </c>
      <c r="D203" s="1" t="str">
        <f>"ODA17N00003-122"</f>
        <v>ODA17N00003-122</v>
      </c>
      <c r="E203" s="1" t="str">
        <f t="shared" si="128"/>
        <v>D12 USPA</v>
      </c>
      <c r="F203" s="1" t="str">
        <f t="shared" si="137"/>
        <v>BONIS SPA</v>
      </c>
      <c r="G203" s="1" t="str">
        <f t="shared" si="138"/>
        <v>STOCK TERRA MP</v>
      </c>
      <c r="H203" s="1" t="str">
        <f t="shared" si="153"/>
        <v>BLK</v>
      </c>
      <c r="J203" s="1">
        <v>1</v>
      </c>
      <c r="K203" s="1">
        <f t="shared" si="123"/>
        <v>12</v>
      </c>
      <c r="L203" s="1" t="str">
        <f t="shared" si="139"/>
        <v>01</v>
      </c>
      <c r="M203" s="1" t="str">
        <f t="shared" si="140"/>
        <v>101</v>
      </c>
      <c r="N203" s="1" t="str">
        <f t="shared" si="154"/>
        <v>012</v>
      </c>
      <c r="O203" s="1" t="str">
        <f t="shared" si="141"/>
        <v>00</v>
      </c>
      <c r="P203" s="1" t="str">
        <f t="shared" si="142"/>
        <v>S</v>
      </c>
      <c r="Q203" s="1" t="str">
        <f t="shared" si="143"/>
        <v>P</v>
      </c>
      <c r="R203" s="1" t="str">
        <f t="shared" si="144"/>
        <v>01</v>
      </c>
      <c r="S203" s="1" t="str">
        <f t="shared" si="145"/>
        <v>03</v>
      </c>
      <c r="T203" s="1" t="str">
        <f t="shared" si="146"/>
        <v>False</v>
      </c>
      <c r="U203" s="1" t="str">
        <f t="shared" si="147"/>
        <v>True</v>
      </c>
      <c r="V203" s="1" t="str">
        <f>"U0031320"</f>
        <v>U0031320</v>
      </c>
      <c r="W203" s="1">
        <v>1</v>
      </c>
      <c r="Y203" s="1">
        <v>0</v>
      </c>
      <c r="Z203" s="1">
        <v>0</v>
      </c>
      <c r="AB203" s="1" t="str">
        <f t="shared" si="136"/>
        <v>SMU</v>
      </c>
      <c r="AD203" s="1" t="str">
        <f t="shared" si="129"/>
        <v>4520308</v>
      </c>
      <c r="AE203" s="1" t="str">
        <f t="shared" si="130"/>
        <v>QUANZHOU REORDERS FORSUN</v>
      </c>
      <c r="AG203" s="1">
        <v>0</v>
      </c>
      <c r="AH203" s="1">
        <v>0</v>
      </c>
      <c r="AI203" s="1" t="str">
        <f t="shared" si="148"/>
        <v>F06</v>
      </c>
      <c r="AJ203" s="1" t="str">
        <f t="shared" si="131"/>
        <v>WOMAN</v>
      </c>
      <c r="AK203" s="1" t="str">
        <f t="shared" si="149"/>
        <v>PA</v>
      </c>
      <c r="AP203" s="1" t="str">
        <f t="shared" si="150"/>
        <v>False</v>
      </c>
      <c r="AR203" s="1" t="str">
        <f t="shared" si="132"/>
        <v>DECOR</v>
      </c>
      <c r="AY203" s="1" t="str">
        <f t="shared" si="151"/>
        <v>PF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 t="str">
        <f t="shared" si="133"/>
        <v>R GOMMA CANVAS</v>
      </c>
      <c r="BF203" s="1" t="str">
        <f t="shared" si="152"/>
        <v>Bonis SpA</v>
      </c>
      <c r="BO203" s="1">
        <v>0</v>
      </c>
      <c r="BP203" s="1">
        <v>0</v>
      </c>
      <c r="BQ203" s="1">
        <v>0</v>
      </c>
    </row>
    <row r="204" spans="2:69" x14ac:dyDescent="0.25">
      <c r="B204" s="1">
        <v>1743</v>
      </c>
      <c r="C204" s="1" t="str">
        <f t="shared" ref="C204:C235" si="155">"DECOR4237S7/C1"</f>
        <v>DECOR4237S7/C1</v>
      </c>
      <c r="D204" s="1" t="str">
        <f>"ODA17N00003-124"</f>
        <v>ODA17N00003-124</v>
      </c>
      <c r="E204" s="1" t="str">
        <f t="shared" ref="E204:E235" si="156">"D12 USPA"</f>
        <v>D12 USPA</v>
      </c>
      <c r="F204" s="1" t="str">
        <f t="shared" si="137"/>
        <v>BONIS SPA</v>
      </c>
      <c r="G204" s="1" t="str">
        <f t="shared" si="138"/>
        <v>STOCK TERRA MP</v>
      </c>
      <c r="H204" s="1" t="str">
        <f t="shared" si="153"/>
        <v>BLK</v>
      </c>
      <c r="J204" s="1">
        <v>1</v>
      </c>
      <c r="K204" s="1">
        <f t="shared" si="123"/>
        <v>12</v>
      </c>
      <c r="L204" s="1" t="str">
        <f t="shared" si="139"/>
        <v>01</v>
      </c>
      <c r="M204" s="1" t="str">
        <f t="shared" si="140"/>
        <v>101</v>
      </c>
      <c r="N204" s="1" t="str">
        <f t="shared" si="154"/>
        <v>012</v>
      </c>
      <c r="O204" s="1" t="str">
        <f t="shared" si="141"/>
        <v>00</v>
      </c>
      <c r="P204" s="1" t="str">
        <f t="shared" si="142"/>
        <v>S</v>
      </c>
      <c r="Q204" s="1" t="str">
        <f t="shared" si="143"/>
        <v>P</v>
      </c>
      <c r="R204" s="1" t="str">
        <f t="shared" si="144"/>
        <v>01</v>
      </c>
      <c r="S204" s="1" t="str">
        <f t="shared" si="145"/>
        <v>03</v>
      </c>
      <c r="T204" s="1" t="str">
        <f t="shared" si="146"/>
        <v>False</v>
      </c>
      <c r="U204" s="1" t="str">
        <f t="shared" si="147"/>
        <v>True</v>
      </c>
      <c r="V204" s="1" t="str">
        <f>"U0031318"</f>
        <v>U0031318</v>
      </c>
      <c r="W204" s="1">
        <v>1</v>
      </c>
      <c r="Y204" s="1">
        <v>0</v>
      </c>
      <c r="Z204" s="1">
        <v>0</v>
      </c>
      <c r="AB204" s="1" t="str">
        <f t="shared" si="136"/>
        <v>SMU</v>
      </c>
      <c r="AD204" s="1" t="str">
        <f t="shared" ref="AD204:AD235" si="157">"4520308"</f>
        <v>4520308</v>
      </c>
      <c r="AE204" s="1" t="str">
        <f t="shared" ref="AE204:AE235" si="158">"QUANZHOU REORDERS FORSUN"</f>
        <v>QUANZHOU REORDERS FORSUN</v>
      </c>
      <c r="AG204" s="1">
        <v>0</v>
      </c>
      <c r="AH204" s="1">
        <v>0</v>
      </c>
      <c r="AI204" s="1" t="str">
        <f t="shared" si="148"/>
        <v>F06</v>
      </c>
      <c r="AJ204" s="1" t="str">
        <f t="shared" ref="AJ204:AJ235" si="159">"WOMAN"</f>
        <v>WOMAN</v>
      </c>
      <c r="AK204" s="1" t="str">
        <f t="shared" si="149"/>
        <v>PA</v>
      </c>
      <c r="AP204" s="1" t="str">
        <f t="shared" si="150"/>
        <v>False</v>
      </c>
      <c r="AR204" s="1" t="str">
        <f t="shared" ref="AR204:AR235" si="160">"DECOR"</f>
        <v>DECOR</v>
      </c>
      <c r="AY204" s="1" t="str">
        <f t="shared" si="151"/>
        <v>PF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 t="str">
        <f t="shared" ref="BE204:BE235" si="161">"R GOMMA CANVAS"</f>
        <v>R GOMMA CANVAS</v>
      </c>
      <c r="BF204" s="1" t="str">
        <f t="shared" si="152"/>
        <v>Bonis SpA</v>
      </c>
      <c r="BO204" s="1">
        <v>0</v>
      </c>
      <c r="BP204" s="1">
        <v>0</v>
      </c>
      <c r="BQ204" s="1">
        <v>0</v>
      </c>
    </row>
    <row r="205" spans="2:69" x14ac:dyDescent="0.25">
      <c r="B205" s="1">
        <v>1743</v>
      </c>
      <c r="C205" s="1" t="str">
        <f t="shared" si="155"/>
        <v>DECOR4237S7/C1</v>
      </c>
      <c r="D205" s="1" t="str">
        <f>"ODA17N00003-125"</f>
        <v>ODA17N00003-125</v>
      </c>
      <c r="E205" s="1" t="str">
        <f t="shared" si="156"/>
        <v>D12 USPA</v>
      </c>
      <c r="F205" s="1" t="str">
        <f t="shared" si="137"/>
        <v>BONIS SPA</v>
      </c>
      <c r="G205" s="1" t="str">
        <f t="shared" si="138"/>
        <v>STOCK TERRA MP</v>
      </c>
      <c r="H205" s="1" t="str">
        <f t="shared" si="153"/>
        <v>BLK</v>
      </c>
      <c r="J205" s="1">
        <v>1</v>
      </c>
      <c r="K205" s="1">
        <f t="shared" si="123"/>
        <v>12</v>
      </c>
      <c r="L205" s="1" t="str">
        <f t="shared" si="139"/>
        <v>01</v>
      </c>
      <c r="M205" s="1" t="str">
        <f t="shared" si="140"/>
        <v>101</v>
      </c>
      <c r="N205" s="1" t="str">
        <f t="shared" si="154"/>
        <v>012</v>
      </c>
      <c r="O205" s="1" t="str">
        <f t="shared" si="141"/>
        <v>00</v>
      </c>
      <c r="P205" s="1" t="str">
        <f t="shared" si="142"/>
        <v>S</v>
      </c>
      <c r="Q205" s="1" t="str">
        <f t="shared" si="143"/>
        <v>P</v>
      </c>
      <c r="R205" s="1" t="str">
        <f t="shared" si="144"/>
        <v>01</v>
      </c>
      <c r="S205" s="1" t="str">
        <f t="shared" si="145"/>
        <v>03</v>
      </c>
      <c r="T205" s="1" t="str">
        <f t="shared" si="146"/>
        <v>False</v>
      </c>
      <c r="U205" s="1" t="str">
        <f t="shared" si="147"/>
        <v>True</v>
      </c>
      <c r="V205" s="1" t="str">
        <f>"U0031318"</f>
        <v>U0031318</v>
      </c>
      <c r="W205" s="1">
        <v>1</v>
      </c>
      <c r="Y205" s="1">
        <v>0</v>
      </c>
      <c r="Z205" s="1">
        <v>0</v>
      </c>
      <c r="AB205" s="1" t="str">
        <f t="shared" si="136"/>
        <v>SMU</v>
      </c>
      <c r="AD205" s="1" t="str">
        <f t="shared" si="157"/>
        <v>4520308</v>
      </c>
      <c r="AE205" s="1" t="str">
        <f t="shared" si="158"/>
        <v>QUANZHOU REORDERS FORSUN</v>
      </c>
      <c r="AG205" s="1">
        <v>0</v>
      </c>
      <c r="AH205" s="1">
        <v>0</v>
      </c>
      <c r="AI205" s="1" t="str">
        <f t="shared" si="148"/>
        <v>F06</v>
      </c>
      <c r="AJ205" s="1" t="str">
        <f t="shared" si="159"/>
        <v>WOMAN</v>
      </c>
      <c r="AK205" s="1" t="str">
        <f t="shared" si="149"/>
        <v>PA</v>
      </c>
      <c r="AP205" s="1" t="str">
        <f t="shared" si="150"/>
        <v>False</v>
      </c>
      <c r="AR205" s="1" t="str">
        <f t="shared" si="160"/>
        <v>DECOR</v>
      </c>
      <c r="AY205" s="1" t="str">
        <f t="shared" si="151"/>
        <v>PF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 t="str">
        <f t="shared" si="161"/>
        <v>R GOMMA CANVAS</v>
      </c>
      <c r="BF205" s="1" t="str">
        <f t="shared" si="152"/>
        <v>Bonis SpA</v>
      </c>
      <c r="BO205" s="1">
        <v>0</v>
      </c>
      <c r="BP205" s="1">
        <v>0</v>
      </c>
      <c r="BQ205" s="1">
        <v>0</v>
      </c>
    </row>
    <row r="206" spans="2:69" x14ac:dyDescent="0.25">
      <c r="B206" s="1">
        <v>1743</v>
      </c>
      <c r="C206" s="1" t="str">
        <f t="shared" si="155"/>
        <v>DECOR4237S7/C1</v>
      </c>
      <c r="D206" s="1" t="str">
        <f>"ODA17N00003-126"</f>
        <v>ODA17N00003-126</v>
      </c>
      <c r="E206" s="1" t="str">
        <f t="shared" si="156"/>
        <v>D12 USPA</v>
      </c>
      <c r="F206" s="1" t="str">
        <f t="shared" si="137"/>
        <v>BONIS SPA</v>
      </c>
      <c r="G206" s="1" t="str">
        <f t="shared" si="138"/>
        <v>STOCK TERRA MP</v>
      </c>
      <c r="H206" s="1" t="str">
        <f t="shared" si="153"/>
        <v>BLK</v>
      </c>
      <c r="J206" s="1">
        <v>1</v>
      </c>
      <c r="K206" s="1">
        <f t="shared" si="123"/>
        <v>12</v>
      </c>
      <c r="L206" s="1" t="str">
        <f t="shared" si="139"/>
        <v>01</v>
      </c>
      <c r="M206" s="1" t="str">
        <f t="shared" si="140"/>
        <v>101</v>
      </c>
      <c r="N206" s="1" t="str">
        <f t="shared" si="154"/>
        <v>012</v>
      </c>
      <c r="O206" s="1" t="str">
        <f t="shared" si="141"/>
        <v>00</v>
      </c>
      <c r="P206" s="1" t="str">
        <f t="shared" si="142"/>
        <v>S</v>
      </c>
      <c r="Q206" s="1" t="str">
        <f t="shared" si="143"/>
        <v>P</v>
      </c>
      <c r="R206" s="1" t="str">
        <f t="shared" si="144"/>
        <v>01</v>
      </c>
      <c r="S206" s="1" t="str">
        <f t="shared" si="145"/>
        <v>03</v>
      </c>
      <c r="T206" s="1" t="str">
        <f t="shared" si="146"/>
        <v>False</v>
      </c>
      <c r="U206" s="1" t="str">
        <f t="shared" si="147"/>
        <v>True</v>
      </c>
      <c r="V206" s="1" t="str">
        <f>"U0031320"</f>
        <v>U0031320</v>
      </c>
      <c r="W206" s="1">
        <v>1</v>
      </c>
      <c r="Y206" s="1">
        <v>0</v>
      </c>
      <c r="Z206" s="1">
        <v>0</v>
      </c>
      <c r="AB206" s="1" t="str">
        <f t="shared" si="136"/>
        <v>SMU</v>
      </c>
      <c r="AD206" s="1" t="str">
        <f t="shared" si="157"/>
        <v>4520308</v>
      </c>
      <c r="AE206" s="1" t="str">
        <f t="shared" si="158"/>
        <v>QUANZHOU REORDERS FORSUN</v>
      </c>
      <c r="AG206" s="1">
        <v>0</v>
      </c>
      <c r="AH206" s="1">
        <v>0</v>
      </c>
      <c r="AI206" s="1" t="str">
        <f t="shared" si="148"/>
        <v>F06</v>
      </c>
      <c r="AJ206" s="1" t="str">
        <f t="shared" si="159"/>
        <v>WOMAN</v>
      </c>
      <c r="AK206" s="1" t="str">
        <f t="shared" si="149"/>
        <v>PA</v>
      </c>
      <c r="AP206" s="1" t="str">
        <f t="shared" si="150"/>
        <v>False</v>
      </c>
      <c r="AR206" s="1" t="str">
        <f t="shared" si="160"/>
        <v>DECOR</v>
      </c>
      <c r="AY206" s="1" t="str">
        <f t="shared" si="151"/>
        <v>PF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 t="str">
        <f t="shared" si="161"/>
        <v>R GOMMA CANVAS</v>
      </c>
      <c r="BF206" s="1" t="str">
        <f t="shared" si="152"/>
        <v>Bonis SpA</v>
      </c>
      <c r="BO206" s="1">
        <v>0</v>
      </c>
      <c r="BP206" s="1">
        <v>0</v>
      </c>
      <c r="BQ206" s="1">
        <v>0</v>
      </c>
    </row>
    <row r="207" spans="2:69" x14ac:dyDescent="0.25">
      <c r="B207" s="1">
        <v>1743</v>
      </c>
      <c r="C207" s="1" t="str">
        <f t="shared" si="155"/>
        <v>DECOR4237S7/C1</v>
      </c>
      <c r="D207" s="1" t="str">
        <f>"ODA17N00003-129"</f>
        <v>ODA17N00003-129</v>
      </c>
      <c r="E207" s="1" t="str">
        <f t="shared" si="156"/>
        <v>D12 USPA</v>
      </c>
      <c r="F207" s="1" t="str">
        <f t="shared" si="137"/>
        <v>BONIS SPA</v>
      </c>
      <c r="G207" s="1" t="str">
        <f t="shared" si="138"/>
        <v>STOCK TERRA MP</v>
      </c>
      <c r="H207" s="1" t="str">
        <f t="shared" si="153"/>
        <v>BLK</v>
      </c>
      <c r="J207" s="1">
        <v>1</v>
      </c>
      <c r="K207" s="1">
        <f t="shared" si="123"/>
        <v>12</v>
      </c>
      <c r="L207" s="1" t="str">
        <f t="shared" si="139"/>
        <v>01</v>
      </c>
      <c r="M207" s="1" t="str">
        <f t="shared" si="140"/>
        <v>101</v>
      </c>
      <c r="N207" s="1" t="str">
        <f t="shared" si="154"/>
        <v>012</v>
      </c>
      <c r="O207" s="1" t="str">
        <f t="shared" si="141"/>
        <v>00</v>
      </c>
      <c r="P207" s="1" t="str">
        <f t="shared" si="142"/>
        <v>S</v>
      </c>
      <c r="Q207" s="1" t="str">
        <f t="shared" si="143"/>
        <v>P</v>
      </c>
      <c r="R207" s="1" t="str">
        <f t="shared" si="144"/>
        <v>01</v>
      </c>
      <c r="S207" s="1" t="str">
        <f t="shared" si="145"/>
        <v>03</v>
      </c>
      <c r="T207" s="1" t="str">
        <f t="shared" si="146"/>
        <v>False</v>
      </c>
      <c r="U207" s="1" t="str">
        <f t="shared" si="147"/>
        <v>True</v>
      </c>
      <c r="V207" s="1" t="str">
        <f>"U0031318"</f>
        <v>U0031318</v>
      </c>
      <c r="W207" s="1">
        <v>1</v>
      </c>
      <c r="Y207" s="1">
        <v>0</v>
      </c>
      <c r="Z207" s="1">
        <v>0</v>
      </c>
      <c r="AB207" s="1" t="str">
        <f t="shared" si="136"/>
        <v>SMU</v>
      </c>
      <c r="AD207" s="1" t="str">
        <f t="shared" si="157"/>
        <v>4520308</v>
      </c>
      <c r="AE207" s="1" t="str">
        <f t="shared" si="158"/>
        <v>QUANZHOU REORDERS FORSUN</v>
      </c>
      <c r="AG207" s="1">
        <v>0</v>
      </c>
      <c r="AH207" s="1">
        <v>0</v>
      </c>
      <c r="AI207" s="1" t="str">
        <f t="shared" si="148"/>
        <v>F06</v>
      </c>
      <c r="AJ207" s="1" t="str">
        <f t="shared" si="159"/>
        <v>WOMAN</v>
      </c>
      <c r="AK207" s="1" t="str">
        <f t="shared" si="149"/>
        <v>PA</v>
      </c>
      <c r="AP207" s="1" t="str">
        <f t="shared" si="150"/>
        <v>False</v>
      </c>
      <c r="AR207" s="1" t="str">
        <f t="shared" si="160"/>
        <v>DECOR</v>
      </c>
      <c r="AY207" s="1" t="str">
        <f t="shared" si="151"/>
        <v>PF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 t="str">
        <f t="shared" si="161"/>
        <v>R GOMMA CANVAS</v>
      </c>
      <c r="BF207" s="1" t="str">
        <f t="shared" si="152"/>
        <v>Bonis SpA</v>
      </c>
      <c r="BO207" s="1">
        <v>0</v>
      </c>
      <c r="BP207" s="1">
        <v>0</v>
      </c>
      <c r="BQ207" s="1">
        <v>0</v>
      </c>
    </row>
    <row r="208" spans="2:69" x14ac:dyDescent="0.25">
      <c r="B208" s="1">
        <v>1743</v>
      </c>
      <c r="C208" s="1" t="str">
        <f t="shared" si="155"/>
        <v>DECOR4237S7/C1</v>
      </c>
      <c r="D208" s="1" t="str">
        <f>"ODA17N00003-130"</f>
        <v>ODA17N00003-130</v>
      </c>
      <c r="E208" s="1" t="str">
        <f t="shared" si="156"/>
        <v>D12 USPA</v>
      </c>
      <c r="F208" s="1" t="str">
        <f t="shared" si="137"/>
        <v>BONIS SPA</v>
      </c>
      <c r="G208" s="1" t="str">
        <f t="shared" si="138"/>
        <v>STOCK TERRA MP</v>
      </c>
      <c r="H208" s="1" t="str">
        <f t="shared" si="153"/>
        <v>BLK</v>
      </c>
      <c r="J208" s="1">
        <v>1</v>
      </c>
      <c r="K208" s="1">
        <f t="shared" si="123"/>
        <v>12</v>
      </c>
      <c r="L208" s="1" t="str">
        <f t="shared" si="139"/>
        <v>01</v>
      </c>
      <c r="M208" s="1" t="str">
        <f t="shared" si="140"/>
        <v>101</v>
      </c>
      <c r="N208" s="1" t="str">
        <f t="shared" si="154"/>
        <v>012</v>
      </c>
      <c r="O208" s="1" t="str">
        <f t="shared" si="141"/>
        <v>00</v>
      </c>
      <c r="P208" s="1" t="str">
        <f t="shared" si="142"/>
        <v>S</v>
      </c>
      <c r="Q208" s="1" t="str">
        <f t="shared" si="143"/>
        <v>P</v>
      </c>
      <c r="R208" s="1" t="str">
        <f t="shared" si="144"/>
        <v>01</v>
      </c>
      <c r="S208" s="1" t="str">
        <f t="shared" si="145"/>
        <v>03</v>
      </c>
      <c r="T208" s="1" t="str">
        <f t="shared" si="146"/>
        <v>False</v>
      </c>
      <c r="U208" s="1" t="str">
        <f t="shared" si="147"/>
        <v>True</v>
      </c>
      <c r="V208" s="1" t="str">
        <f>"U0031318"</f>
        <v>U0031318</v>
      </c>
      <c r="W208" s="1">
        <v>1</v>
      </c>
      <c r="Y208" s="1">
        <v>0</v>
      </c>
      <c r="Z208" s="1">
        <v>0</v>
      </c>
      <c r="AB208" s="1" t="str">
        <f t="shared" si="136"/>
        <v>SMU</v>
      </c>
      <c r="AD208" s="1" t="str">
        <f t="shared" si="157"/>
        <v>4520308</v>
      </c>
      <c r="AE208" s="1" t="str">
        <f t="shared" si="158"/>
        <v>QUANZHOU REORDERS FORSUN</v>
      </c>
      <c r="AG208" s="1">
        <v>0</v>
      </c>
      <c r="AH208" s="1">
        <v>0</v>
      </c>
      <c r="AI208" s="1" t="str">
        <f t="shared" si="148"/>
        <v>F06</v>
      </c>
      <c r="AJ208" s="1" t="str">
        <f t="shared" si="159"/>
        <v>WOMAN</v>
      </c>
      <c r="AK208" s="1" t="str">
        <f t="shared" si="149"/>
        <v>PA</v>
      </c>
      <c r="AP208" s="1" t="str">
        <f t="shared" si="150"/>
        <v>False</v>
      </c>
      <c r="AR208" s="1" t="str">
        <f t="shared" si="160"/>
        <v>DECOR</v>
      </c>
      <c r="AY208" s="1" t="str">
        <f t="shared" si="151"/>
        <v>PF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 t="str">
        <f t="shared" si="161"/>
        <v>R GOMMA CANVAS</v>
      </c>
      <c r="BF208" s="1" t="str">
        <f t="shared" si="152"/>
        <v>Bonis SpA</v>
      </c>
      <c r="BO208" s="1">
        <v>0</v>
      </c>
      <c r="BP208" s="1">
        <v>0</v>
      </c>
      <c r="BQ208" s="1">
        <v>0</v>
      </c>
    </row>
    <row r="209" spans="2:69" x14ac:dyDescent="0.25">
      <c r="B209" s="1">
        <v>1743</v>
      </c>
      <c r="C209" s="1" t="str">
        <f t="shared" si="155"/>
        <v>DECOR4237S7/C1</v>
      </c>
      <c r="D209" s="1" t="str">
        <f>"ODA17N00003-133"</f>
        <v>ODA17N00003-133</v>
      </c>
      <c r="E209" s="1" t="str">
        <f t="shared" si="156"/>
        <v>D12 USPA</v>
      </c>
      <c r="F209" s="1" t="str">
        <f t="shared" si="137"/>
        <v>BONIS SPA</v>
      </c>
      <c r="G209" s="1" t="str">
        <f t="shared" si="138"/>
        <v>STOCK TERRA MP</v>
      </c>
      <c r="H209" s="1" t="str">
        <f t="shared" si="153"/>
        <v>BLK</v>
      </c>
      <c r="J209" s="1">
        <v>1</v>
      </c>
      <c r="K209" s="1">
        <f t="shared" si="123"/>
        <v>12</v>
      </c>
      <c r="L209" s="1" t="str">
        <f t="shared" si="139"/>
        <v>01</v>
      </c>
      <c r="M209" s="1" t="str">
        <f t="shared" si="140"/>
        <v>101</v>
      </c>
      <c r="N209" s="1" t="str">
        <f t="shared" si="154"/>
        <v>012</v>
      </c>
      <c r="O209" s="1" t="str">
        <f t="shared" si="141"/>
        <v>00</v>
      </c>
      <c r="P209" s="1" t="str">
        <f t="shared" si="142"/>
        <v>S</v>
      </c>
      <c r="Q209" s="1" t="str">
        <f t="shared" si="143"/>
        <v>P</v>
      </c>
      <c r="R209" s="1" t="str">
        <f t="shared" si="144"/>
        <v>01</v>
      </c>
      <c r="S209" s="1" t="str">
        <f t="shared" si="145"/>
        <v>03</v>
      </c>
      <c r="T209" s="1" t="str">
        <f t="shared" si="146"/>
        <v>False</v>
      </c>
      <c r="U209" s="1" t="str">
        <f t="shared" si="147"/>
        <v>True</v>
      </c>
      <c r="V209" s="1" t="str">
        <f>"U0031320"</f>
        <v>U0031320</v>
      </c>
      <c r="W209" s="1">
        <v>1</v>
      </c>
      <c r="Y209" s="1">
        <v>0</v>
      </c>
      <c r="Z209" s="1">
        <v>0</v>
      </c>
      <c r="AB209" s="1" t="str">
        <f t="shared" si="136"/>
        <v>SMU</v>
      </c>
      <c r="AD209" s="1" t="str">
        <f t="shared" si="157"/>
        <v>4520308</v>
      </c>
      <c r="AE209" s="1" t="str">
        <f t="shared" si="158"/>
        <v>QUANZHOU REORDERS FORSUN</v>
      </c>
      <c r="AG209" s="1">
        <v>0</v>
      </c>
      <c r="AH209" s="1">
        <v>0</v>
      </c>
      <c r="AI209" s="1" t="str">
        <f t="shared" si="148"/>
        <v>F06</v>
      </c>
      <c r="AJ209" s="1" t="str">
        <f t="shared" si="159"/>
        <v>WOMAN</v>
      </c>
      <c r="AK209" s="1" t="str">
        <f t="shared" si="149"/>
        <v>PA</v>
      </c>
      <c r="AP209" s="1" t="str">
        <f t="shared" si="150"/>
        <v>False</v>
      </c>
      <c r="AR209" s="1" t="str">
        <f t="shared" si="160"/>
        <v>DECOR</v>
      </c>
      <c r="AY209" s="1" t="str">
        <f t="shared" si="151"/>
        <v>PF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 t="str">
        <f t="shared" si="161"/>
        <v>R GOMMA CANVAS</v>
      </c>
      <c r="BF209" s="1" t="str">
        <f t="shared" si="152"/>
        <v>Bonis SpA</v>
      </c>
      <c r="BO209" s="1">
        <v>0</v>
      </c>
      <c r="BP209" s="1">
        <v>0</v>
      </c>
      <c r="BQ209" s="1">
        <v>0</v>
      </c>
    </row>
    <row r="210" spans="2:69" x14ac:dyDescent="0.25">
      <c r="B210" s="1">
        <v>1743</v>
      </c>
      <c r="C210" s="1" t="str">
        <f t="shared" si="155"/>
        <v>DECOR4237S7/C1</v>
      </c>
      <c r="D210" s="1" t="str">
        <f>"ODA17N00003-140"</f>
        <v>ODA17N00003-140</v>
      </c>
      <c r="E210" s="1" t="str">
        <f t="shared" si="156"/>
        <v>D12 USPA</v>
      </c>
      <c r="F210" s="1" t="str">
        <f t="shared" si="137"/>
        <v>BONIS SPA</v>
      </c>
      <c r="G210" s="1" t="str">
        <f t="shared" si="138"/>
        <v>STOCK TERRA MP</v>
      </c>
      <c r="H210" s="1" t="str">
        <f t="shared" si="153"/>
        <v>BLK</v>
      </c>
      <c r="J210" s="1">
        <v>1</v>
      </c>
      <c r="K210" s="1">
        <f t="shared" si="123"/>
        <v>12</v>
      </c>
      <c r="L210" s="1" t="str">
        <f t="shared" si="139"/>
        <v>01</v>
      </c>
      <c r="M210" s="1" t="str">
        <f t="shared" si="140"/>
        <v>101</v>
      </c>
      <c r="N210" s="1" t="str">
        <f t="shared" si="154"/>
        <v>012</v>
      </c>
      <c r="O210" s="1" t="str">
        <f t="shared" si="141"/>
        <v>00</v>
      </c>
      <c r="P210" s="1" t="str">
        <f t="shared" si="142"/>
        <v>S</v>
      </c>
      <c r="Q210" s="1" t="str">
        <f t="shared" si="143"/>
        <v>P</v>
      </c>
      <c r="R210" s="1" t="str">
        <f t="shared" si="144"/>
        <v>01</v>
      </c>
      <c r="S210" s="1" t="str">
        <f t="shared" si="145"/>
        <v>03</v>
      </c>
      <c r="T210" s="1" t="str">
        <f t="shared" si="146"/>
        <v>False</v>
      </c>
      <c r="U210" s="1" t="str">
        <f t="shared" si="147"/>
        <v>True</v>
      </c>
      <c r="V210" s="1" t="str">
        <f>"U0031320"</f>
        <v>U0031320</v>
      </c>
      <c r="W210" s="1">
        <v>1</v>
      </c>
      <c r="Y210" s="1">
        <v>0</v>
      </c>
      <c r="Z210" s="1">
        <v>0</v>
      </c>
      <c r="AB210" s="1" t="str">
        <f t="shared" si="136"/>
        <v>SMU</v>
      </c>
      <c r="AD210" s="1" t="str">
        <f t="shared" si="157"/>
        <v>4520308</v>
      </c>
      <c r="AE210" s="1" t="str">
        <f t="shared" si="158"/>
        <v>QUANZHOU REORDERS FORSUN</v>
      </c>
      <c r="AG210" s="1">
        <v>0</v>
      </c>
      <c r="AH210" s="1">
        <v>0</v>
      </c>
      <c r="AI210" s="1" t="str">
        <f t="shared" si="148"/>
        <v>F06</v>
      </c>
      <c r="AJ210" s="1" t="str">
        <f t="shared" si="159"/>
        <v>WOMAN</v>
      </c>
      <c r="AK210" s="1" t="str">
        <f t="shared" si="149"/>
        <v>PA</v>
      </c>
      <c r="AP210" s="1" t="str">
        <f t="shared" si="150"/>
        <v>False</v>
      </c>
      <c r="AR210" s="1" t="str">
        <f t="shared" si="160"/>
        <v>DECOR</v>
      </c>
      <c r="AY210" s="1" t="str">
        <f t="shared" si="151"/>
        <v>PF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 t="str">
        <f t="shared" si="161"/>
        <v>R GOMMA CANVAS</v>
      </c>
      <c r="BF210" s="1" t="str">
        <f t="shared" si="152"/>
        <v>Bonis SpA</v>
      </c>
      <c r="BO210" s="1">
        <v>0</v>
      </c>
      <c r="BP210" s="1">
        <v>0</v>
      </c>
      <c r="BQ210" s="1">
        <v>0</v>
      </c>
    </row>
    <row r="211" spans="2:69" x14ac:dyDescent="0.25">
      <c r="B211" s="1">
        <v>1743</v>
      </c>
      <c r="C211" s="1" t="str">
        <f t="shared" si="155"/>
        <v>DECOR4237S7/C1</v>
      </c>
      <c r="D211" s="1" t="str">
        <f>"ODA17N00003-142"</f>
        <v>ODA17N00003-142</v>
      </c>
      <c r="E211" s="1" t="str">
        <f t="shared" si="156"/>
        <v>D12 USPA</v>
      </c>
      <c r="F211" s="1" t="str">
        <f t="shared" si="137"/>
        <v>BONIS SPA</v>
      </c>
      <c r="G211" s="1" t="str">
        <f t="shared" si="138"/>
        <v>STOCK TERRA MP</v>
      </c>
      <c r="H211" s="1" t="str">
        <f t="shared" si="153"/>
        <v>BLK</v>
      </c>
      <c r="J211" s="1">
        <v>1</v>
      </c>
      <c r="K211" s="1">
        <f t="shared" si="123"/>
        <v>12</v>
      </c>
      <c r="L211" s="1" t="str">
        <f t="shared" si="139"/>
        <v>01</v>
      </c>
      <c r="M211" s="1" t="str">
        <f t="shared" si="140"/>
        <v>101</v>
      </c>
      <c r="N211" s="1" t="str">
        <f t="shared" si="154"/>
        <v>012</v>
      </c>
      <c r="O211" s="1" t="str">
        <f t="shared" si="141"/>
        <v>00</v>
      </c>
      <c r="P211" s="1" t="str">
        <f t="shared" si="142"/>
        <v>S</v>
      </c>
      <c r="Q211" s="1" t="str">
        <f t="shared" si="143"/>
        <v>P</v>
      </c>
      <c r="R211" s="1" t="str">
        <f t="shared" si="144"/>
        <v>01</v>
      </c>
      <c r="S211" s="1" t="str">
        <f t="shared" si="145"/>
        <v>03</v>
      </c>
      <c r="T211" s="1" t="str">
        <f t="shared" si="146"/>
        <v>False</v>
      </c>
      <c r="U211" s="1" t="str">
        <f t="shared" si="147"/>
        <v>True</v>
      </c>
      <c r="V211" s="1" t="str">
        <f>"U0031320"</f>
        <v>U0031320</v>
      </c>
      <c r="W211" s="1">
        <v>1</v>
      </c>
      <c r="Y211" s="1">
        <v>0</v>
      </c>
      <c r="Z211" s="1">
        <v>0</v>
      </c>
      <c r="AB211" s="1" t="str">
        <f t="shared" si="136"/>
        <v>SMU</v>
      </c>
      <c r="AD211" s="1" t="str">
        <f t="shared" si="157"/>
        <v>4520308</v>
      </c>
      <c r="AE211" s="1" t="str">
        <f t="shared" si="158"/>
        <v>QUANZHOU REORDERS FORSUN</v>
      </c>
      <c r="AG211" s="1">
        <v>0</v>
      </c>
      <c r="AH211" s="1">
        <v>0</v>
      </c>
      <c r="AI211" s="1" t="str">
        <f t="shared" si="148"/>
        <v>F06</v>
      </c>
      <c r="AJ211" s="1" t="str">
        <f t="shared" si="159"/>
        <v>WOMAN</v>
      </c>
      <c r="AK211" s="1" t="str">
        <f t="shared" si="149"/>
        <v>PA</v>
      </c>
      <c r="AP211" s="1" t="str">
        <f t="shared" si="150"/>
        <v>False</v>
      </c>
      <c r="AR211" s="1" t="str">
        <f t="shared" si="160"/>
        <v>DECOR</v>
      </c>
      <c r="AY211" s="1" t="str">
        <f t="shared" si="151"/>
        <v>PF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 t="str">
        <f t="shared" si="161"/>
        <v>R GOMMA CANVAS</v>
      </c>
      <c r="BF211" s="1" t="str">
        <f t="shared" si="152"/>
        <v>Bonis SpA</v>
      </c>
      <c r="BO211" s="1">
        <v>0</v>
      </c>
      <c r="BP211" s="1">
        <v>0</v>
      </c>
      <c r="BQ211" s="1">
        <v>0</v>
      </c>
    </row>
    <row r="212" spans="2:69" x14ac:dyDescent="0.25">
      <c r="B212" s="1">
        <v>1743</v>
      </c>
      <c r="C212" s="1" t="str">
        <f t="shared" si="155"/>
        <v>DECOR4237S7/C1</v>
      </c>
      <c r="D212" s="1" t="str">
        <f>"ODA17N00003-143"</f>
        <v>ODA17N00003-143</v>
      </c>
      <c r="E212" s="1" t="str">
        <f t="shared" si="156"/>
        <v>D12 USPA</v>
      </c>
      <c r="F212" s="1" t="str">
        <f t="shared" si="137"/>
        <v>BONIS SPA</v>
      </c>
      <c r="G212" s="1" t="str">
        <f t="shared" si="138"/>
        <v>STOCK TERRA MP</v>
      </c>
      <c r="H212" s="1" t="str">
        <f t="shared" si="153"/>
        <v>BLK</v>
      </c>
      <c r="J212" s="1">
        <v>1</v>
      </c>
      <c r="K212" s="1">
        <f t="shared" si="123"/>
        <v>12</v>
      </c>
      <c r="L212" s="1" t="str">
        <f t="shared" si="139"/>
        <v>01</v>
      </c>
      <c r="M212" s="1" t="str">
        <f t="shared" si="140"/>
        <v>101</v>
      </c>
      <c r="N212" s="1" t="str">
        <f t="shared" si="154"/>
        <v>012</v>
      </c>
      <c r="O212" s="1" t="str">
        <f t="shared" si="141"/>
        <v>00</v>
      </c>
      <c r="P212" s="1" t="str">
        <f t="shared" si="142"/>
        <v>S</v>
      </c>
      <c r="Q212" s="1" t="str">
        <f t="shared" si="143"/>
        <v>P</v>
      </c>
      <c r="R212" s="1" t="str">
        <f t="shared" si="144"/>
        <v>01</v>
      </c>
      <c r="S212" s="1" t="str">
        <f t="shared" si="145"/>
        <v>03</v>
      </c>
      <c r="T212" s="1" t="str">
        <f t="shared" si="146"/>
        <v>False</v>
      </c>
      <c r="U212" s="1" t="str">
        <f t="shared" si="147"/>
        <v>True</v>
      </c>
      <c r="V212" s="1" t="str">
        <f>"U0031320"</f>
        <v>U0031320</v>
      </c>
      <c r="W212" s="1">
        <v>1</v>
      </c>
      <c r="Y212" s="1">
        <v>0</v>
      </c>
      <c r="Z212" s="1">
        <v>0</v>
      </c>
      <c r="AB212" s="1" t="str">
        <f t="shared" si="136"/>
        <v>SMU</v>
      </c>
      <c r="AD212" s="1" t="str">
        <f t="shared" si="157"/>
        <v>4520308</v>
      </c>
      <c r="AE212" s="1" t="str">
        <f t="shared" si="158"/>
        <v>QUANZHOU REORDERS FORSUN</v>
      </c>
      <c r="AG212" s="1">
        <v>0</v>
      </c>
      <c r="AH212" s="1">
        <v>0</v>
      </c>
      <c r="AI212" s="1" t="str">
        <f t="shared" si="148"/>
        <v>F06</v>
      </c>
      <c r="AJ212" s="1" t="str">
        <f t="shared" si="159"/>
        <v>WOMAN</v>
      </c>
      <c r="AK212" s="1" t="str">
        <f t="shared" si="149"/>
        <v>PA</v>
      </c>
      <c r="AP212" s="1" t="str">
        <f t="shared" si="150"/>
        <v>False</v>
      </c>
      <c r="AR212" s="1" t="str">
        <f t="shared" si="160"/>
        <v>DECOR</v>
      </c>
      <c r="AY212" s="1" t="str">
        <f t="shared" si="151"/>
        <v>PF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 t="str">
        <f t="shared" si="161"/>
        <v>R GOMMA CANVAS</v>
      </c>
      <c r="BF212" s="1" t="str">
        <f t="shared" si="152"/>
        <v>Bonis SpA</v>
      </c>
      <c r="BO212" s="1">
        <v>0</v>
      </c>
      <c r="BP212" s="1">
        <v>0</v>
      </c>
      <c r="BQ212" s="1">
        <v>0</v>
      </c>
    </row>
    <row r="213" spans="2:69" x14ac:dyDescent="0.25">
      <c r="B213" s="1">
        <v>1743</v>
      </c>
      <c r="C213" s="1" t="str">
        <f t="shared" si="155"/>
        <v>DECOR4237S7/C1</v>
      </c>
      <c r="D213" s="1" t="str">
        <f>"ODA17N00003-149"</f>
        <v>ODA17N00003-149</v>
      </c>
      <c r="E213" s="1" t="str">
        <f t="shared" si="156"/>
        <v>D12 USPA</v>
      </c>
      <c r="F213" s="1" t="str">
        <f t="shared" si="137"/>
        <v>BONIS SPA</v>
      </c>
      <c r="G213" s="1" t="str">
        <f t="shared" si="138"/>
        <v>STOCK TERRA MP</v>
      </c>
      <c r="H213" s="1" t="str">
        <f t="shared" si="153"/>
        <v>BLK</v>
      </c>
      <c r="J213" s="1">
        <v>1</v>
      </c>
      <c r="K213" s="1">
        <f t="shared" si="123"/>
        <v>12</v>
      </c>
      <c r="L213" s="1" t="str">
        <f t="shared" si="139"/>
        <v>01</v>
      </c>
      <c r="M213" s="1" t="str">
        <f t="shared" si="140"/>
        <v>101</v>
      </c>
      <c r="N213" s="1" t="str">
        <f t="shared" si="154"/>
        <v>012</v>
      </c>
      <c r="O213" s="1" t="str">
        <f t="shared" si="141"/>
        <v>00</v>
      </c>
      <c r="P213" s="1" t="str">
        <f t="shared" si="142"/>
        <v>S</v>
      </c>
      <c r="Q213" s="1" t="str">
        <f t="shared" si="143"/>
        <v>P</v>
      </c>
      <c r="R213" s="1" t="str">
        <f t="shared" si="144"/>
        <v>01</v>
      </c>
      <c r="S213" s="1" t="str">
        <f t="shared" si="145"/>
        <v>03</v>
      </c>
      <c r="T213" s="1" t="str">
        <f t="shared" si="146"/>
        <v>False</v>
      </c>
      <c r="U213" s="1" t="str">
        <f t="shared" si="147"/>
        <v>True</v>
      </c>
      <c r="V213" s="1" t="str">
        <f>"U0031318"</f>
        <v>U0031318</v>
      </c>
      <c r="W213" s="1">
        <v>1</v>
      </c>
      <c r="Y213" s="1">
        <v>0</v>
      </c>
      <c r="Z213" s="1">
        <v>0</v>
      </c>
      <c r="AB213" s="1" t="str">
        <f t="shared" si="136"/>
        <v>SMU</v>
      </c>
      <c r="AD213" s="1" t="str">
        <f t="shared" si="157"/>
        <v>4520308</v>
      </c>
      <c r="AE213" s="1" t="str">
        <f t="shared" si="158"/>
        <v>QUANZHOU REORDERS FORSUN</v>
      </c>
      <c r="AG213" s="1">
        <v>0</v>
      </c>
      <c r="AH213" s="1">
        <v>0</v>
      </c>
      <c r="AI213" s="1" t="str">
        <f t="shared" si="148"/>
        <v>F06</v>
      </c>
      <c r="AJ213" s="1" t="str">
        <f t="shared" si="159"/>
        <v>WOMAN</v>
      </c>
      <c r="AK213" s="1" t="str">
        <f t="shared" si="149"/>
        <v>PA</v>
      </c>
      <c r="AP213" s="1" t="str">
        <f t="shared" si="150"/>
        <v>False</v>
      </c>
      <c r="AR213" s="1" t="str">
        <f t="shared" si="160"/>
        <v>DECOR</v>
      </c>
      <c r="AY213" s="1" t="str">
        <f t="shared" si="151"/>
        <v>PF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 t="str">
        <f t="shared" si="161"/>
        <v>R GOMMA CANVAS</v>
      </c>
      <c r="BF213" s="1" t="str">
        <f t="shared" si="152"/>
        <v>Bonis SpA</v>
      </c>
      <c r="BO213" s="1">
        <v>0</v>
      </c>
      <c r="BP213" s="1">
        <v>0</v>
      </c>
      <c r="BQ213" s="1">
        <v>0</v>
      </c>
    </row>
    <row r="214" spans="2:69" x14ac:dyDescent="0.25">
      <c r="B214" s="1">
        <v>1743</v>
      </c>
      <c r="C214" s="1" t="str">
        <f t="shared" si="155"/>
        <v>DECOR4237S7/C1</v>
      </c>
      <c r="D214" s="1" t="str">
        <f>"ODA17N00003-153"</f>
        <v>ODA17N00003-153</v>
      </c>
      <c r="E214" s="1" t="str">
        <f t="shared" si="156"/>
        <v>D12 USPA</v>
      </c>
      <c r="F214" s="1" t="str">
        <f t="shared" si="137"/>
        <v>BONIS SPA</v>
      </c>
      <c r="G214" s="1" t="str">
        <f t="shared" si="138"/>
        <v>STOCK TERRA MP</v>
      </c>
      <c r="H214" s="1" t="str">
        <f t="shared" si="153"/>
        <v>BLK</v>
      </c>
      <c r="J214" s="1">
        <v>1</v>
      </c>
      <c r="K214" s="1">
        <f t="shared" si="123"/>
        <v>12</v>
      </c>
      <c r="L214" s="1" t="str">
        <f t="shared" si="139"/>
        <v>01</v>
      </c>
      <c r="M214" s="1" t="str">
        <f t="shared" si="140"/>
        <v>101</v>
      </c>
      <c r="N214" s="1" t="str">
        <f t="shared" si="154"/>
        <v>012</v>
      </c>
      <c r="O214" s="1" t="str">
        <f t="shared" si="141"/>
        <v>00</v>
      </c>
      <c r="P214" s="1" t="str">
        <f t="shared" si="142"/>
        <v>S</v>
      </c>
      <c r="Q214" s="1" t="str">
        <f t="shared" si="143"/>
        <v>P</v>
      </c>
      <c r="R214" s="1" t="str">
        <f t="shared" si="144"/>
        <v>01</v>
      </c>
      <c r="S214" s="1" t="str">
        <f t="shared" si="145"/>
        <v>03</v>
      </c>
      <c r="T214" s="1" t="str">
        <f t="shared" si="146"/>
        <v>False</v>
      </c>
      <c r="U214" s="1" t="str">
        <f t="shared" si="147"/>
        <v>True</v>
      </c>
      <c r="V214" s="1" t="str">
        <f>"U0031320"</f>
        <v>U0031320</v>
      </c>
      <c r="W214" s="1">
        <v>1</v>
      </c>
      <c r="Y214" s="1">
        <v>0</v>
      </c>
      <c r="Z214" s="1">
        <v>0</v>
      </c>
      <c r="AB214" s="1" t="str">
        <f t="shared" si="136"/>
        <v>SMU</v>
      </c>
      <c r="AD214" s="1" t="str">
        <f t="shared" si="157"/>
        <v>4520308</v>
      </c>
      <c r="AE214" s="1" t="str">
        <f t="shared" si="158"/>
        <v>QUANZHOU REORDERS FORSUN</v>
      </c>
      <c r="AG214" s="1">
        <v>0</v>
      </c>
      <c r="AH214" s="1">
        <v>0</v>
      </c>
      <c r="AI214" s="1" t="str">
        <f t="shared" si="148"/>
        <v>F06</v>
      </c>
      <c r="AJ214" s="1" t="str">
        <f t="shared" si="159"/>
        <v>WOMAN</v>
      </c>
      <c r="AK214" s="1" t="str">
        <f t="shared" si="149"/>
        <v>PA</v>
      </c>
      <c r="AP214" s="1" t="str">
        <f t="shared" si="150"/>
        <v>False</v>
      </c>
      <c r="AR214" s="1" t="str">
        <f t="shared" si="160"/>
        <v>DECOR</v>
      </c>
      <c r="AY214" s="1" t="str">
        <f t="shared" si="151"/>
        <v>PF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 t="str">
        <f t="shared" si="161"/>
        <v>R GOMMA CANVAS</v>
      </c>
      <c r="BF214" s="1" t="str">
        <f t="shared" si="152"/>
        <v>Bonis SpA</v>
      </c>
      <c r="BO214" s="1">
        <v>0</v>
      </c>
      <c r="BP214" s="1">
        <v>0</v>
      </c>
      <c r="BQ214" s="1">
        <v>0</v>
      </c>
    </row>
    <row r="215" spans="2:69" x14ac:dyDescent="0.25">
      <c r="B215" s="1">
        <v>1743</v>
      </c>
      <c r="C215" s="1" t="str">
        <f t="shared" si="155"/>
        <v>DECOR4237S7/C1</v>
      </c>
      <c r="D215" s="1" t="str">
        <f>"ODA17N00003-155"</f>
        <v>ODA17N00003-155</v>
      </c>
      <c r="E215" s="1" t="str">
        <f t="shared" si="156"/>
        <v>D12 USPA</v>
      </c>
      <c r="F215" s="1" t="str">
        <f t="shared" si="137"/>
        <v>BONIS SPA</v>
      </c>
      <c r="G215" s="1" t="str">
        <f t="shared" si="138"/>
        <v>STOCK TERRA MP</v>
      </c>
      <c r="H215" s="1" t="str">
        <f t="shared" si="153"/>
        <v>BLK</v>
      </c>
      <c r="J215" s="1">
        <v>1</v>
      </c>
      <c r="K215" s="1">
        <f t="shared" si="123"/>
        <v>12</v>
      </c>
      <c r="L215" s="1" t="str">
        <f t="shared" si="139"/>
        <v>01</v>
      </c>
      <c r="M215" s="1" t="str">
        <f t="shared" si="140"/>
        <v>101</v>
      </c>
      <c r="N215" s="1" t="str">
        <f t="shared" si="154"/>
        <v>012</v>
      </c>
      <c r="O215" s="1" t="str">
        <f t="shared" si="141"/>
        <v>00</v>
      </c>
      <c r="P215" s="1" t="str">
        <f t="shared" si="142"/>
        <v>S</v>
      </c>
      <c r="Q215" s="1" t="str">
        <f t="shared" si="143"/>
        <v>P</v>
      </c>
      <c r="R215" s="1" t="str">
        <f t="shared" si="144"/>
        <v>01</v>
      </c>
      <c r="S215" s="1" t="str">
        <f t="shared" si="145"/>
        <v>03</v>
      </c>
      <c r="T215" s="1" t="str">
        <f t="shared" si="146"/>
        <v>False</v>
      </c>
      <c r="U215" s="1" t="str">
        <f t="shared" si="147"/>
        <v>True</v>
      </c>
      <c r="V215" s="1" t="str">
        <f>"U0031320"</f>
        <v>U0031320</v>
      </c>
      <c r="W215" s="1">
        <v>1</v>
      </c>
      <c r="Y215" s="1">
        <v>0</v>
      </c>
      <c r="Z215" s="1">
        <v>0</v>
      </c>
      <c r="AB215" s="1" t="str">
        <f t="shared" si="136"/>
        <v>SMU</v>
      </c>
      <c r="AD215" s="1" t="str">
        <f t="shared" si="157"/>
        <v>4520308</v>
      </c>
      <c r="AE215" s="1" t="str">
        <f t="shared" si="158"/>
        <v>QUANZHOU REORDERS FORSUN</v>
      </c>
      <c r="AG215" s="1">
        <v>0</v>
      </c>
      <c r="AH215" s="1">
        <v>0</v>
      </c>
      <c r="AI215" s="1" t="str">
        <f t="shared" si="148"/>
        <v>F06</v>
      </c>
      <c r="AJ215" s="1" t="str">
        <f t="shared" si="159"/>
        <v>WOMAN</v>
      </c>
      <c r="AK215" s="1" t="str">
        <f t="shared" si="149"/>
        <v>PA</v>
      </c>
      <c r="AP215" s="1" t="str">
        <f t="shared" si="150"/>
        <v>False</v>
      </c>
      <c r="AR215" s="1" t="str">
        <f t="shared" si="160"/>
        <v>DECOR</v>
      </c>
      <c r="AY215" s="1" t="str">
        <f t="shared" si="151"/>
        <v>PF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 t="str">
        <f t="shared" si="161"/>
        <v>R GOMMA CANVAS</v>
      </c>
      <c r="BF215" s="1" t="str">
        <f t="shared" si="152"/>
        <v>Bonis SpA</v>
      </c>
      <c r="BO215" s="1">
        <v>0</v>
      </c>
      <c r="BP215" s="1">
        <v>0</v>
      </c>
      <c r="BQ215" s="1">
        <v>0</v>
      </c>
    </row>
    <row r="216" spans="2:69" x14ac:dyDescent="0.25">
      <c r="B216" s="1">
        <v>1743</v>
      </c>
      <c r="C216" s="1" t="str">
        <f t="shared" si="155"/>
        <v>DECOR4237S7/C1</v>
      </c>
      <c r="D216" s="1" t="str">
        <f>"ODA17N00003-160"</f>
        <v>ODA17N00003-160</v>
      </c>
      <c r="E216" s="1" t="str">
        <f t="shared" si="156"/>
        <v>D12 USPA</v>
      </c>
      <c r="F216" s="1" t="str">
        <f t="shared" si="137"/>
        <v>BONIS SPA</v>
      </c>
      <c r="G216" s="1" t="str">
        <f t="shared" si="138"/>
        <v>STOCK TERRA MP</v>
      </c>
      <c r="H216" s="1" t="str">
        <f t="shared" si="153"/>
        <v>BLK</v>
      </c>
      <c r="J216" s="1">
        <v>1</v>
      </c>
      <c r="K216" s="1">
        <f t="shared" si="123"/>
        <v>12</v>
      </c>
      <c r="L216" s="1" t="str">
        <f t="shared" si="139"/>
        <v>01</v>
      </c>
      <c r="M216" s="1" t="str">
        <f t="shared" si="140"/>
        <v>101</v>
      </c>
      <c r="N216" s="1" t="str">
        <f t="shared" si="154"/>
        <v>012</v>
      </c>
      <c r="O216" s="1" t="str">
        <f t="shared" si="141"/>
        <v>00</v>
      </c>
      <c r="P216" s="1" t="str">
        <f t="shared" si="142"/>
        <v>S</v>
      </c>
      <c r="Q216" s="1" t="str">
        <f t="shared" si="143"/>
        <v>P</v>
      </c>
      <c r="R216" s="1" t="str">
        <f t="shared" si="144"/>
        <v>01</v>
      </c>
      <c r="S216" s="1" t="str">
        <f t="shared" si="145"/>
        <v>03</v>
      </c>
      <c r="T216" s="1" t="str">
        <f t="shared" si="146"/>
        <v>False</v>
      </c>
      <c r="U216" s="1" t="str">
        <f t="shared" si="147"/>
        <v>True</v>
      </c>
      <c r="V216" s="1" t="str">
        <f>"U0031320"</f>
        <v>U0031320</v>
      </c>
      <c r="W216" s="1">
        <v>1</v>
      </c>
      <c r="Y216" s="1">
        <v>0</v>
      </c>
      <c r="Z216" s="1">
        <v>0</v>
      </c>
      <c r="AB216" s="1" t="str">
        <f t="shared" si="136"/>
        <v>SMU</v>
      </c>
      <c r="AD216" s="1" t="str">
        <f t="shared" si="157"/>
        <v>4520308</v>
      </c>
      <c r="AE216" s="1" t="str">
        <f t="shared" si="158"/>
        <v>QUANZHOU REORDERS FORSUN</v>
      </c>
      <c r="AG216" s="1">
        <v>0</v>
      </c>
      <c r="AH216" s="1">
        <v>0</v>
      </c>
      <c r="AI216" s="1" t="str">
        <f t="shared" si="148"/>
        <v>F06</v>
      </c>
      <c r="AJ216" s="1" t="str">
        <f t="shared" si="159"/>
        <v>WOMAN</v>
      </c>
      <c r="AK216" s="1" t="str">
        <f t="shared" si="149"/>
        <v>PA</v>
      </c>
      <c r="AP216" s="1" t="str">
        <f t="shared" si="150"/>
        <v>False</v>
      </c>
      <c r="AR216" s="1" t="str">
        <f t="shared" si="160"/>
        <v>DECOR</v>
      </c>
      <c r="AY216" s="1" t="str">
        <f t="shared" si="151"/>
        <v>PF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 t="str">
        <f t="shared" si="161"/>
        <v>R GOMMA CANVAS</v>
      </c>
      <c r="BF216" s="1" t="str">
        <f t="shared" si="152"/>
        <v>Bonis SpA</v>
      </c>
      <c r="BO216" s="1">
        <v>0</v>
      </c>
      <c r="BP216" s="1">
        <v>0</v>
      </c>
      <c r="BQ216" s="1">
        <v>0</v>
      </c>
    </row>
    <row r="217" spans="2:69" x14ac:dyDescent="0.25">
      <c r="B217" s="1">
        <v>1743</v>
      </c>
      <c r="C217" s="1" t="str">
        <f t="shared" si="155"/>
        <v>DECOR4237S7/C1</v>
      </c>
      <c r="D217" s="1" t="str">
        <f>"ODA17N00003-162"</f>
        <v>ODA17N00003-162</v>
      </c>
      <c r="E217" s="1" t="str">
        <f t="shared" si="156"/>
        <v>D12 USPA</v>
      </c>
      <c r="F217" s="1" t="str">
        <f t="shared" si="137"/>
        <v>BONIS SPA</v>
      </c>
      <c r="G217" s="1" t="str">
        <f t="shared" si="138"/>
        <v>STOCK TERRA MP</v>
      </c>
      <c r="H217" s="1" t="str">
        <f t="shared" si="153"/>
        <v>BLK</v>
      </c>
      <c r="J217" s="1">
        <v>1</v>
      </c>
      <c r="K217" s="1">
        <f t="shared" si="123"/>
        <v>12</v>
      </c>
      <c r="L217" s="1" t="str">
        <f t="shared" si="139"/>
        <v>01</v>
      </c>
      <c r="M217" s="1" t="str">
        <f t="shared" si="140"/>
        <v>101</v>
      </c>
      <c r="N217" s="1" t="str">
        <f t="shared" si="154"/>
        <v>012</v>
      </c>
      <c r="O217" s="1" t="str">
        <f t="shared" si="141"/>
        <v>00</v>
      </c>
      <c r="P217" s="1" t="str">
        <f t="shared" si="142"/>
        <v>S</v>
      </c>
      <c r="Q217" s="1" t="str">
        <f t="shared" si="143"/>
        <v>P</v>
      </c>
      <c r="R217" s="1" t="str">
        <f t="shared" si="144"/>
        <v>01</v>
      </c>
      <c r="S217" s="1" t="str">
        <f t="shared" si="145"/>
        <v>03</v>
      </c>
      <c r="T217" s="1" t="str">
        <f t="shared" si="146"/>
        <v>False</v>
      </c>
      <c r="U217" s="1" t="str">
        <f t="shared" si="147"/>
        <v>True</v>
      </c>
      <c r="V217" s="1" t="str">
        <f>"U0031320"</f>
        <v>U0031320</v>
      </c>
      <c r="W217" s="1">
        <v>1</v>
      </c>
      <c r="Y217" s="1">
        <v>0</v>
      </c>
      <c r="Z217" s="1">
        <v>0</v>
      </c>
      <c r="AB217" s="1" t="str">
        <f t="shared" si="136"/>
        <v>SMU</v>
      </c>
      <c r="AD217" s="1" t="str">
        <f t="shared" si="157"/>
        <v>4520308</v>
      </c>
      <c r="AE217" s="1" t="str">
        <f t="shared" si="158"/>
        <v>QUANZHOU REORDERS FORSUN</v>
      </c>
      <c r="AG217" s="1">
        <v>0</v>
      </c>
      <c r="AH217" s="1">
        <v>0</v>
      </c>
      <c r="AI217" s="1" t="str">
        <f t="shared" si="148"/>
        <v>F06</v>
      </c>
      <c r="AJ217" s="1" t="str">
        <f t="shared" si="159"/>
        <v>WOMAN</v>
      </c>
      <c r="AK217" s="1" t="str">
        <f t="shared" si="149"/>
        <v>PA</v>
      </c>
      <c r="AP217" s="1" t="str">
        <f t="shared" si="150"/>
        <v>False</v>
      </c>
      <c r="AR217" s="1" t="str">
        <f t="shared" si="160"/>
        <v>DECOR</v>
      </c>
      <c r="AY217" s="1" t="str">
        <f t="shared" si="151"/>
        <v>PF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 t="str">
        <f t="shared" si="161"/>
        <v>R GOMMA CANVAS</v>
      </c>
      <c r="BF217" s="1" t="str">
        <f t="shared" si="152"/>
        <v>Bonis SpA</v>
      </c>
      <c r="BO217" s="1">
        <v>0</v>
      </c>
      <c r="BP217" s="1">
        <v>0</v>
      </c>
      <c r="BQ217" s="1">
        <v>0</v>
      </c>
    </row>
    <row r="218" spans="2:69" x14ac:dyDescent="0.25">
      <c r="B218" s="1">
        <v>1743</v>
      </c>
      <c r="C218" s="1" t="str">
        <f t="shared" si="155"/>
        <v>DECOR4237S7/C1</v>
      </c>
      <c r="D218" s="1" t="str">
        <f>"ODA17N00003-163"</f>
        <v>ODA17N00003-163</v>
      </c>
      <c r="E218" s="1" t="str">
        <f t="shared" si="156"/>
        <v>D12 USPA</v>
      </c>
      <c r="F218" s="1" t="str">
        <f t="shared" si="137"/>
        <v>BONIS SPA</v>
      </c>
      <c r="G218" s="1" t="str">
        <f t="shared" si="138"/>
        <v>STOCK TERRA MP</v>
      </c>
      <c r="H218" s="1" t="str">
        <f t="shared" si="153"/>
        <v>BLK</v>
      </c>
      <c r="J218" s="1">
        <v>1</v>
      </c>
      <c r="K218" s="1">
        <f t="shared" ref="K218:K272" si="162">12*J218</f>
        <v>12</v>
      </c>
      <c r="L218" s="1" t="str">
        <f t="shared" si="139"/>
        <v>01</v>
      </c>
      <c r="M218" s="1" t="str">
        <f t="shared" si="140"/>
        <v>101</v>
      </c>
      <c r="N218" s="1" t="str">
        <f t="shared" si="154"/>
        <v>012</v>
      </c>
      <c r="O218" s="1" t="str">
        <f t="shared" si="141"/>
        <v>00</v>
      </c>
      <c r="P218" s="1" t="str">
        <f t="shared" si="142"/>
        <v>S</v>
      </c>
      <c r="Q218" s="1" t="str">
        <f t="shared" si="143"/>
        <v>P</v>
      </c>
      <c r="R218" s="1" t="str">
        <f t="shared" si="144"/>
        <v>01</v>
      </c>
      <c r="S218" s="1" t="str">
        <f t="shared" si="145"/>
        <v>03</v>
      </c>
      <c r="T218" s="1" t="str">
        <f t="shared" si="146"/>
        <v>False</v>
      </c>
      <c r="U218" s="1" t="str">
        <f t="shared" si="147"/>
        <v>True</v>
      </c>
      <c r="V218" s="1" t="str">
        <f>"U0031320"</f>
        <v>U0031320</v>
      </c>
      <c r="W218" s="1">
        <v>1</v>
      </c>
      <c r="Y218" s="1">
        <v>0</v>
      </c>
      <c r="Z218" s="1">
        <v>0</v>
      </c>
      <c r="AB218" s="1" t="str">
        <f t="shared" ref="AB218:AB249" si="163">"SMU"</f>
        <v>SMU</v>
      </c>
      <c r="AD218" s="1" t="str">
        <f t="shared" si="157"/>
        <v>4520308</v>
      </c>
      <c r="AE218" s="1" t="str">
        <f t="shared" si="158"/>
        <v>QUANZHOU REORDERS FORSUN</v>
      </c>
      <c r="AG218" s="1">
        <v>0</v>
      </c>
      <c r="AH218" s="1">
        <v>0</v>
      </c>
      <c r="AI218" s="1" t="str">
        <f t="shared" si="148"/>
        <v>F06</v>
      </c>
      <c r="AJ218" s="1" t="str">
        <f t="shared" si="159"/>
        <v>WOMAN</v>
      </c>
      <c r="AK218" s="1" t="str">
        <f t="shared" si="149"/>
        <v>PA</v>
      </c>
      <c r="AP218" s="1" t="str">
        <f t="shared" si="150"/>
        <v>False</v>
      </c>
      <c r="AR218" s="1" t="str">
        <f t="shared" si="160"/>
        <v>DECOR</v>
      </c>
      <c r="AY218" s="1" t="str">
        <f t="shared" si="151"/>
        <v>PF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 t="str">
        <f t="shared" si="161"/>
        <v>R GOMMA CANVAS</v>
      </c>
      <c r="BF218" s="1" t="str">
        <f t="shared" si="152"/>
        <v>Bonis SpA</v>
      </c>
      <c r="BO218" s="1">
        <v>0</v>
      </c>
      <c r="BP218" s="1">
        <v>0</v>
      </c>
      <c r="BQ218" s="1">
        <v>0</v>
      </c>
    </row>
    <row r="219" spans="2:69" x14ac:dyDescent="0.25">
      <c r="B219" s="1">
        <v>1743</v>
      </c>
      <c r="C219" s="1" t="str">
        <f t="shared" si="155"/>
        <v>DECOR4237S7/C1</v>
      </c>
      <c r="D219" s="1" t="str">
        <f>"ODA17N00003-164"</f>
        <v>ODA17N00003-164</v>
      </c>
      <c r="E219" s="1" t="str">
        <f t="shared" si="156"/>
        <v>D12 USPA</v>
      </c>
      <c r="F219" s="1" t="str">
        <f t="shared" si="137"/>
        <v>BONIS SPA</v>
      </c>
      <c r="G219" s="1" t="str">
        <f t="shared" si="138"/>
        <v>STOCK TERRA MP</v>
      </c>
      <c r="H219" s="1" t="str">
        <f t="shared" si="153"/>
        <v>BLK</v>
      </c>
      <c r="J219" s="1">
        <v>1</v>
      </c>
      <c r="K219" s="1">
        <f t="shared" si="162"/>
        <v>12</v>
      </c>
      <c r="L219" s="1" t="str">
        <f t="shared" si="139"/>
        <v>01</v>
      </c>
      <c r="M219" s="1" t="str">
        <f t="shared" si="140"/>
        <v>101</v>
      </c>
      <c r="N219" s="1" t="str">
        <f t="shared" si="154"/>
        <v>012</v>
      </c>
      <c r="O219" s="1" t="str">
        <f t="shared" si="141"/>
        <v>00</v>
      </c>
      <c r="P219" s="1" t="str">
        <f t="shared" si="142"/>
        <v>S</v>
      </c>
      <c r="Q219" s="1" t="str">
        <f t="shared" si="143"/>
        <v>P</v>
      </c>
      <c r="R219" s="1" t="str">
        <f t="shared" si="144"/>
        <v>01</v>
      </c>
      <c r="S219" s="1" t="str">
        <f t="shared" si="145"/>
        <v>03</v>
      </c>
      <c r="T219" s="1" t="str">
        <f t="shared" si="146"/>
        <v>False</v>
      </c>
      <c r="U219" s="1" t="str">
        <f t="shared" si="147"/>
        <v>True</v>
      </c>
      <c r="V219" s="1" t="str">
        <f>"U0031318"</f>
        <v>U0031318</v>
      </c>
      <c r="W219" s="1">
        <v>1</v>
      </c>
      <c r="Y219" s="1">
        <v>0</v>
      </c>
      <c r="Z219" s="1">
        <v>0</v>
      </c>
      <c r="AB219" s="1" t="str">
        <f t="shared" si="163"/>
        <v>SMU</v>
      </c>
      <c r="AD219" s="1" t="str">
        <f t="shared" si="157"/>
        <v>4520308</v>
      </c>
      <c r="AE219" s="1" t="str">
        <f t="shared" si="158"/>
        <v>QUANZHOU REORDERS FORSUN</v>
      </c>
      <c r="AG219" s="1">
        <v>0</v>
      </c>
      <c r="AH219" s="1">
        <v>0</v>
      </c>
      <c r="AI219" s="1" t="str">
        <f t="shared" si="148"/>
        <v>F06</v>
      </c>
      <c r="AJ219" s="1" t="str">
        <f t="shared" si="159"/>
        <v>WOMAN</v>
      </c>
      <c r="AK219" s="1" t="str">
        <f t="shared" si="149"/>
        <v>PA</v>
      </c>
      <c r="AP219" s="1" t="str">
        <f t="shared" si="150"/>
        <v>False</v>
      </c>
      <c r="AR219" s="1" t="str">
        <f t="shared" si="160"/>
        <v>DECOR</v>
      </c>
      <c r="AY219" s="1" t="str">
        <f t="shared" si="151"/>
        <v>PF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 t="str">
        <f t="shared" si="161"/>
        <v>R GOMMA CANVAS</v>
      </c>
      <c r="BF219" s="1" t="str">
        <f t="shared" si="152"/>
        <v>Bonis SpA</v>
      </c>
      <c r="BO219" s="1">
        <v>0</v>
      </c>
      <c r="BP219" s="1">
        <v>0</v>
      </c>
      <c r="BQ219" s="1">
        <v>0</v>
      </c>
    </row>
    <row r="220" spans="2:69" x14ac:dyDescent="0.25">
      <c r="B220" s="1">
        <v>1743</v>
      </c>
      <c r="C220" s="1" t="str">
        <f t="shared" si="155"/>
        <v>DECOR4237S7/C1</v>
      </c>
      <c r="D220" s="1" t="str">
        <f>"ODA17N00003-166"</f>
        <v>ODA17N00003-166</v>
      </c>
      <c r="E220" s="1" t="str">
        <f t="shared" si="156"/>
        <v>D12 USPA</v>
      </c>
      <c r="F220" s="1" t="str">
        <f t="shared" si="137"/>
        <v>BONIS SPA</v>
      </c>
      <c r="G220" s="1" t="str">
        <f t="shared" si="138"/>
        <v>STOCK TERRA MP</v>
      </c>
      <c r="H220" s="1" t="str">
        <f t="shared" si="153"/>
        <v>BLK</v>
      </c>
      <c r="J220" s="1">
        <v>1</v>
      </c>
      <c r="K220" s="1">
        <f t="shared" si="162"/>
        <v>12</v>
      </c>
      <c r="L220" s="1" t="str">
        <f t="shared" si="139"/>
        <v>01</v>
      </c>
      <c r="M220" s="1" t="str">
        <f t="shared" si="140"/>
        <v>101</v>
      </c>
      <c r="N220" s="1" t="str">
        <f t="shared" si="154"/>
        <v>012</v>
      </c>
      <c r="O220" s="1" t="str">
        <f t="shared" si="141"/>
        <v>00</v>
      </c>
      <c r="P220" s="1" t="str">
        <f t="shared" si="142"/>
        <v>S</v>
      </c>
      <c r="Q220" s="1" t="str">
        <f t="shared" si="143"/>
        <v>P</v>
      </c>
      <c r="R220" s="1" t="str">
        <f t="shared" si="144"/>
        <v>01</v>
      </c>
      <c r="S220" s="1" t="str">
        <f t="shared" si="145"/>
        <v>03</v>
      </c>
      <c r="T220" s="1" t="str">
        <f t="shared" si="146"/>
        <v>False</v>
      </c>
      <c r="U220" s="1" t="str">
        <f t="shared" si="147"/>
        <v>True</v>
      </c>
      <c r="V220" s="1" t="str">
        <f>"U0031318"</f>
        <v>U0031318</v>
      </c>
      <c r="W220" s="1">
        <v>1</v>
      </c>
      <c r="Y220" s="1">
        <v>0</v>
      </c>
      <c r="Z220" s="1">
        <v>0</v>
      </c>
      <c r="AB220" s="1" t="str">
        <f t="shared" si="163"/>
        <v>SMU</v>
      </c>
      <c r="AD220" s="1" t="str">
        <f t="shared" si="157"/>
        <v>4520308</v>
      </c>
      <c r="AE220" s="1" t="str">
        <f t="shared" si="158"/>
        <v>QUANZHOU REORDERS FORSUN</v>
      </c>
      <c r="AG220" s="1">
        <v>0</v>
      </c>
      <c r="AH220" s="1">
        <v>0</v>
      </c>
      <c r="AI220" s="1" t="str">
        <f t="shared" si="148"/>
        <v>F06</v>
      </c>
      <c r="AJ220" s="1" t="str">
        <f t="shared" si="159"/>
        <v>WOMAN</v>
      </c>
      <c r="AK220" s="1" t="str">
        <f t="shared" si="149"/>
        <v>PA</v>
      </c>
      <c r="AP220" s="1" t="str">
        <f t="shared" si="150"/>
        <v>False</v>
      </c>
      <c r="AR220" s="1" t="str">
        <f t="shared" si="160"/>
        <v>DECOR</v>
      </c>
      <c r="AY220" s="1" t="str">
        <f t="shared" si="151"/>
        <v>PF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 t="str">
        <f t="shared" si="161"/>
        <v>R GOMMA CANVAS</v>
      </c>
      <c r="BF220" s="1" t="str">
        <f t="shared" si="152"/>
        <v>Bonis SpA</v>
      </c>
      <c r="BO220" s="1">
        <v>0</v>
      </c>
      <c r="BP220" s="1">
        <v>0</v>
      </c>
      <c r="BQ220" s="1">
        <v>0</v>
      </c>
    </row>
    <row r="221" spans="2:69" x14ac:dyDescent="0.25">
      <c r="B221" s="1">
        <v>1743</v>
      </c>
      <c r="C221" s="1" t="str">
        <f t="shared" si="155"/>
        <v>DECOR4237S7/C1</v>
      </c>
      <c r="D221" s="1" t="str">
        <f>"ODA17N00003-175"</f>
        <v>ODA17N00003-175</v>
      </c>
      <c r="E221" s="1" t="str">
        <f t="shared" si="156"/>
        <v>D12 USPA</v>
      </c>
      <c r="F221" s="1" t="str">
        <f t="shared" si="137"/>
        <v>BONIS SPA</v>
      </c>
      <c r="G221" s="1" t="str">
        <f t="shared" si="138"/>
        <v>STOCK TERRA MP</v>
      </c>
      <c r="H221" s="1" t="str">
        <f t="shared" si="153"/>
        <v>BLK</v>
      </c>
      <c r="J221" s="1">
        <v>1</v>
      </c>
      <c r="K221" s="1">
        <f t="shared" si="162"/>
        <v>12</v>
      </c>
      <c r="L221" s="1" t="str">
        <f t="shared" si="139"/>
        <v>01</v>
      </c>
      <c r="M221" s="1" t="str">
        <f t="shared" si="140"/>
        <v>101</v>
      </c>
      <c r="N221" s="1" t="str">
        <f t="shared" si="154"/>
        <v>012</v>
      </c>
      <c r="O221" s="1" t="str">
        <f t="shared" si="141"/>
        <v>00</v>
      </c>
      <c r="P221" s="1" t="str">
        <f t="shared" si="142"/>
        <v>S</v>
      </c>
      <c r="Q221" s="1" t="str">
        <f t="shared" si="143"/>
        <v>P</v>
      </c>
      <c r="R221" s="1" t="str">
        <f t="shared" si="144"/>
        <v>01</v>
      </c>
      <c r="S221" s="1" t="str">
        <f t="shared" si="145"/>
        <v>03</v>
      </c>
      <c r="T221" s="1" t="str">
        <f t="shared" si="146"/>
        <v>False</v>
      </c>
      <c r="U221" s="1" t="str">
        <f t="shared" si="147"/>
        <v>True</v>
      </c>
      <c r="V221" s="1" t="str">
        <f>"U0031320"</f>
        <v>U0031320</v>
      </c>
      <c r="W221" s="1">
        <v>1</v>
      </c>
      <c r="Y221" s="1">
        <v>0</v>
      </c>
      <c r="Z221" s="1">
        <v>0</v>
      </c>
      <c r="AB221" s="1" t="str">
        <f t="shared" si="163"/>
        <v>SMU</v>
      </c>
      <c r="AD221" s="1" t="str">
        <f t="shared" si="157"/>
        <v>4520308</v>
      </c>
      <c r="AE221" s="1" t="str">
        <f t="shared" si="158"/>
        <v>QUANZHOU REORDERS FORSUN</v>
      </c>
      <c r="AG221" s="1">
        <v>0</v>
      </c>
      <c r="AH221" s="1">
        <v>0</v>
      </c>
      <c r="AI221" s="1" t="str">
        <f t="shared" si="148"/>
        <v>F06</v>
      </c>
      <c r="AJ221" s="1" t="str">
        <f t="shared" si="159"/>
        <v>WOMAN</v>
      </c>
      <c r="AK221" s="1" t="str">
        <f t="shared" si="149"/>
        <v>PA</v>
      </c>
      <c r="AP221" s="1" t="str">
        <f t="shared" si="150"/>
        <v>False</v>
      </c>
      <c r="AR221" s="1" t="str">
        <f t="shared" si="160"/>
        <v>DECOR</v>
      </c>
      <c r="AY221" s="1" t="str">
        <f t="shared" si="151"/>
        <v>PF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 t="str">
        <f t="shared" si="161"/>
        <v>R GOMMA CANVAS</v>
      </c>
      <c r="BF221" s="1" t="str">
        <f t="shared" si="152"/>
        <v>Bonis SpA</v>
      </c>
      <c r="BO221" s="1">
        <v>0</v>
      </c>
      <c r="BP221" s="1">
        <v>0</v>
      </c>
      <c r="BQ221" s="1">
        <v>0</v>
      </c>
    </row>
    <row r="222" spans="2:69" x14ac:dyDescent="0.25">
      <c r="B222" s="1">
        <v>1743</v>
      </c>
      <c r="C222" s="1" t="str">
        <f t="shared" si="155"/>
        <v>DECOR4237S7/C1</v>
      </c>
      <c r="D222" s="1" t="str">
        <f>"ODA17N00003-177"</f>
        <v>ODA17N00003-177</v>
      </c>
      <c r="E222" s="1" t="str">
        <f t="shared" si="156"/>
        <v>D12 USPA</v>
      </c>
      <c r="F222" s="1" t="str">
        <f t="shared" si="137"/>
        <v>BONIS SPA</v>
      </c>
      <c r="G222" s="1" t="str">
        <f t="shared" si="138"/>
        <v>STOCK TERRA MP</v>
      </c>
      <c r="H222" s="1" t="str">
        <f t="shared" si="153"/>
        <v>BLK</v>
      </c>
      <c r="J222" s="1">
        <v>1</v>
      </c>
      <c r="K222" s="1">
        <f t="shared" si="162"/>
        <v>12</v>
      </c>
      <c r="L222" s="1" t="str">
        <f t="shared" si="139"/>
        <v>01</v>
      </c>
      <c r="M222" s="1" t="str">
        <f t="shared" si="140"/>
        <v>101</v>
      </c>
      <c r="N222" s="1" t="str">
        <f t="shared" si="154"/>
        <v>012</v>
      </c>
      <c r="O222" s="1" t="str">
        <f t="shared" si="141"/>
        <v>00</v>
      </c>
      <c r="P222" s="1" t="str">
        <f t="shared" si="142"/>
        <v>S</v>
      </c>
      <c r="Q222" s="1" t="str">
        <f t="shared" si="143"/>
        <v>P</v>
      </c>
      <c r="R222" s="1" t="str">
        <f t="shared" si="144"/>
        <v>01</v>
      </c>
      <c r="S222" s="1" t="str">
        <f t="shared" si="145"/>
        <v>03</v>
      </c>
      <c r="T222" s="1" t="str">
        <f t="shared" si="146"/>
        <v>False</v>
      </c>
      <c r="U222" s="1" t="str">
        <f t="shared" si="147"/>
        <v>True</v>
      </c>
      <c r="V222" s="1" t="str">
        <f>"U0031320"</f>
        <v>U0031320</v>
      </c>
      <c r="W222" s="1">
        <v>1</v>
      </c>
      <c r="Y222" s="1">
        <v>0</v>
      </c>
      <c r="Z222" s="1">
        <v>0</v>
      </c>
      <c r="AB222" s="1" t="str">
        <f t="shared" si="163"/>
        <v>SMU</v>
      </c>
      <c r="AD222" s="1" t="str">
        <f t="shared" si="157"/>
        <v>4520308</v>
      </c>
      <c r="AE222" s="1" t="str">
        <f t="shared" si="158"/>
        <v>QUANZHOU REORDERS FORSUN</v>
      </c>
      <c r="AG222" s="1">
        <v>0</v>
      </c>
      <c r="AH222" s="1">
        <v>0</v>
      </c>
      <c r="AI222" s="1" t="str">
        <f t="shared" si="148"/>
        <v>F06</v>
      </c>
      <c r="AJ222" s="1" t="str">
        <f t="shared" si="159"/>
        <v>WOMAN</v>
      </c>
      <c r="AK222" s="1" t="str">
        <f t="shared" si="149"/>
        <v>PA</v>
      </c>
      <c r="AP222" s="1" t="str">
        <f t="shared" si="150"/>
        <v>False</v>
      </c>
      <c r="AR222" s="1" t="str">
        <f t="shared" si="160"/>
        <v>DECOR</v>
      </c>
      <c r="AY222" s="1" t="str">
        <f t="shared" si="151"/>
        <v>PF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 t="str">
        <f t="shared" si="161"/>
        <v>R GOMMA CANVAS</v>
      </c>
      <c r="BF222" s="1" t="str">
        <f t="shared" si="152"/>
        <v>Bonis SpA</v>
      </c>
      <c r="BO222" s="1">
        <v>0</v>
      </c>
      <c r="BP222" s="1">
        <v>0</v>
      </c>
      <c r="BQ222" s="1">
        <v>0</v>
      </c>
    </row>
    <row r="223" spans="2:69" x14ac:dyDescent="0.25">
      <c r="B223" s="1">
        <v>1743</v>
      </c>
      <c r="C223" s="1" t="str">
        <f t="shared" si="155"/>
        <v>DECOR4237S7/C1</v>
      </c>
      <c r="D223" s="1" t="str">
        <f>"ODA17N00003-181"</f>
        <v>ODA17N00003-181</v>
      </c>
      <c r="E223" s="1" t="str">
        <f t="shared" si="156"/>
        <v>D12 USPA</v>
      </c>
      <c r="F223" s="1" t="str">
        <f t="shared" si="137"/>
        <v>BONIS SPA</v>
      </c>
      <c r="G223" s="1" t="str">
        <f t="shared" si="138"/>
        <v>STOCK TERRA MP</v>
      </c>
      <c r="H223" s="1" t="str">
        <f t="shared" si="153"/>
        <v>BLK</v>
      </c>
      <c r="J223" s="1">
        <v>1</v>
      </c>
      <c r="K223" s="1">
        <f t="shared" si="162"/>
        <v>12</v>
      </c>
      <c r="L223" s="1" t="str">
        <f t="shared" si="139"/>
        <v>01</v>
      </c>
      <c r="M223" s="1" t="str">
        <f t="shared" si="140"/>
        <v>101</v>
      </c>
      <c r="N223" s="1" t="str">
        <f t="shared" si="154"/>
        <v>012</v>
      </c>
      <c r="O223" s="1" t="str">
        <f t="shared" si="141"/>
        <v>00</v>
      </c>
      <c r="P223" s="1" t="str">
        <f t="shared" si="142"/>
        <v>S</v>
      </c>
      <c r="Q223" s="1" t="str">
        <f t="shared" si="143"/>
        <v>P</v>
      </c>
      <c r="R223" s="1" t="str">
        <f t="shared" si="144"/>
        <v>01</v>
      </c>
      <c r="S223" s="1" t="str">
        <f t="shared" si="145"/>
        <v>03</v>
      </c>
      <c r="T223" s="1" t="str">
        <f t="shared" si="146"/>
        <v>False</v>
      </c>
      <c r="U223" s="1" t="str">
        <f t="shared" si="147"/>
        <v>True</v>
      </c>
      <c r="V223" s="1" t="str">
        <f>"U0031318"</f>
        <v>U0031318</v>
      </c>
      <c r="W223" s="1">
        <v>1</v>
      </c>
      <c r="Y223" s="1">
        <v>0</v>
      </c>
      <c r="Z223" s="1">
        <v>0</v>
      </c>
      <c r="AB223" s="1" t="str">
        <f t="shared" si="163"/>
        <v>SMU</v>
      </c>
      <c r="AD223" s="1" t="str">
        <f t="shared" si="157"/>
        <v>4520308</v>
      </c>
      <c r="AE223" s="1" t="str">
        <f t="shared" si="158"/>
        <v>QUANZHOU REORDERS FORSUN</v>
      </c>
      <c r="AG223" s="1">
        <v>0</v>
      </c>
      <c r="AH223" s="1">
        <v>0</v>
      </c>
      <c r="AI223" s="1" t="str">
        <f t="shared" si="148"/>
        <v>F06</v>
      </c>
      <c r="AJ223" s="1" t="str">
        <f t="shared" si="159"/>
        <v>WOMAN</v>
      </c>
      <c r="AK223" s="1" t="str">
        <f t="shared" si="149"/>
        <v>PA</v>
      </c>
      <c r="AP223" s="1" t="str">
        <f t="shared" si="150"/>
        <v>False</v>
      </c>
      <c r="AR223" s="1" t="str">
        <f t="shared" si="160"/>
        <v>DECOR</v>
      </c>
      <c r="AY223" s="1" t="str">
        <f t="shared" si="151"/>
        <v>PF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 t="str">
        <f t="shared" si="161"/>
        <v>R GOMMA CANVAS</v>
      </c>
      <c r="BF223" s="1" t="str">
        <f t="shared" si="152"/>
        <v>Bonis SpA</v>
      </c>
      <c r="BO223" s="1">
        <v>0</v>
      </c>
      <c r="BP223" s="1">
        <v>0</v>
      </c>
      <c r="BQ223" s="1">
        <v>0</v>
      </c>
    </row>
    <row r="224" spans="2:69" x14ac:dyDescent="0.25">
      <c r="B224" s="1">
        <v>1743</v>
      </c>
      <c r="C224" s="1" t="str">
        <f t="shared" si="155"/>
        <v>DECOR4237S7/C1</v>
      </c>
      <c r="D224" s="1" t="str">
        <f>"ODA17N00003-182"</f>
        <v>ODA17N00003-182</v>
      </c>
      <c r="E224" s="1" t="str">
        <f t="shared" si="156"/>
        <v>D12 USPA</v>
      </c>
      <c r="F224" s="1" t="str">
        <f t="shared" si="137"/>
        <v>BONIS SPA</v>
      </c>
      <c r="G224" s="1" t="str">
        <f t="shared" si="138"/>
        <v>STOCK TERRA MP</v>
      </c>
      <c r="H224" s="1" t="str">
        <f t="shared" si="153"/>
        <v>BLK</v>
      </c>
      <c r="J224" s="1">
        <v>1</v>
      </c>
      <c r="K224" s="1">
        <f t="shared" si="162"/>
        <v>12</v>
      </c>
      <c r="L224" s="1" t="str">
        <f t="shared" si="139"/>
        <v>01</v>
      </c>
      <c r="M224" s="1" t="str">
        <f t="shared" si="140"/>
        <v>101</v>
      </c>
      <c r="N224" s="1" t="str">
        <f t="shared" si="154"/>
        <v>012</v>
      </c>
      <c r="O224" s="1" t="str">
        <f t="shared" si="141"/>
        <v>00</v>
      </c>
      <c r="P224" s="1" t="str">
        <f t="shared" si="142"/>
        <v>S</v>
      </c>
      <c r="Q224" s="1" t="str">
        <f t="shared" si="143"/>
        <v>P</v>
      </c>
      <c r="R224" s="1" t="str">
        <f t="shared" si="144"/>
        <v>01</v>
      </c>
      <c r="S224" s="1" t="str">
        <f t="shared" si="145"/>
        <v>03</v>
      </c>
      <c r="T224" s="1" t="str">
        <f t="shared" si="146"/>
        <v>False</v>
      </c>
      <c r="U224" s="1" t="str">
        <f t="shared" si="147"/>
        <v>True</v>
      </c>
      <c r="V224" s="1" t="str">
        <f>"U0031318"</f>
        <v>U0031318</v>
      </c>
      <c r="W224" s="1">
        <v>1</v>
      </c>
      <c r="Y224" s="1">
        <v>0</v>
      </c>
      <c r="Z224" s="1">
        <v>0</v>
      </c>
      <c r="AB224" s="1" t="str">
        <f t="shared" si="163"/>
        <v>SMU</v>
      </c>
      <c r="AD224" s="1" t="str">
        <f t="shared" si="157"/>
        <v>4520308</v>
      </c>
      <c r="AE224" s="1" t="str">
        <f t="shared" si="158"/>
        <v>QUANZHOU REORDERS FORSUN</v>
      </c>
      <c r="AG224" s="1">
        <v>0</v>
      </c>
      <c r="AH224" s="1">
        <v>0</v>
      </c>
      <c r="AI224" s="1" t="str">
        <f t="shared" si="148"/>
        <v>F06</v>
      </c>
      <c r="AJ224" s="1" t="str">
        <f t="shared" si="159"/>
        <v>WOMAN</v>
      </c>
      <c r="AK224" s="1" t="str">
        <f t="shared" si="149"/>
        <v>PA</v>
      </c>
      <c r="AP224" s="1" t="str">
        <f t="shared" si="150"/>
        <v>False</v>
      </c>
      <c r="AR224" s="1" t="str">
        <f t="shared" si="160"/>
        <v>DECOR</v>
      </c>
      <c r="AY224" s="1" t="str">
        <f t="shared" si="151"/>
        <v>PF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 t="str">
        <f t="shared" si="161"/>
        <v>R GOMMA CANVAS</v>
      </c>
      <c r="BF224" s="1" t="str">
        <f t="shared" si="152"/>
        <v>Bonis SpA</v>
      </c>
      <c r="BO224" s="1">
        <v>0</v>
      </c>
      <c r="BP224" s="1">
        <v>0</v>
      </c>
      <c r="BQ224" s="1">
        <v>0</v>
      </c>
    </row>
    <row r="225" spans="2:69" x14ac:dyDescent="0.25">
      <c r="B225" s="1">
        <v>1743</v>
      </c>
      <c r="C225" s="1" t="str">
        <f t="shared" si="155"/>
        <v>DECOR4237S7/C1</v>
      </c>
      <c r="D225" s="1" t="str">
        <f>"ODA17N00003-184"</f>
        <v>ODA17N00003-184</v>
      </c>
      <c r="E225" s="1" t="str">
        <f t="shared" si="156"/>
        <v>D12 USPA</v>
      </c>
      <c r="F225" s="1" t="str">
        <f t="shared" si="137"/>
        <v>BONIS SPA</v>
      </c>
      <c r="G225" s="1" t="str">
        <f t="shared" si="138"/>
        <v>STOCK TERRA MP</v>
      </c>
      <c r="H225" s="1" t="str">
        <f t="shared" si="153"/>
        <v>BLK</v>
      </c>
      <c r="J225" s="1">
        <v>1</v>
      </c>
      <c r="K225" s="1">
        <f t="shared" si="162"/>
        <v>12</v>
      </c>
      <c r="L225" s="1" t="str">
        <f t="shared" si="139"/>
        <v>01</v>
      </c>
      <c r="M225" s="1" t="str">
        <f t="shared" si="140"/>
        <v>101</v>
      </c>
      <c r="N225" s="1" t="str">
        <f t="shared" si="154"/>
        <v>012</v>
      </c>
      <c r="O225" s="1" t="str">
        <f t="shared" si="141"/>
        <v>00</v>
      </c>
      <c r="P225" s="1" t="str">
        <f t="shared" si="142"/>
        <v>S</v>
      </c>
      <c r="Q225" s="1" t="str">
        <f t="shared" si="143"/>
        <v>P</v>
      </c>
      <c r="R225" s="1" t="str">
        <f t="shared" si="144"/>
        <v>01</v>
      </c>
      <c r="S225" s="1" t="str">
        <f t="shared" si="145"/>
        <v>03</v>
      </c>
      <c r="T225" s="1" t="str">
        <f t="shared" si="146"/>
        <v>False</v>
      </c>
      <c r="U225" s="1" t="str">
        <f t="shared" si="147"/>
        <v>True</v>
      </c>
      <c r="V225" s="1" t="str">
        <f>"U0031318"</f>
        <v>U0031318</v>
      </c>
      <c r="W225" s="1">
        <v>1</v>
      </c>
      <c r="Y225" s="1">
        <v>0</v>
      </c>
      <c r="Z225" s="1">
        <v>0</v>
      </c>
      <c r="AB225" s="1" t="str">
        <f t="shared" si="163"/>
        <v>SMU</v>
      </c>
      <c r="AD225" s="1" t="str">
        <f t="shared" si="157"/>
        <v>4520308</v>
      </c>
      <c r="AE225" s="1" t="str">
        <f t="shared" si="158"/>
        <v>QUANZHOU REORDERS FORSUN</v>
      </c>
      <c r="AG225" s="1">
        <v>0</v>
      </c>
      <c r="AH225" s="1">
        <v>0</v>
      </c>
      <c r="AI225" s="1" t="str">
        <f t="shared" si="148"/>
        <v>F06</v>
      </c>
      <c r="AJ225" s="1" t="str">
        <f t="shared" si="159"/>
        <v>WOMAN</v>
      </c>
      <c r="AK225" s="1" t="str">
        <f t="shared" si="149"/>
        <v>PA</v>
      </c>
      <c r="AP225" s="1" t="str">
        <f t="shared" si="150"/>
        <v>False</v>
      </c>
      <c r="AR225" s="1" t="str">
        <f t="shared" si="160"/>
        <v>DECOR</v>
      </c>
      <c r="AY225" s="1" t="str">
        <f t="shared" si="151"/>
        <v>PF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 t="str">
        <f t="shared" si="161"/>
        <v>R GOMMA CANVAS</v>
      </c>
      <c r="BF225" s="1" t="str">
        <f t="shared" si="152"/>
        <v>Bonis SpA</v>
      </c>
      <c r="BO225" s="1">
        <v>0</v>
      </c>
      <c r="BP225" s="1">
        <v>0</v>
      </c>
      <c r="BQ225" s="1">
        <v>0</v>
      </c>
    </row>
    <row r="226" spans="2:69" x14ac:dyDescent="0.25">
      <c r="B226" s="1">
        <v>1743</v>
      </c>
      <c r="C226" s="1" t="str">
        <f t="shared" si="155"/>
        <v>DECOR4237S7/C1</v>
      </c>
      <c r="D226" s="1" t="str">
        <f>"ODA17N00003-187"</f>
        <v>ODA17N00003-187</v>
      </c>
      <c r="E226" s="1" t="str">
        <f t="shared" si="156"/>
        <v>D12 USPA</v>
      </c>
      <c r="F226" s="1" t="str">
        <f t="shared" si="137"/>
        <v>BONIS SPA</v>
      </c>
      <c r="G226" s="1" t="str">
        <f t="shared" si="138"/>
        <v>STOCK TERRA MP</v>
      </c>
      <c r="H226" s="1" t="str">
        <f t="shared" si="153"/>
        <v>BLK</v>
      </c>
      <c r="J226" s="1">
        <v>1</v>
      </c>
      <c r="K226" s="1">
        <f t="shared" si="162"/>
        <v>12</v>
      </c>
      <c r="L226" s="1" t="str">
        <f t="shared" si="139"/>
        <v>01</v>
      </c>
      <c r="M226" s="1" t="str">
        <f t="shared" si="140"/>
        <v>101</v>
      </c>
      <c r="N226" s="1" t="str">
        <f t="shared" si="154"/>
        <v>012</v>
      </c>
      <c r="O226" s="1" t="str">
        <f t="shared" si="141"/>
        <v>00</v>
      </c>
      <c r="P226" s="1" t="str">
        <f t="shared" si="142"/>
        <v>S</v>
      </c>
      <c r="Q226" s="1" t="str">
        <f t="shared" si="143"/>
        <v>P</v>
      </c>
      <c r="R226" s="1" t="str">
        <f t="shared" si="144"/>
        <v>01</v>
      </c>
      <c r="S226" s="1" t="str">
        <f t="shared" si="145"/>
        <v>03</v>
      </c>
      <c r="T226" s="1" t="str">
        <f t="shared" si="146"/>
        <v>False</v>
      </c>
      <c r="U226" s="1" t="str">
        <f t="shared" si="147"/>
        <v>True</v>
      </c>
      <c r="V226" s="1" t="str">
        <f>"U0031320"</f>
        <v>U0031320</v>
      </c>
      <c r="W226" s="1">
        <v>1</v>
      </c>
      <c r="Y226" s="1">
        <v>0</v>
      </c>
      <c r="Z226" s="1">
        <v>0</v>
      </c>
      <c r="AB226" s="1" t="str">
        <f t="shared" si="163"/>
        <v>SMU</v>
      </c>
      <c r="AD226" s="1" t="str">
        <f t="shared" si="157"/>
        <v>4520308</v>
      </c>
      <c r="AE226" s="1" t="str">
        <f t="shared" si="158"/>
        <v>QUANZHOU REORDERS FORSUN</v>
      </c>
      <c r="AG226" s="1">
        <v>0</v>
      </c>
      <c r="AH226" s="1">
        <v>0</v>
      </c>
      <c r="AI226" s="1" t="str">
        <f t="shared" si="148"/>
        <v>F06</v>
      </c>
      <c r="AJ226" s="1" t="str">
        <f t="shared" si="159"/>
        <v>WOMAN</v>
      </c>
      <c r="AK226" s="1" t="str">
        <f t="shared" si="149"/>
        <v>PA</v>
      </c>
      <c r="AP226" s="1" t="str">
        <f t="shared" si="150"/>
        <v>False</v>
      </c>
      <c r="AR226" s="1" t="str">
        <f t="shared" si="160"/>
        <v>DECOR</v>
      </c>
      <c r="AY226" s="1" t="str">
        <f t="shared" si="151"/>
        <v>PF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 t="str">
        <f t="shared" si="161"/>
        <v>R GOMMA CANVAS</v>
      </c>
      <c r="BF226" s="1" t="str">
        <f t="shared" si="152"/>
        <v>Bonis SpA</v>
      </c>
      <c r="BO226" s="1">
        <v>0</v>
      </c>
      <c r="BP226" s="1">
        <v>0</v>
      </c>
      <c r="BQ226" s="1">
        <v>0</v>
      </c>
    </row>
    <row r="227" spans="2:69" x14ac:dyDescent="0.25">
      <c r="B227" s="1">
        <v>1743</v>
      </c>
      <c r="C227" s="1" t="str">
        <f t="shared" si="155"/>
        <v>DECOR4237S7/C1</v>
      </c>
      <c r="D227" s="1" t="str">
        <f>"ODA17N00003-189"</f>
        <v>ODA17N00003-189</v>
      </c>
      <c r="E227" s="1" t="str">
        <f t="shared" si="156"/>
        <v>D12 USPA</v>
      </c>
      <c r="F227" s="1" t="str">
        <f t="shared" si="137"/>
        <v>BONIS SPA</v>
      </c>
      <c r="G227" s="1" t="str">
        <f t="shared" si="138"/>
        <v>STOCK TERRA MP</v>
      </c>
      <c r="H227" s="1" t="str">
        <f t="shared" si="153"/>
        <v>BLK</v>
      </c>
      <c r="J227" s="1">
        <v>1</v>
      </c>
      <c r="K227" s="1">
        <f t="shared" si="162"/>
        <v>12</v>
      </c>
      <c r="L227" s="1" t="str">
        <f t="shared" si="139"/>
        <v>01</v>
      </c>
      <c r="M227" s="1" t="str">
        <f t="shared" si="140"/>
        <v>101</v>
      </c>
      <c r="N227" s="1" t="str">
        <f t="shared" si="154"/>
        <v>012</v>
      </c>
      <c r="O227" s="1" t="str">
        <f t="shared" si="141"/>
        <v>00</v>
      </c>
      <c r="P227" s="1" t="str">
        <f t="shared" si="142"/>
        <v>S</v>
      </c>
      <c r="Q227" s="1" t="str">
        <f t="shared" si="143"/>
        <v>P</v>
      </c>
      <c r="R227" s="1" t="str">
        <f t="shared" si="144"/>
        <v>01</v>
      </c>
      <c r="S227" s="1" t="str">
        <f t="shared" si="145"/>
        <v>03</v>
      </c>
      <c r="T227" s="1" t="str">
        <f t="shared" si="146"/>
        <v>False</v>
      </c>
      <c r="U227" s="1" t="str">
        <f t="shared" si="147"/>
        <v>True</v>
      </c>
      <c r="V227" s="1" t="str">
        <f>"U0031320"</f>
        <v>U0031320</v>
      </c>
      <c r="W227" s="1">
        <v>1</v>
      </c>
      <c r="Y227" s="1">
        <v>0</v>
      </c>
      <c r="Z227" s="1">
        <v>0</v>
      </c>
      <c r="AB227" s="1" t="str">
        <f t="shared" si="163"/>
        <v>SMU</v>
      </c>
      <c r="AD227" s="1" t="str">
        <f t="shared" si="157"/>
        <v>4520308</v>
      </c>
      <c r="AE227" s="1" t="str">
        <f t="shared" si="158"/>
        <v>QUANZHOU REORDERS FORSUN</v>
      </c>
      <c r="AG227" s="1">
        <v>0</v>
      </c>
      <c r="AH227" s="1">
        <v>0</v>
      </c>
      <c r="AI227" s="1" t="str">
        <f t="shared" si="148"/>
        <v>F06</v>
      </c>
      <c r="AJ227" s="1" t="str">
        <f t="shared" si="159"/>
        <v>WOMAN</v>
      </c>
      <c r="AK227" s="1" t="str">
        <f t="shared" si="149"/>
        <v>PA</v>
      </c>
      <c r="AP227" s="1" t="str">
        <f t="shared" si="150"/>
        <v>False</v>
      </c>
      <c r="AR227" s="1" t="str">
        <f t="shared" si="160"/>
        <v>DECOR</v>
      </c>
      <c r="AY227" s="1" t="str">
        <f t="shared" si="151"/>
        <v>PF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 t="str">
        <f t="shared" si="161"/>
        <v>R GOMMA CANVAS</v>
      </c>
      <c r="BF227" s="1" t="str">
        <f t="shared" si="152"/>
        <v>Bonis SpA</v>
      </c>
      <c r="BO227" s="1">
        <v>0</v>
      </c>
      <c r="BP227" s="1">
        <v>0</v>
      </c>
      <c r="BQ227" s="1">
        <v>0</v>
      </c>
    </row>
    <row r="228" spans="2:69" x14ac:dyDescent="0.25">
      <c r="B228" s="1">
        <v>1743</v>
      </c>
      <c r="C228" s="1" t="str">
        <f t="shared" si="155"/>
        <v>DECOR4237S7/C1</v>
      </c>
      <c r="D228" s="1" t="str">
        <f>"ODA17N00003-193"</f>
        <v>ODA17N00003-193</v>
      </c>
      <c r="E228" s="1" t="str">
        <f t="shared" si="156"/>
        <v>D12 USPA</v>
      </c>
      <c r="F228" s="1" t="str">
        <f t="shared" si="137"/>
        <v>BONIS SPA</v>
      </c>
      <c r="G228" s="1" t="str">
        <f t="shared" si="138"/>
        <v>STOCK TERRA MP</v>
      </c>
      <c r="H228" s="1" t="str">
        <f t="shared" si="153"/>
        <v>BLK</v>
      </c>
      <c r="J228" s="1">
        <v>1</v>
      </c>
      <c r="K228" s="1">
        <f t="shared" si="162"/>
        <v>12</v>
      </c>
      <c r="L228" s="1" t="str">
        <f t="shared" si="139"/>
        <v>01</v>
      </c>
      <c r="M228" s="1" t="str">
        <f t="shared" si="140"/>
        <v>101</v>
      </c>
      <c r="N228" s="1" t="str">
        <f t="shared" si="154"/>
        <v>012</v>
      </c>
      <c r="O228" s="1" t="str">
        <f t="shared" si="141"/>
        <v>00</v>
      </c>
      <c r="P228" s="1" t="str">
        <f t="shared" si="142"/>
        <v>S</v>
      </c>
      <c r="Q228" s="1" t="str">
        <f t="shared" si="143"/>
        <v>P</v>
      </c>
      <c r="R228" s="1" t="str">
        <f t="shared" si="144"/>
        <v>01</v>
      </c>
      <c r="S228" s="1" t="str">
        <f t="shared" si="145"/>
        <v>03</v>
      </c>
      <c r="T228" s="1" t="str">
        <f t="shared" si="146"/>
        <v>False</v>
      </c>
      <c r="U228" s="1" t="str">
        <f t="shared" si="147"/>
        <v>True</v>
      </c>
      <c r="V228" s="1" t="str">
        <f>"U0031318"</f>
        <v>U0031318</v>
      </c>
      <c r="W228" s="1">
        <v>1</v>
      </c>
      <c r="Y228" s="1">
        <v>0</v>
      </c>
      <c r="Z228" s="1">
        <v>0</v>
      </c>
      <c r="AB228" s="1" t="str">
        <f t="shared" si="163"/>
        <v>SMU</v>
      </c>
      <c r="AD228" s="1" t="str">
        <f t="shared" si="157"/>
        <v>4520308</v>
      </c>
      <c r="AE228" s="1" t="str">
        <f t="shared" si="158"/>
        <v>QUANZHOU REORDERS FORSUN</v>
      </c>
      <c r="AG228" s="1">
        <v>0</v>
      </c>
      <c r="AH228" s="1">
        <v>0</v>
      </c>
      <c r="AI228" s="1" t="str">
        <f t="shared" si="148"/>
        <v>F06</v>
      </c>
      <c r="AJ228" s="1" t="str">
        <f t="shared" si="159"/>
        <v>WOMAN</v>
      </c>
      <c r="AK228" s="1" t="str">
        <f t="shared" si="149"/>
        <v>PA</v>
      </c>
      <c r="AP228" s="1" t="str">
        <f t="shared" si="150"/>
        <v>False</v>
      </c>
      <c r="AR228" s="1" t="str">
        <f t="shared" si="160"/>
        <v>DECOR</v>
      </c>
      <c r="AY228" s="1" t="str">
        <f t="shared" si="151"/>
        <v>PF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 t="str">
        <f t="shared" si="161"/>
        <v>R GOMMA CANVAS</v>
      </c>
      <c r="BF228" s="1" t="str">
        <f t="shared" si="152"/>
        <v>Bonis SpA</v>
      </c>
      <c r="BO228" s="1">
        <v>0</v>
      </c>
      <c r="BP228" s="1">
        <v>0</v>
      </c>
      <c r="BQ228" s="1">
        <v>0</v>
      </c>
    </row>
    <row r="229" spans="2:69" x14ac:dyDescent="0.25">
      <c r="B229" s="1">
        <v>1743</v>
      </c>
      <c r="C229" s="1" t="str">
        <f t="shared" si="155"/>
        <v>DECOR4237S7/C1</v>
      </c>
      <c r="D229" s="1" t="str">
        <f>"ODA17N00003-199"</f>
        <v>ODA17N00003-199</v>
      </c>
      <c r="E229" s="1" t="str">
        <f t="shared" si="156"/>
        <v>D12 USPA</v>
      </c>
      <c r="F229" s="1" t="str">
        <f t="shared" si="137"/>
        <v>BONIS SPA</v>
      </c>
      <c r="G229" s="1" t="str">
        <f t="shared" si="138"/>
        <v>STOCK TERRA MP</v>
      </c>
      <c r="H229" s="1" t="str">
        <f t="shared" si="153"/>
        <v>BLK</v>
      </c>
      <c r="J229" s="1">
        <v>1</v>
      </c>
      <c r="K229" s="1">
        <f t="shared" si="162"/>
        <v>12</v>
      </c>
      <c r="L229" s="1" t="str">
        <f t="shared" si="139"/>
        <v>01</v>
      </c>
      <c r="M229" s="1" t="str">
        <f t="shared" si="140"/>
        <v>101</v>
      </c>
      <c r="N229" s="1" t="str">
        <f t="shared" si="154"/>
        <v>012</v>
      </c>
      <c r="O229" s="1" t="str">
        <f t="shared" si="141"/>
        <v>00</v>
      </c>
      <c r="P229" s="1" t="str">
        <f t="shared" si="142"/>
        <v>S</v>
      </c>
      <c r="Q229" s="1" t="str">
        <f t="shared" si="143"/>
        <v>P</v>
      </c>
      <c r="R229" s="1" t="str">
        <f t="shared" si="144"/>
        <v>01</v>
      </c>
      <c r="S229" s="1" t="str">
        <f t="shared" si="145"/>
        <v>03</v>
      </c>
      <c r="T229" s="1" t="str">
        <f t="shared" si="146"/>
        <v>False</v>
      </c>
      <c r="U229" s="1" t="str">
        <f t="shared" si="147"/>
        <v>True</v>
      </c>
      <c r="V229" s="1" t="str">
        <f>"U0031320"</f>
        <v>U0031320</v>
      </c>
      <c r="W229" s="1">
        <v>1</v>
      </c>
      <c r="Y229" s="1">
        <v>0</v>
      </c>
      <c r="Z229" s="1">
        <v>0</v>
      </c>
      <c r="AB229" s="1" t="str">
        <f t="shared" si="163"/>
        <v>SMU</v>
      </c>
      <c r="AD229" s="1" t="str">
        <f t="shared" si="157"/>
        <v>4520308</v>
      </c>
      <c r="AE229" s="1" t="str">
        <f t="shared" si="158"/>
        <v>QUANZHOU REORDERS FORSUN</v>
      </c>
      <c r="AG229" s="1">
        <v>0</v>
      </c>
      <c r="AH229" s="1">
        <v>0</v>
      </c>
      <c r="AI229" s="1" t="str">
        <f t="shared" si="148"/>
        <v>F06</v>
      </c>
      <c r="AJ229" s="1" t="str">
        <f t="shared" si="159"/>
        <v>WOMAN</v>
      </c>
      <c r="AK229" s="1" t="str">
        <f t="shared" si="149"/>
        <v>PA</v>
      </c>
      <c r="AP229" s="1" t="str">
        <f t="shared" si="150"/>
        <v>False</v>
      </c>
      <c r="AR229" s="1" t="str">
        <f t="shared" si="160"/>
        <v>DECOR</v>
      </c>
      <c r="AY229" s="1" t="str">
        <f t="shared" si="151"/>
        <v>PF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 t="str">
        <f t="shared" si="161"/>
        <v>R GOMMA CANVAS</v>
      </c>
      <c r="BF229" s="1" t="str">
        <f t="shared" si="152"/>
        <v>Bonis SpA</v>
      </c>
      <c r="BO229" s="1">
        <v>0</v>
      </c>
      <c r="BP229" s="1">
        <v>0</v>
      </c>
      <c r="BQ229" s="1">
        <v>0</v>
      </c>
    </row>
    <row r="230" spans="2:69" x14ac:dyDescent="0.25">
      <c r="B230" s="1">
        <v>1744</v>
      </c>
      <c r="C230" s="1" t="str">
        <f t="shared" si="155"/>
        <v>DECOR4237S7/C1</v>
      </c>
      <c r="D230" s="1" t="str">
        <f>"ODA17N00003-218"</f>
        <v>ODA17N00003-218</v>
      </c>
      <c r="E230" s="1" t="str">
        <f t="shared" si="156"/>
        <v>D12 USPA</v>
      </c>
      <c r="F230" s="1" t="str">
        <f t="shared" si="137"/>
        <v>BONIS SPA</v>
      </c>
      <c r="G230" s="1" t="str">
        <f t="shared" si="138"/>
        <v>STOCK TERRA MP</v>
      </c>
      <c r="H230" s="1" t="str">
        <f>"GREY"</f>
        <v>GREY</v>
      </c>
      <c r="J230" s="1">
        <v>1</v>
      </c>
      <c r="K230" s="1">
        <f t="shared" si="162"/>
        <v>12</v>
      </c>
      <c r="L230" s="1" t="str">
        <f t="shared" si="139"/>
        <v>01</v>
      </c>
      <c r="M230" s="1" t="str">
        <f t="shared" si="140"/>
        <v>101</v>
      </c>
      <c r="N230" s="1" t="str">
        <f>"013"</f>
        <v>013</v>
      </c>
      <c r="O230" s="1" t="str">
        <f t="shared" si="141"/>
        <v>00</v>
      </c>
      <c r="P230" s="1" t="str">
        <f t="shared" si="142"/>
        <v>S</v>
      </c>
      <c r="Q230" s="1" t="str">
        <f t="shared" si="143"/>
        <v>P</v>
      </c>
      <c r="R230" s="1" t="str">
        <f t="shared" si="144"/>
        <v>01</v>
      </c>
      <c r="S230" s="1" t="str">
        <f t="shared" si="145"/>
        <v>03</v>
      </c>
      <c r="T230" s="1" t="str">
        <f t="shared" si="146"/>
        <v>False</v>
      </c>
      <c r="U230" s="1" t="str">
        <f t="shared" si="147"/>
        <v>True</v>
      </c>
      <c r="V230" s="1" t="str">
        <f>"U0023677"</f>
        <v>U0023677</v>
      </c>
      <c r="W230" s="1">
        <v>1</v>
      </c>
      <c r="Y230" s="1">
        <v>0</v>
      </c>
      <c r="Z230" s="1">
        <v>0</v>
      </c>
      <c r="AB230" s="1" t="str">
        <f t="shared" si="163"/>
        <v>SMU</v>
      </c>
      <c r="AD230" s="1" t="str">
        <f t="shared" si="157"/>
        <v>4520308</v>
      </c>
      <c r="AE230" s="1" t="str">
        <f t="shared" si="158"/>
        <v>QUANZHOU REORDERS FORSUN</v>
      </c>
      <c r="AG230" s="1">
        <v>0</v>
      </c>
      <c r="AH230" s="1">
        <v>0</v>
      </c>
      <c r="AI230" s="1" t="str">
        <f t="shared" si="148"/>
        <v>F06</v>
      </c>
      <c r="AJ230" s="1" t="str">
        <f t="shared" si="159"/>
        <v>WOMAN</v>
      </c>
      <c r="AK230" s="1" t="str">
        <f t="shared" si="149"/>
        <v>PA</v>
      </c>
      <c r="AP230" s="1" t="str">
        <f t="shared" si="150"/>
        <v>False</v>
      </c>
      <c r="AR230" s="1" t="str">
        <f t="shared" si="160"/>
        <v>DECOR</v>
      </c>
      <c r="AY230" s="1" t="str">
        <f t="shared" si="151"/>
        <v>PF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 t="str">
        <f t="shared" si="161"/>
        <v>R GOMMA CANVAS</v>
      </c>
      <c r="BF230" s="1" t="str">
        <f t="shared" si="152"/>
        <v>Bonis SpA</v>
      </c>
      <c r="BO230" s="1">
        <v>0</v>
      </c>
      <c r="BP230" s="1">
        <v>0</v>
      </c>
      <c r="BQ230" s="1">
        <v>0</v>
      </c>
    </row>
    <row r="231" spans="2:69" x14ac:dyDescent="0.25">
      <c r="B231" s="1">
        <v>1744</v>
      </c>
      <c r="C231" s="1" t="str">
        <f t="shared" si="155"/>
        <v>DECOR4237S7/C1</v>
      </c>
      <c r="D231" s="1" t="str">
        <f>"ODA17N00003-228"</f>
        <v>ODA17N00003-228</v>
      </c>
      <c r="E231" s="1" t="str">
        <f t="shared" si="156"/>
        <v>D12 USPA</v>
      </c>
      <c r="F231" s="1" t="str">
        <f t="shared" si="137"/>
        <v>BONIS SPA</v>
      </c>
      <c r="G231" s="1" t="str">
        <f t="shared" si="138"/>
        <v>STOCK TERRA MP</v>
      </c>
      <c r="H231" s="1" t="str">
        <f>"GREY"</f>
        <v>GREY</v>
      </c>
      <c r="J231" s="1">
        <v>1</v>
      </c>
      <c r="K231" s="1">
        <f t="shared" si="162"/>
        <v>12</v>
      </c>
      <c r="L231" s="1" t="str">
        <f t="shared" si="139"/>
        <v>01</v>
      </c>
      <c r="M231" s="1" t="str">
        <f t="shared" si="140"/>
        <v>101</v>
      </c>
      <c r="N231" s="1" t="str">
        <f>"013"</f>
        <v>013</v>
      </c>
      <c r="O231" s="1" t="str">
        <f t="shared" si="141"/>
        <v>00</v>
      </c>
      <c r="P231" s="1" t="str">
        <f t="shared" si="142"/>
        <v>S</v>
      </c>
      <c r="Q231" s="1" t="str">
        <f t="shared" si="143"/>
        <v>P</v>
      </c>
      <c r="R231" s="1" t="str">
        <f t="shared" si="144"/>
        <v>01</v>
      </c>
      <c r="S231" s="1" t="str">
        <f t="shared" si="145"/>
        <v>03</v>
      </c>
      <c r="T231" s="1" t="str">
        <f t="shared" si="146"/>
        <v>False</v>
      </c>
      <c r="U231" s="1" t="str">
        <f t="shared" si="147"/>
        <v>True</v>
      </c>
      <c r="V231" s="1" t="str">
        <f>"U0023677"</f>
        <v>U0023677</v>
      </c>
      <c r="W231" s="1">
        <v>1</v>
      </c>
      <c r="Y231" s="1">
        <v>0</v>
      </c>
      <c r="Z231" s="1">
        <v>0</v>
      </c>
      <c r="AB231" s="1" t="str">
        <f t="shared" si="163"/>
        <v>SMU</v>
      </c>
      <c r="AD231" s="1" t="str">
        <f t="shared" si="157"/>
        <v>4520308</v>
      </c>
      <c r="AE231" s="1" t="str">
        <f t="shared" si="158"/>
        <v>QUANZHOU REORDERS FORSUN</v>
      </c>
      <c r="AG231" s="1">
        <v>0</v>
      </c>
      <c r="AH231" s="1">
        <v>0</v>
      </c>
      <c r="AI231" s="1" t="str">
        <f t="shared" si="148"/>
        <v>F06</v>
      </c>
      <c r="AJ231" s="1" t="str">
        <f t="shared" si="159"/>
        <v>WOMAN</v>
      </c>
      <c r="AK231" s="1" t="str">
        <f t="shared" si="149"/>
        <v>PA</v>
      </c>
      <c r="AP231" s="1" t="str">
        <f t="shared" si="150"/>
        <v>False</v>
      </c>
      <c r="AR231" s="1" t="str">
        <f t="shared" si="160"/>
        <v>DECOR</v>
      </c>
      <c r="AY231" s="1" t="str">
        <f t="shared" si="151"/>
        <v>PF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 t="str">
        <f t="shared" si="161"/>
        <v>R GOMMA CANVAS</v>
      </c>
      <c r="BF231" s="1" t="str">
        <f t="shared" si="152"/>
        <v>Bonis SpA</v>
      </c>
      <c r="BO231" s="1">
        <v>0</v>
      </c>
      <c r="BP231" s="1">
        <v>0</v>
      </c>
      <c r="BQ231" s="1">
        <v>0</v>
      </c>
    </row>
    <row r="232" spans="2:69" x14ac:dyDescent="0.25">
      <c r="B232" s="1">
        <v>1743</v>
      </c>
      <c r="C232" s="1" t="str">
        <f t="shared" si="155"/>
        <v>DECOR4237S7/C1</v>
      </c>
      <c r="D232" s="1" t="str">
        <f>"ODA17N00003-299"</f>
        <v>ODA17N00003-299</v>
      </c>
      <c r="E232" s="1" t="str">
        <f t="shared" si="156"/>
        <v>D12 USPA</v>
      </c>
      <c r="F232" s="1" t="str">
        <f t="shared" si="137"/>
        <v>BONIS SPA</v>
      </c>
      <c r="G232" s="1" t="str">
        <f t="shared" si="138"/>
        <v>STOCK TERRA MP</v>
      </c>
      <c r="H232" s="1" t="str">
        <f>"GREY"</f>
        <v>GREY</v>
      </c>
      <c r="J232" s="1">
        <v>1</v>
      </c>
      <c r="K232" s="1">
        <f t="shared" si="162"/>
        <v>12</v>
      </c>
      <c r="L232" s="1" t="str">
        <f t="shared" si="139"/>
        <v>01</v>
      </c>
      <c r="M232" s="1" t="str">
        <f t="shared" si="140"/>
        <v>101</v>
      </c>
      <c r="N232" s="1" t="str">
        <f>"012"</f>
        <v>012</v>
      </c>
      <c r="O232" s="1" t="str">
        <f t="shared" si="141"/>
        <v>00</v>
      </c>
      <c r="P232" s="1" t="str">
        <f t="shared" si="142"/>
        <v>S</v>
      </c>
      <c r="Q232" s="1" t="str">
        <f t="shared" si="143"/>
        <v>P</v>
      </c>
      <c r="R232" s="1" t="str">
        <f t="shared" si="144"/>
        <v>01</v>
      </c>
      <c r="S232" s="1" t="str">
        <f t="shared" si="145"/>
        <v>03</v>
      </c>
      <c r="T232" s="1" t="str">
        <f t="shared" si="146"/>
        <v>False</v>
      </c>
      <c r="U232" s="1" t="str">
        <f t="shared" si="147"/>
        <v>True</v>
      </c>
      <c r="V232" s="1" t="str">
        <f>"U0031320"</f>
        <v>U0031320</v>
      </c>
      <c r="W232" s="1">
        <v>1</v>
      </c>
      <c r="Y232" s="1">
        <v>0</v>
      </c>
      <c r="Z232" s="1">
        <v>0</v>
      </c>
      <c r="AB232" s="1" t="str">
        <f t="shared" si="163"/>
        <v>SMU</v>
      </c>
      <c r="AD232" s="1" t="str">
        <f t="shared" si="157"/>
        <v>4520308</v>
      </c>
      <c r="AE232" s="1" t="str">
        <f t="shared" si="158"/>
        <v>QUANZHOU REORDERS FORSUN</v>
      </c>
      <c r="AG232" s="1">
        <v>0</v>
      </c>
      <c r="AH232" s="1">
        <v>0</v>
      </c>
      <c r="AI232" s="1" t="str">
        <f t="shared" si="148"/>
        <v>F06</v>
      </c>
      <c r="AJ232" s="1" t="str">
        <f t="shared" si="159"/>
        <v>WOMAN</v>
      </c>
      <c r="AK232" s="1" t="str">
        <f t="shared" si="149"/>
        <v>PA</v>
      </c>
      <c r="AP232" s="1" t="str">
        <f t="shared" si="150"/>
        <v>False</v>
      </c>
      <c r="AR232" s="1" t="str">
        <f t="shared" si="160"/>
        <v>DECOR</v>
      </c>
      <c r="AY232" s="1" t="str">
        <f t="shared" si="151"/>
        <v>PF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 t="str">
        <f t="shared" si="161"/>
        <v>R GOMMA CANVAS</v>
      </c>
      <c r="BF232" s="1" t="str">
        <f t="shared" si="152"/>
        <v>Bonis SpA</v>
      </c>
      <c r="BO232" s="1">
        <v>0</v>
      </c>
      <c r="BP232" s="1">
        <v>0</v>
      </c>
      <c r="BQ232" s="1">
        <v>0</v>
      </c>
    </row>
    <row r="233" spans="2:69" x14ac:dyDescent="0.25">
      <c r="B233" s="1">
        <v>1743</v>
      </c>
      <c r="C233" s="1" t="str">
        <f t="shared" si="155"/>
        <v>DECOR4237S7/C1</v>
      </c>
      <c r="D233" s="1" t="str">
        <f>"ODA17N00003-300"</f>
        <v>ODA17N00003-300</v>
      </c>
      <c r="E233" s="1" t="str">
        <f t="shared" si="156"/>
        <v>D12 USPA</v>
      </c>
      <c r="F233" s="1" t="str">
        <f t="shared" si="137"/>
        <v>BONIS SPA</v>
      </c>
      <c r="G233" s="1" t="str">
        <f t="shared" si="138"/>
        <v>STOCK TERRA MP</v>
      </c>
      <c r="H233" s="1" t="str">
        <f>"GREY"</f>
        <v>GREY</v>
      </c>
      <c r="J233" s="1">
        <v>1</v>
      </c>
      <c r="K233" s="1">
        <f t="shared" si="162"/>
        <v>12</v>
      </c>
      <c r="L233" s="1" t="str">
        <f t="shared" si="139"/>
        <v>01</v>
      </c>
      <c r="M233" s="1" t="str">
        <f t="shared" si="140"/>
        <v>101</v>
      </c>
      <c r="N233" s="1" t="str">
        <f>"012"</f>
        <v>012</v>
      </c>
      <c r="O233" s="1" t="str">
        <f t="shared" si="141"/>
        <v>00</v>
      </c>
      <c r="P233" s="1" t="str">
        <f t="shared" si="142"/>
        <v>S</v>
      </c>
      <c r="Q233" s="1" t="str">
        <f t="shared" si="143"/>
        <v>P</v>
      </c>
      <c r="R233" s="1" t="str">
        <f t="shared" si="144"/>
        <v>01</v>
      </c>
      <c r="S233" s="1" t="str">
        <f t="shared" si="145"/>
        <v>03</v>
      </c>
      <c r="T233" s="1" t="str">
        <f t="shared" si="146"/>
        <v>False</v>
      </c>
      <c r="U233" s="1" t="str">
        <f t="shared" si="147"/>
        <v>True</v>
      </c>
      <c r="V233" s="1" t="str">
        <f>"U0031320"</f>
        <v>U0031320</v>
      </c>
      <c r="W233" s="1">
        <v>1</v>
      </c>
      <c r="Y233" s="1">
        <v>0</v>
      </c>
      <c r="Z233" s="1">
        <v>0</v>
      </c>
      <c r="AB233" s="1" t="str">
        <f t="shared" si="163"/>
        <v>SMU</v>
      </c>
      <c r="AD233" s="1" t="str">
        <f t="shared" si="157"/>
        <v>4520308</v>
      </c>
      <c r="AE233" s="1" t="str">
        <f t="shared" si="158"/>
        <v>QUANZHOU REORDERS FORSUN</v>
      </c>
      <c r="AG233" s="1">
        <v>0</v>
      </c>
      <c r="AH233" s="1">
        <v>0</v>
      </c>
      <c r="AI233" s="1" t="str">
        <f t="shared" si="148"/>
        <v>F06</v>
      </c>
      <c r="AJ233" s="1" t="str">
        <f t="shared" si="159"/>
        <v>WOMAN</v>
      </c>
      <c r="AK233" s="1" t="str">
        <f t="shared" si="149"/>
        <v>PA</v>
      </c>
      <c r="AP233" s="1" t="str">
        <f t="shared" si="150"/>
        <v>False</v>
      </c>
      <c r="AR233" s="1" t="str">
        <f t="shared" si="160"/>
        <v>DECOR</v>
      </c>
      <c r="AY233" s="1" t="str">
        <f t="shared" si="151"/>
        <v>PF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 t="str">
        <f t="shared" si="161"/>
        <v>R GOMMA CANVAS</v>
      </c>
      <c r="BF233" s="1" t="str">
        <f t="shared" si="152"/>
        <v>Bonis SpA</v>
      </c>
      <c r="BO233" s="1">
        <v>0</v>
      </c>
      <c r="BP233" s="1">
        <v>0</v>
      </c>
      <c r="BQ233" s="1">
        <v>0</v>
      </c>
    </row>
    <row r="234" spans="2:69" x14ac:dyDescent="0.25">
      <c r="B234" s="1">
        <v>1743</v>
      </c>
      <c r="C234" s="1" t="str">
        <f t="shared" si="155"/>
        <v>DECOR4237S7/C1</v>
      </c>
      <c r="D234" s="1" t="str">
        <f>"ODA17N00003-303"</f>
        <v>ODA17N00003-303</v>
      </c>
      <c r="E234" s="1" t="str">
        <f t="shared" si="156"/>
        <v>D12 USPA</v>
      </c>
      <c r="F234" s="1" t="str">
        <f t="shared" si="137"/>
        <v>BONIS SPA</v>
      </c>
      <c r="G234" s="1" t="str">
        <f t="shared" si="138"/>
        <v>STOCK TERRA MP</v>
      </c>
      <c r="H234" s="1" t="str">
        <f t="shared" ref="H234:H266" si="164">"DKBL"</f>
        <v>DKBL</v>
      </c>
      <c r="J234" s="1">
        <v>1</v>
      </c>
      <c r="K234" s="1">
        <f t="shared" si="162"/>
        <v>12</v>
      </c>
      <c r="L234" s="1" t="str">
        <f t="shared" si="139"/>
        <v>01</v>
      </c>
      <c r="M234" s="1" t="str">
        <f t="shared" si="140"/>
        <v>101</v>
      </c>
      <c r="N234" s="1" t="str">
        <f>"012"</f>
        <v>012</v>
      </c>
      <c r="O234" s="1" t="str">
        <f t="shared" si="141"/>
        <v>00</v>
      </c>
      <c r="P234" s="1" t="str">
        <f t="shared" si="142"/>
        <v>S</v>
      </c>
      <c r="Q234" s="1" t="str">
        <f t="shared" si="143"/>
        <v>P</v>
      </c>
      <c r="R234" s="1" t="str">
        <f t="shared" si="144"/>
        <v>01</v>
      </c>
      <c r="S234" s="1" t="str">
        <f t="shared" si="145"/>
        <v>03</v>
      </c>
      <c r="T234" s="1" t="str">
        <f t="shared" si="146"/>
        <v>False</v>
      </c>
      <c r="U234" s="1" t="str">
        <f t="shared" si="147"/>
        <v>True</v>
      </c>
      <c r="V234" s="1" t="str">
        <f>"U0031320"</f>
        <v>U0031320</v>
      </c>
      <c r="W234" s="1">
        <v>1</v>
      </c>
      <c r="Y234" s="1">
        <v>0</v>
      </c>
      <c r="Z234" s="1">
        <v>0</v>
      </c>
      <c r="AB234" s="1" t="str">
        <f t="shared" si="163"/>
        <v>SMU</v>
      </c>
      <c r="AD234" s="1" t="str">
        <f t="shared" si="157"/>
        <v>4520308</v>
      </c>
      <c r="AE234" s="1" t="str">
        <f t="shared" si="158"/>
        <v>QUANZHOU REORDERS FORSUN</v>
      </c>
      <c r="AG234" s="1">
        <v>0</v>
      </c>
      <c r="AH234" s="1">
        <v>0</v>
      </c>
      <c r="AI234" s="1" t="str">
        <f t="shared" si="148"/>
        <v>F06</v>
      </c>
      <c r="AJ234" s="1" t="str">
        <f t="shared" si="159"/>
        <v>WOMAN</v>
      </c>
      <c r="AK234" s="1" t="str">
        <f t="shared" si="149"/>
        <v>PA</v>
      </c>
      <c r="AP234" s="1" t="str">
        <f t="shared" si="150"/>
        <v>False</v>
      </c>
      <c r="AR234" s="1" t="str">
        <f t="shared" si="160"/>
        <v>DECOR</v>
      </c>
      <c r="AY234" s="1" t="str">
        <f t="shared" si="151"/>
        <v>PF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 t="str">
        <f t="shared" si="161"/>
        <v>R GOMMA CANVAS</v>
      </c>
      <c r="BF234" s="1" t="str">
        <f t="shared" si="152"/>
        <v>Bonis SpA</v>
      </c>
      <c r="BO234" s="1">
        <v>0</v>
      </c>
      <c r="BP234" s="1">
        <v>0</v>
      </c>
      <c r="BQ234" s="1">
        <v>0</v>
      </c>
    </row>
    <row r="235" spans="2:69" x14ac:dyDescent="0.25">
      <c r="B235" s="1">
        <v>1741</v>
      </c>
      <c r="C235" s="1" t="str">
        <f t="shared" si="155"/>
        <v>DECOR4237S7/C1</v>
      </c>
      <c r="D235" s="1" t="str">
        <f>"ODA17N00003-306"</f>
        <v>ODA17N00003-306</v>
      </c>
      <c r="E235" s="1" t="str">
        <f t="shared" si="156"/>
        <v>D12 USPA</v>
      </c>
      <c r="F235" s="1" t="str">
        <f t="shared" si="137"/>
        <v>BONIS SPA</v>
      </c>
      <c r="G235" s="1" t="str">
        <f t="shared" si="138"/>
        <v>STOCK TERRA MP</v>
      </c>
      <c r="H235" s="1" t="str">
        <f t="shared" si="164"/>
        <v>DKBL</v>
      </c>
      <c r="J235" s="1">
        <v>1</v>
      </c>
      <c r="K235" s="1">
        <f t="shared" si="162"/>
        <v>12</v>
      </c>
      <c r="L235" s="1" t="str">
        <f t="shared" si="139"/>
        <v>01</v>
      </c>
      <c r="M235" s="1" t="str">
        <f t="shared" si="140"/>
        <v>101</v>
      </c>
      <c r="N235" s="1" t="str">
        <f>"010"</f>
        <v>010</v>
      </c>
      <c r="O235" s="1" t="str">
        <f t="shared" si="141"/>
        <v>00</v>
      </c>
      <c r="P235" s="1" t="str">
        <f t="shared" si="142"/>
        <v>S</v>
      </c>
      <c r="Q235" s="1" t="str">
        <f t="shared" si="143"/>
        <v>P</v>
      </c>
      <c r="R235" s="1" t="str">
        <f t="shared" si="144"/>
        <v>01</v>
      </c>
      <c r="S235" s="1" t="str">
        <f t="shared" si="145"/>
        <v>03</v>
      </c>
      <c r="T235" s="1" t="str">
        <f t="shared" si="146"/>
        <v>False</v>
      </c>
      <c r="U235" s="1" t="str">
        <f t="shared" si="147"/>
        <v>True</v>
      </c>
      <c r="V235" s="1" t="str">
        <f>"U0031310"</f>
        <v>U0031310</v>
      </c>
      <c r="W235" s="1">
        <v>1</v>
      </c>
      <c r="Y235" s="1">
        <v>0</v>
      </c>
      <c r="Z235" s="1">
        <v>0</v>
      </c>
      <c r="AB235" s="1" t="str">
        <f t="shared" si="163"/>
        <v>SMU</v>
      </c>
      <c r="AD235" s="1" t="str">
        <f t="shared" si="157"/>
        <v>4520308</v>
      </c>
      <c r="AE235" s="1" t="str">
        <f t="shared" si="158"/>
        <v>QUANZHOU REORDERS FORSUN</v>
      </c>
      <c r="AG235" s="1">
        <v>0</v>
      </c>
      <c r="AH235" s="1">
        <v>0</v>
      </c>
      <c r="AI235" s="1" t="str">
        <f t="shared" si="148"/>
        <v>F06</v>
      </c>
      <c r="AJ235" s="1" t="str">
        <f t="shared" si="159"/>
        <v>WOMAN</v>
      </c>
      <c r="AK235" s="1" t="str">
        <f t="shared" si="149"/>
        <v>PA</v>
      </c>
      <c r="AP235" s="1" t="str">
        <f t="shared" si="150"/>
        <v>False</v>
      </c>
      <c r="AR235" s="1" t="str">
        <f t="shared" si="160"/>
        <v>DECOR</v>
      </c>
      <c r="AY235" s="1" t="str">
        <f t="shared" si="151"/>
        <v>PF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 t="str">
        <f t="shared" si="161"/>
        <v>R GOMMA CANVAS</v>
      </c>
      <c r="BF235" s="1" t="str">
        <f t="shared" si="152"/>
        <v>Bonis SpA</v>
      </c>
      <c r="BO235" s="1">
        <v>0</v>
      </c>
      <c r="BP235" s="1">
        <v>0</v>
      </c>
      <c r="BQ235" s="1">
        <v>0</v>
      </c>
    </row>
    <row r="236" spans="2:69" x14ac:dyDescent="0.25">
      <c r="B236" s="1">
        <v>1741</v>
      </c>
      <c r="C236" s="1" t="str">
        <f t="shared" ref="C236:C266" si="165">"DECOR4237S7/C1"</f>
        <v>DECOR4237S7/C1</v>
      </c>
      <c r="D236" s="1" t="str">
        <f>"ODA17N00003-310"</f>
        <v>ODA17N00003-310</v>
      </c>
      <c r="E236" s="1" t="str">
        <f t="shared" ref="E236:E266" si="166">"D12 USPA"</f>
        <v>D12 USPA</v>
      </c>
      <c r="F236" s="1" t="str">
        <f t="shared" si="137"/>
        <v>BONIS SPA</v>
      </c>
      <c r="G236" s="1" t="str">
        <f t="shared" si="138"/>
        <v>STOCK TERRA MP</v>
      </c>
      <c r="H236" s="1" t="str">
        <f t="shared" si="164"/>
        <v>DKBL</v>
      </c>
      <c r="J236" s="1">
        <v>1</v>
      </c>
      <c r="K236" s="1">
        <f t="shared" si="162"/>
        <v>12</v>
      </c>
      <c r="L236" s="1" t="str">
        <f t="shared" si="139"/>
        <v>01</v>
      </c>
      <c r="M236" s="1" t="str">
        <f t="shared" si="140"/>
        <v>101</v>
      </c>
      <c r="N236" s="1" t="str">
        <f>"010"</f>
        <v>010</v>
      </c>
      <c r="O236" s="1" t="str">
        <f t="shared" si="141"/>
        <v>00</v>
      </c>
      <c r="P236" s="1" t="str">
        <f t="shared" si="142"/>
        <v>S</v>
      </c>
      <c r="Q236" s="1" t="str">
        <f t="shared" si="143"/>
        <v>P</v>
      </c>
      <c r="R236" s="1" t="str">
        <f t="shared" si="144"/>
        <v>01</v>
      </c>
      <c r="S236" s="1" t="str">
        <f t="shared" si="145"/>
        <v>03</v>
      </c>
      <c r="T236" s="1" t="str">
        <f t="shared" si="146"/>
        <v>False</v>
      </c>
      <c r="U236" s="1" t="str">
        <f t="shared" si="147"/>
        <v>True</v>
      </c>
      <c r="V236" s="1" t="str">
        <f>"U0031310"</f>
        <v>U0031310</v>
      </c>
      <c r="W236" s="1">
        <v>1</v>
      </c>
      <c r="Y236" s="1">
        <v>0</v>
      </c>
      <c r="Z236" s="1">
        <v>0</v>
      </c>
      <c r="AB236" s="1" t="str">
        <f t="shared" si="163"/>
        <v>SMU</v>
      </c>
      <c r="AD236" s="1" t="str">
        <f t="shared" ref="AD236:AD266" si="167">"4520308"</f>
        <v>4520308</v>
      </c>
      <c r="AE236" s="1" t="str">
        <f t="shared" ref="AE236:AE266" si="168">"QUANZHOU REORDERS FORSUN"</f>
        <v>QUANZHOU REORDERS FORSUN</v>
      </c>
      <c r="AG236" s="1">
        <v>0</v>
      </c>
      <c r="AH236" s="1">
        <v>0</v>
      </c>
      <c r="AI236" s="1" t="str">
        <f t="shared" si="148"/>
        <v>F06</v>
      </c>
      <c r="AJ236" s="1" t="str">
        <f t="shared" ref="AJ236:AJ266" si="169">"WOMAN"</f>
        <v>WOMAN</v>
      </c>
      <c r="AK236" s="1" t="str">
        <f t="shared" si="149"/>
        <v>PA</v>
      </c>
      <c r="AP236" s="1" t="str">
        <f t="shared" si="150"/>
        <v>False</v>
      </c>
      <c r="AR236" s="1" t="str">
        <f t="shared" ref="AR236:AR266" si="170">"DECOR"</f>
        <v>DECOR</v>
      </c>
      <c r="AY236" s="1" t="str">
        <f t="shared" si="151"/>
        <v>PF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 t="str">
        <f t="shared" ref="BE236:BE266" si="171">"R GOMMA CANVAS"</f>
        <v>R GOMMA CANVAS</v>
      </c>
      <c r="BF236" s="1" t="str">
        <f t="shared" si="152"/>
        <v>Bonis SpA</v>
      </c>
      <c r="BO236" s="1">
        <v>0</v>
      </c>
      <c r="BP236" s="1">
        <v>0</v>
      </c>
      <c r="BQ236" s="1">
        <v>0</v>
      </c>
    </row>
    <row r="237" spans="2:69" x14ac:dyDescent="0.25">
      <c r="B237" s="1">
        <v>1741</v>
      </c>
      <c r="C237" s="1" t="str">
        <f t="shared" si="165"/>
        <v>DECOR4237S7/C1</v>
      </c>
      <c r="D237" s="1" t="str">
        <f>"ODA17N00003-313"</f>
        <v>ODA17N00003-313</v>
      </c>
      <c r="E237" s="1" t="str">
        <f t="shared" si="166"/>
        <v>D12 USPA</v>
      </c>
      <c r="F237" s="1" t="str">
        <f t="shared" si="137"/>
        <v>BONIS SPA</v>
      </c>
      <c r="G237" s="1" t="str">
        <f t="shared" si="138"/>
        <v>STOCK TERRA MP</v>
      </c>
      <c r="H237" s="1" t="str">
        <f t="shared" si="164"/>
        <v>DKBL</v>
      </c>
      <c r="J237" s="1">
        <v>1</v>
      </c>
      <c r="K237" s="1">
        <f t="shared" si="162"/>
        <v>12</v>
      </c>
      <c r="L237" s="1" t="str">
        <f t="shared" si="139"/>
        <v>01</v>
      </c>
      <c r="M237" s="1" t="str">
        <f t="shared" si="140"/>
        <v>101</v>
      </c>
      <c r="N237" s="1" t="str">
        <f>"010"</f>
        <v>010</v>
      </c>
      <c r="O237" s="1" t="str">
        <f t="shared" si="141"/>
        <v>00</v>
      </c>
      <c r="P237" s="1" t="str">
        <f t="shared" si="142"/>
        <v>S</v>
      </c>
      <c r="Q237" s="1" t="str">
        <f t="shared" si="143"/>
        <v>P</v>
      </c>
      <c r="R237" s="1" t="str">
        <f t="shared" si="144"/>
        <v>01</v>
      </c>
      <c r="S237" s="1" t="str">
        <f t="shared" si="145"/>
        <v>03</v>
      </c>
      <c r="T237" s="1" t="str">
        <f t="shared" si="146"/>
        <v>False</v>
      </c>
      <c r="U237" s="1" t="str">
        <f t="shared" si="147"/>
        <v>True</v>
      </c>
      <c r="V237" s="1" t="str">
        <f>"U0031310"</f>
        <v>U0031310</v>
      </c>
      <c r="W237" s="1">
        <v>1</v>
      </c>
      <c r="Y237" s="1">
        <v>0</v>
      </c>
      <c r="Z237" s="1">
        <v>0</v>
      </c>
      <c r="AB237" s="1" t="str">
        <f t="shared" si="163"/>
        <v>SMU</v>
      </c>
      <c r="AD237" s="1" t="str">
        <f t="shared" si="167"/>
        <v>4520308</v>
      </c>
      <c r="AE237" s="1" t="str">
        <f t="shared" si="168"/>
        <v>QUANZHOU REORDERS FORSUN</v>
      </c>
      <c r="AG237" s="1">
        <v>0</v>
      </c>
      <c r="AH237" s="1">
        <v>0</v>
      </c>
      <c r="AI237" s="1" t="str">
        <f t="shared" si="148"/>
        <v>F06</v>
      </c>
      <c r="AJ237" s="1" t="str">
        <f t="shared" si="169"/>
        <v>WOMAN</v>
      </c>
      <c r="AK237" s="1" t="str">
        <f t="shared" si="149"/>
        <v>PA</v>
      </c>
      <c r="AP237" s="1" t="str">
        <f t="shared" si="150"/>
        <v>False</v>
      </c>
      <c r="AR237" s="1" t="str">
        <f t="shared" si="170"/>
        <v>DECOR</v>
      </c>
      <c r="AY237" s="1" t="str">
        <f t="shared" si="151"/>
        <v>PF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 t="str">
        <f t="shared" si="171"/>
        <v>R GOMMA CANVAS</v>
      </c>
      <c r="BF237" s="1" t="str">
        <f t="shared" si="152"/>
        <v>Bonis SpA</v>
      </c>
      <c r="BO237" s="1">
        <v>0</v>
      </c>
      <c r="BP237" s="1">
        <v>0</v>
      </c>
      <c r="BQ237" s="1">
        <v>0</v>
      </c>
    </row>
    <row r="238" spans="2:69" x14ac:dyDescent="0.25">
      <c r="B238" s="1">
        <v>1741</v>
      </c>
      <c r="C238" s="1" t="str">
        <f t="shared" si="165"/>
        <v>DECOR4237S7/C1</v>
      </c>
      <c r="D238" s="1" t="str">
        <f>"ODA17N00003-315"</f>
        <v>ODA17N00003-315</v>
      </c>
      <c r="E238" s="1" t="str">
        <f t="shared" si="166"/>
        <v>D12 USPA</v>
      </c>
      <c r="F238" s="1" t="str">
        <f t="shared" si="137"/>
        <v>BONIS SPA</v>
      </c>
      <c r="G238" s="1" t="str">
        <f t="shared" si="138"/>
        <v>STOCK TERRA MP</v>
      </c>
      <c r="H238" s="1" t="str">
        <f t="shared" si="164"/>
        <v>DKBL</v>
      </c>
      <c r="J238" s="1">
        <v>1</v>
      </c>
      <c r="K238" s="1">
        <f t="shared" si="162"/>
        <v>12</v>
      </c>
      <c r="L238" s="1" t="str">
        <f t="shared" si="139"/>
        <v>01</v>
      </c>
      <c r="M238" s="1" t="str">
        <f t="shared" si="140"/>
        <v>101</v>
      </c>
      <c r="N238" s="1" t="str">
        <f>"010"</f>
        <v>010</v>
      </c>
      <c r="O238" s="1" t="str">
        <f t="shared" si="141"/>
        <v>00</v>
      </c>
      <c r="P238" s="1" t="str">
        <f t="shared" si="142"/>
        <v>S</v>
      </c>
      <c r="Q238" s="1" t="str">
        <f t="shared" si="143"/>
        <v>P</v>
      </c>
      <c r="R238" s="1" t="str">
        <f t="shared" si="144"/>
        <v>01</v>
      </c>
      <c r="S238" s="1" t="str">
        <f t="shared" si="145"/>
        <v>03</v>
      </c>
      <c r="T238" s="1" t="str">
        <f t="shared" si="146"/>
        <v>False</v>
      </c>
      <c r="U238" s="1" t="str">
        <f t="shared" si="147"/>
        <v>True</v>
      </c>
      <c r="V238" s="1" t="str">
        <f>"U0031310"</f>
        <v>U0031310</v>
      </c>
      <c r="W238" s="1">
        <v>1</v>
      </c>
      <c r="Y238" s="1">
        <v>0</v>
      </c>
      <c r="Z238" s="1">
        <v>0</v>
      </c>
      <c r="AB238" s="1" t="str">
        <f t="shared" si="163"/>
        <v>SMU</v>
      </c>
      <c r="AD238" s="1" t="str">
        <f t="shared" si="167"/>
        <v>4520308</v>
      </c>
      <c r="AE238" s="1" t="str">
        <f t="shared" si="168"/>
        <v>QUANZHOU REORDERS FORSUN</v>
      </c>
      <c r="AG238" s="1">
        <v>0</v>
      </c>
      <c r="AH238" s="1">
        <v>0</v>
      </c>
      <c r="AI238" s="1" t="str">
        <f t="shared" si="148"/>
        <v>F06</v>
      </c>
      <c r="AJ238" s="1" t="str">
        <f t="shared" si="169"/>
        <v>WOMAN</v>
      </c>
      <c r="AK238" s="1" t="str">
        <f t="shared" si="149"/>
        <v>PA</v>
      </c>
      <c r="AP238" s="1" t="str">
        <f t="shared" si="150"/>
        <v>False</v>
      </c>
      <c r="AR238" s="1" t="str">
        <f t="shared" si="170"/>
        <v>DECOR</v>
      </c>
      <c r="AY238" s="1" t="str">
        <f t="shared" si="151"/>
        <v>PF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 t="str">
        <f t="shared" si="171"/>
        <v>R GOMMA CANVAS</v>
      </c>
      <c r="BF238" s="1" t="str">
        <f t="shared" si="152"/>
        <v>Bonis SpA</v>
      </c>
      <c r="BO238" s="1">
        <v>0</v>
      </c>
      <c r="BP238" s="1">
        <v>0</v>
      </c>
      <c r="BQ238" s="1">
        <v>0</v>
      </c>
    </row>
    <row r="239" spans="2:69" x14ac:dyDescent="0.25">
      <c r="B239" s="1">
        <v>1744</v>
      </c>
      <c r="C239" s="1" t="str">
        <f t="shared" si="165"/>
        <v>DECOR4237S7/C1</v>
      </c>
      <c r="D239" s="1" t="str">
        <f>"ODA17N00003-325"</f>
        <v>ODA17N00003-325</v>
      </c>
      <c r="E239" s="1" t="str">
        <f t="shared" si="166"/>
        <v>D12 USPA</v>
      </c>
      <c r="F239" s="1" t="str">
        <f t="shared" si="137"/>
        <v>BONIS SPA</v>
      </c>
      <c r="G239" s="1" t="str">
        <f t="shared" si="138"/>
        <v>STOCK TERRA MP</v>
      </c>
      <c r="H239" s="1" t="str">
        <f t="shared" si="164"/>
        <v>DKBL</v>
      </c>
      <c r="J239" s="1">
        <v>1</v>
      </c>
      <c r="K239" s="1">
        <f t="shared" si="162"/>
        <v>12</v>
      </c>
      <c r="L239" s="1" t="str">
        <f t="shared" si="139"/>
        <v>01</v>
      </c>
      <c r="M239" s="1" t="str">
        <f t="shared" si="140"/>
        <v>101</v>
      </c>
      <c r="N239" s="1" t="str">
        <f>"013"</f>
        <v>013</v>
      </c>
      <c r="O239" s="1" t="str">
        <f t="shared" si="141"/>
        <v>00</v>
      </c>
      <c r="P239" s="1" t="str">
        <f t="shared" si="142"/>
        <v>S</v>
      </c>
      <c r="Q239" s="1" t="str">
        <f t="shared" si="143"/>
        <v>P</v>
      </c>
      <c r="R239" s="1" t="str">
        <f t="shared" si="144"/>
        <v>01</v>
      </c>
      <c r="S239" s="1" t="str">
        <f t="shared" si="145"/>
        <v>03</v>
      </c>
      <c r="T239" s="1" t="str">
        <f t="shared" si="146"/>
        <v>False</v>
      </c>
      <c r="U239" s="1" t="str">
        <f t="shared" si="147"/>
        <v>True</v>
      </c>
      <c r="V239" s="1" t="str">
        <f>"U0023677"</f>
        <v>U0023677</v>
      </c>
      <c r="W239" s="1">
        <v>1</v>
      </c>
      <c r="Y239" s="1">
        <v>0</v>
      </c>
      <c r="Z239" s="1">
        <v>0</v>
      </c>
      <c r="AB239" s="1" t="str">
        <f t="shared" si="163"/>
        <v>SMU</v>
      </c>
      <c r="AD239" s="1" t="str">
        <f t="shared" si="167"/>
        <v>4520308</v>
      </c>
      <c r="AE239" s="1" t="str">
        <f t="shared" si="168"/>
        <v>QUANZHOU REORDERS FORSUN</v>
      </c>
      <c r="AG239" s="1">
        <v>0</v>
      </c>
      <c r="AH239" s="1">
        <v>0</v>
      </c>
      <c r="AI239" s="1" t="str">
        <f t="shared" si="148"/>
        <v>F06</v>
      </c>
      <c r="AJ239" s="1" t="str">
        <f t="shared" si="169"/>
        <v>WOMAN</v>
      </c>
      <c r="AK239" s="1" t="str">
        <f t="shared" si="149"/>
        <v>PA</v>
      </c>
      <c r="AP239" s="1" t="str">
        <f t="shared" si="150"/>
        <v>False</v>
      </c>
      <c r="AR239" s="1" t="str">
        <f t="shared" si="170"/>
        <v>DECOR</v>
      </c>
      <c r="AY239" s="1" t="str">
        <f t="shared" si="151"/>
        <v>PF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 t="str">
        <f t="shared" si="171"/>
        <v>R GOMMA CANVAS</v>
      </c>
      <c r="BF239" s="1" t="str">
        <f t="shared" si="152"/>
        <v>Bonis SpA</v>
      </c>
      <c r="BO239" s="1">
        <v>0</v>
      </c>
      <c r="BP239" s="1">
        <v>0</v>
      </c>
      <c r="BQ239" s="1">
        <v>0</v>
      </c>
    </row>
    <row r="240" spans="2:69" x14ac:dyDescent="0.25">
      <c r="B240" s="1">
        <v>1741</v>
      </c>
      <c r="C240" s="1" t="str">
        <f t="shared" si="165"/>
        <v>DECOR4237S7/C1</v>
      </c>
      <c r="D240" s="1" t="str">
        <f>"ODA17N00003-329"</f>
        <v>ODA17N00003-329</v>
      </c>
      <c r="E240" s="1" t="str">
        <f t="shared" si="166"/>
        <v>D12 USPA</v>
      </c>
      <c r="F240" s="1" t="str">
        <f t="shared" si="137"/>
        <v>BONIS SPA</v>
      </c>
      <c r="G240" s="1" t="str">
        <f t="shared" si="138"/>
        <v>STOCK TERRA MP</v>
      </c>
      <c r="H240" s="1" t="str">
        <f t="shared" si="164"/>
        <v>DKBL</v>
      </c>
      <c r="J240" s="1">
        <v>1</v>
      </c>
      <c r="K240" s="1">
        <f t="shared" si="162"/>
        <v>12</v>
      </c>
      <c r="L240" s="1" t="str">
        <f t="shared" si="139"/>
        <v>01</v>
      </c>
      <c r="M240" s="1" t="str">
        <f t="shared" si="140"/>
        <v>101</v>
      </c>
      <c r="N240" s="1" t="str">
        <f>"010"</f>
        <v>010</v>
      </c>
      <c r="O240" s="1" t="str">
        <f t="shared" si="141"/>
        <v>00</v>
      </c>
      <c r="P240" s="1" t="str">
        <f t="shared" si="142"/>
        <v>S</v>
      </c>
      <c r="Q240" s="1" t="str">
        <f t="shared" si="143"/>
        <v>P</v>
      </c>
      <c r="R240" s="1" t="str">
        <f t="shared" si="144"/>
        <v>01</v>
      </c>
      <c r="S240" s="1" t="str">
        <f t="shared" si="145"/>
        <v>03</v>
      </c>
      <c r="T240" s="1" t="str">
        <f t="shared" si="146"/>
        <v>False</v>
      </c>
      <c r="U240" s="1" t="str">
        <f t="shared" si="147"/>
        <v>True</v>
      </c>
      <c r="V240" s="1" t="str">
        <f>"U0031310"</f>
        <v>U0031310</v>
      </c>
      <c r="W240" s="1">
        <v>1</v>
      </c>
      <c r="Y240" s="1">
        <v>0</v>
      </c>
      <c r="Z240" s="1">
        <v>0</v>
      </c>
      <c r="AB240" s="1" t="str">
        <f t="shared" si="163"/>
        <v>SMU</v>
      </c>
      <c r="AD240" s="1" t="str">
        <f t="shared" si="167"/>
        <v>4520308</v>
      </c>
      <c r="AE240" s="1" t="str">
        <f t="shared" si="168"/>
        <v>QUANZHOU REORDERS FORSUN</v>
      </c>
      <c r="AG240" s="1">
        <v>0</v>
      </c>
      <c r="AH240" s="1">
        <v>0</v>
      </c>
      <c r="AI240" s="1" t="str">
        <f t="shared" si="148"/>
        <v>F06</v>
      </c>
      <c r="AJ240" s="1" t="str">
        <f t="shared" si="169"/>
        <v>WOMAN</v>
      </c>
      <c r="AK240" s="1" t="str">
        <f t="shared" si="149"/>
        <v>PA</v>
      </c>
      <c r="AP240" s="1" t="str">
        <f t="shared" si="150"/>
        <v>False</v>
      </c>
      <c r="AR240" s="1" t="str">
        <f t="shared" si="170"/>
        <v>DECOR</v>
      </c>
      <c r="AY240" s="1" t="str">
        <f t="shared" si="151"/>
        <v>PF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 t="str">
        <f t="shared" si="171"/>
        <v>R GOMMA CANVAS</v>
      </c>
      <c r="BF240" s="1" t="str">
        <f t="shared" si="152"/>
        <v>Bonis SpA</v>
      </c>
      <c r="BO240" s="1">
        <v>0</v>
      </c>
      <c r="BP240" s="1">
        <v>0</v>
      </c>
      <c r="BQ240" s="1">
        <v>0</v>
      </c>
    </row>
    <row r="241" spans="2:69" x14ac:dyDescent="0.25">
      <c r="B241" s="1">
        <v>1743</v>
      </c>
      <c r="C241" s="1" t="str">
        <f t="shared" si="165"/>
        <v>DECOR4237S7/C1</v>
      </c>
      <c r="D241" s="1" t="str">
        <f>"ODA17N00003-339"</f>
        <v>ODA17N00003-339</v>
      </c>
      <c r="E241" s="1" t="str">
        <f t="shared" si="166"/>
        <v>D12 USPA</v>
      </c>
      <c r="F241" s="1" t="str">
        <f t="shared" si="137"/>
        <v>BONIS SPA</v>
      </c>
      <c r="G241" s="1" t="str">
        <f t="shared" si="138"/>
        <v>STOCK TERRA MP</v>
      </c>
      <c r="H241" s="1" t="str">
        <f t="shared" si="164"/>
        <v>DKBL</v>
      </c>
      <c r="J241" s="1">
        <v>1</v>
      </c>
      <c r="K241" s="1">
        <f t="shared" si="162"/>
        <v>12</v>
      </c>
      <c r="L241" s="1" t="str">
        <f t="shared" si="139"/>
        <v>01</v>
      </c>
      <c r="M241" s="1" t="str">
        <f t="shared" si="140"/>
        <v>101</v>
      </c>
      <c r="N241" s="1" t="str">
        <f>"012"</f>
        <v>012</v>
      </c>
      <c r="O241" s="1" t="str">
        <f t="shared" si="141"/>
        <v>00</v>
      </c>
      <c r="P241" s="1" t="str">
        <f t="shared" si="142"/>
        <v>S</v>
      </c>
      <c r="Q241" s="1" t="str">
        <f t="shared" si="143"/>
        <v>P</v>
      </c>
      <c r="R241" s="1" t="str">
        <f t="shared" si="144"/>
        <v>01</v>
      </c>
      <c r="S241" s="1" t="str">
        <f t="shared" si="145"/>
        <v>03</v>
      </c>
      <c r="T241" s="1" t="str">
        <f t="shared" si="146"/>
        <v>False</v>
      </c>
      <c r="U241" s="1" t="str">
        <f t="shared" si="147"/>
        <v>True</v>
      </c>
      <c r="V241" s="1" t="str">
        <f>"U0031320"</f>
        <v>U0031320</v>
      </c>
      <c r="W241" s="1">
        <v>1</v>
      </c>
      <c r="Y241" s="1">
        <v>0</v>
      </c>
      <c r="Z241" s="1">
        <v>0</v>
      </c>
      <c r="AB241" s="1" t="str">
        <f t="shared" si="163"/>
        <v>SMU</v>
      </c>
      <c r="AD241" s="1" t="str">
        <f t="shared" si="167"/>
        <v>4520308</v>
      </c>
      <c r="AE241" s="1" t="str">
        <f t="shared" si="168"/>
        <v>QUANZHOU REORDERS FORSUN</v>
      </c>
      <c r="AG241" s="1">
        <v>0</v>
      </c>
      <c r="AH241" s="1">
        <v>0</v>
      </c>
      <c r="AI241" s="1" t="str">
        <f t="shared" si="148"/>
        <v>F06</v>
      </c>
      <c r="AJ241" s="1" t="str">
        <f t="shared" si="169"/>
        <v>WOMAN</v>
      </c>
      <c r="AK241" s="1" t="str">
        <f t="shared" si="149"/>
        <v>PA</v>
      </c>
      <c r="AP241" s="1" t="str">
        <f t="shared" si="150"/>
        <v>False</v>
      </c>
      <c r="AR241" s="1" t="str">
        <f t="shared" si="170"/>
        <v>DECOR</v>
      </c>
      <c r="AY241" s="1" t="str">
        <f t="shared" si="151"/>
        <v>PF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 t="str">
        <f t="shared" si="171"/>
        <v>R GOMMA CANVAS</v>
      </c>
      <c r="BF241" s="1" t="str">
        <f t="shared" si="152"/>
        <v>Bonis SpA</v>
      </c>
      <c r="BO241" s="1">
        <v>0</v>
      </c>
      <c r="BP241" s="1">
        <v>0</v>
      </c>
      <c r="BQ241" s="1">
        <v>0</v>
      </c>
    </row>
    <row r="242" spans="2:69" x14ac:dyDescent="0.25">
      <c r="B242" s="1">
        <v>1741</v>
      </c>
      <c r="C242" s="1" t="str">
        <f t="shared" si="165"/>
        <v>DECOR4237S7/C1</v>
      </c>
      <c r="D242" s="1" t="str">
        <f>"ODA17N00003-344"</f>
        <v>ODA17N00003-344</v>
      </c>
      <c r="E242" s="1" t="str">
        <f t="shared" si="166"/>
        <v>D12 USPA</v>
      </c>
      <c r="F242" s="1" t="str">
        <f t="shared" si="137"/>
        <v>BONIS SPA</v>
      </c>
      <c r="G242" s="1" t="str">
        <f t="shared" si="138"/>
        <v>STOCK TERRA MP</v>
      </c>
      <c r="H242" s="1" t="str">
        <f t="shared" si="164"/>
        <v>DKBL</v>
      </c>
      <c r="J242" s="1">
        <v>1</v>
      </c>
      <c r="K242" s="1">
        <f t="shared" si="162"/>
        <v>12</v>
      </c>
      <c r="L242" s="1" t="str">
        <f t="shared" si="139"/>
        <v>01</v>
      </c>
      <c r="M242" s="1" t="str">
        <f t="shared" si="140"/>
        <v>101</v>
      </c>
      <c r="N242" s="1" t="str">
        <f t="shared" ref="N242:N248" si="172">"010"</f>
        <v>010</v>
      </c>
      <c r="O242" s="1" t="str">
        <f t="shared" si="141"/>
        <v>00</v>
      </c>
      <c r="P242" s="1" t="str">
        <f t="shared" si="142"/>
        <v>S</v>
      </c>
      <c r="Q242" s="1" t="str">
        <f t="shared" si="143"/>
        <v>P</v>
      </c>
      <c r="R242" s="1" t="str">
        <f t="shared" si="144"/>
        <v>01</v>
      </c>
      <c r="S242" s="1" t="str">
        <f t="shared" si="145"/>
        <v>03</v>
      </c>
      <c r="T242" s="1" t="str">
        <f t="shared" si="146"/>
        <v>False</v>
      </c>
      <c r="U242" s="1" t="str">
        <f t="shared" si="147"/>
        <v>True</v>
      </c>
      <c r="V242" s="1" t="str">
        <f t="shared" ref="V242:V248" si="173">"U0031310"</f>
        <v>U0031310</v>
      </c>
      <c r="W242" s="1">
        <v>1</v>
      </c>
      <c r="Y242" s="1">
        <v>0</v>
      </c>
      <c r="Z242" s="1">
        <v>0</v>
      </c>
      <c r="AB242" s="1" t="str">
        <f t="shared" si="163"/>
        <v>SMU</v>
      </c>
      <c r="AD242" s="1" t="str">
        <f t="shared" si="167"/>
        <v>4520308</v>
      </c>
      <c r="AE242" s="1" t="str">
        <f t="shared" si="168"/>
        <v>QUANZHOU REORDERS FORSUN</v>
      </c>
      <c r="AG242" s="1">
        <v>0</v>
      </c>
      <c r="AH242" s="1">
        <v>0</v>
      </c>
      <c r="AI242" s="1" t="str">
        <f t="shared" si="148"/>
        <v>F06</v>
      </c>
      <c r="AJ242" s="1" t="str">
        <f t="shared" si="169"/>
        <v>WOMAN</v>
      </c>
      <c r="AK242" s="1" t="str">
        <f t="shared" si="149"/>
        <v>PA</v>
      </c>
      <c r="AP242" s="1" t="str">
        <f t="shared" si="150"/>
        <v>False</v>
      </c>
      <c r="AR242" s="1" t="str">
        <f t="shared" si="170"/>
        <v>DECOR</v>
      </c>
      <c r="AY242" s="1" t="str">
        <f t="shared" si="151"/>
        <v>PF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 t="str">
        <f t="shared" si="171"/>
        <v>R GOMMA CANVAS</v>
      </c>
      <c r="BF242" s="1" t="str">
        <f t="shared" si="152"/>
        <v>Bonis SpA</v>
      </c>
      <c r="BO242" s="1">
        <v>0</v>
      </c>
      <c r="BP242" s="1">
        <v>0</v>
      </c>
      <c r="BQ242" s="1">
        <v>0</v>
      </c>
    </row>
    <row r="243" spans="2:69" x14ac:dyDescent="0.25">
      <c r="B243" s="1">
        <v>1741</v>
      </c>
      <c r="C243" s="1" t="str">
        <f t="shared" si="165"/>
        <v>DECOR4237S7/C1</v>
      </c>
      <c r="D243" s="1" t="str">
        <f>"ODA17N00003-346"</f>
        <v>ODA17N00003-346</v>
      </c>
      <c r="E243" s="1" t="str">
        <f t="shared" si="166"/>
        <v>D12 USPA</v>
      </c>
      <c r="F243" s="1" t="str">
        <f t="shared" si="137"/>
        <v>BONIS SPA</v>
      </c>
      <c r="G243" s="1" t="str">
        <f t="shared" si="138"/>
        <v>STOCK TERRA MP</v>
      </c>
      <c r="H243" s="1" t="str">
        <f t="shared" si="164"/>
        <v>DKBL</v>
      </c>
      <c r="J243" s="1">
        <v>1</v>
      </c>
      <c r="K243" s="1">
        <f t="shared" si="162"/>
        <v>12</v>
      </c>
      <c r="L243" s="1" t="str">
        <f t="shared" si="139"/>
        <v>01</v>
      </c>
      <c r="M243" s="1" t="str">
        <f t="shared" si="140"/>
        <v>101</v>
      </c>
      <c r="N243" s="1" t="str">
        <f t="shared" si="172"/>
        <v>010</v>
      </c>
      <c r="O243" s="1" t="str">
        <f t="shared" si="141"/>
        <v>00</v>
      </c>
      <c r="P243" s="1" t="str">
        <f t="shared" si="142"/>
        <v>S</v>
      </c>
      <c r="Q243" s="1" t="str">
        <f t="shared" si="143"/>
        <v>P</v>
      </c>
      <c r="R243" s="1" t="str">
        <f t="shared" si="144"/>
        <v>01</v>
      </c>
      <c r="S243" s="1" t="str">
        <f t="shared" si="145"/>
        <v>03</v>
      </c>
      <c r="T243" s="1" t="str">
        <f t="shared" si="146"/>
        <v>False</v>
      </c>
      <c r="U243" s="1" t="str">
        <f t="shared" si="147"/>
        <v>True</v>
      </c>
      <c r="V243" s="1" t="str">
        <f t="shared" si="173"/>
        <v>U0031310</v>
      </c>
      <c r="W243" s="1">
        <v>1</v>
      </c>
      <c r="Y243" s="1">
        <v>0</v>
      </c>
      <c r="Z243" s="1">
        <v>0</v>
      </c>
      <c r="AB243" s="1" t="str">
        <f t="shared" si="163"/>
        <v>SMU</v>
      </c>
      <c r="AD243" s="1" t="str">
        <f t="shared" si="167"/>
        <v>4520308</v>
      </c>
      <c r="AE243" s="1" t="str">
        <f t="shared" si="168"/>
        <v>QUANZHOU REORDERS FORSUN</v>
      </c>
      <c r="AG243" s="1">
        <v>0</v>
      </c>
      <c r="AH243" s="1">
        <v>0</v>
      </c>
      <c r="AI243" s="1" t="str">
        <f t="shared" si="148"/>
        <v>F06</v>
      </c>
      <c r="AJ243" s="1" t="str">
        <f t="shared" si="169"/>
        <v>WOMAN</v>
      </c>
      <c r="AK243" s="1" t="str">
        <f t="shared" si="149"/>
        <v>PA</v>
      </c>
      <c r="AP243" s="1" t="str">
        <f t="shared" si="150"/>
        <v>False</v>
      </c>
      <c r="AR243" s="1" t="str">
        <f t="shared" si="170"/>
        <v>DECOR</v>
      </c>
      <c r="AY243" s="1" t="str">
        <f t="shared" si="151"/>
        <v>PF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 t="str">
        <f t="shared" si="171"/>
        <v>R GOMMA CANVAS</v>
      </c>
      <c r="BF243" s="1" t="str">
        <f t="shared" si="152"/>
        <v>Bonis SpA</v>
      </c>
      <c r="BO243" s="1">
        <v>0</v>
      </c>
      <c r="BP243" s="1">
        <v>0</v>
      </c>
      <c r="BQ243" s="1">
        <v>0</v>
      </c>
    </row>
    <row r="244" spans="2:69" x14ac:dyDescent="0.25">
      <c r="B244" s="1">
        <v>1741</v>
      </c>
      <c r="C244" s="1" t="str">
        <f t="shared" si="165"/>
        <v>DECOR4237S7/C1</v>
      </c>
      <c r="D244" s="1" t="str">
        <f>"ODA17N00003-347"</f>
        <v>ODA17N00003-347</v>
      </c>
      <c r="E244" s="1" t="str">
        <f t="shared" si="166"/>
        <v>D12 USPA</v>
      </c>
      <c r="F244" s="1" t="str">
        <f t="shared" si="137"/>
        <v>BONIS SPA</v>
      </c>
      <c r="G244" s="1" t="str">
        <f t="shared" si="138"/>
        <v>STOCK TERRA MP</v>
      </c>
      <c r="H244" s="1" t="str">
        <f t="shared" si="164"/>
        <v>DKBL</v>
      </c>
      <c r="J244" s="1">
        <v>1</v>
      </c>
      <c r="K244" s="1">
        <f t="shared" si="162"/>
        <v>12</v>
      </c>
      <c r="L244" s="1" t="str">
        <f t="shared" si="139"/>
        <v>01</v>
      </c>
      <c r="M244" s="1" t="str">
        <f t="shared" si="140"/>
        <v>101</v>
      </c>
      <c r="N244" s="1" t="str">
        <f t="shared" si="172"/>
        <v>010</v>
      </c>
      <c r="O244" s="1" t="str">
        <f t="shared" si="141"/>
        <v>00</v>
      </c>
      <c r="P244" s="1" t="str">
        <f t="shared" si="142"/>
        <v>S</v>
      </c>
      <c r="Q244" s="1" t="str">
        <f t="shared" si="143"/>
        <v>P</v>
      </c>
      <c r="R244" s="1" t="str">
        <f t="shared" si="144"/>
        <v>01</v>
      </c>
      <c r="S244" s="1" t="str">
        <f t="shared" si="145"/>
        <v>03</v>
      </c>
      <c r="T244" s="1" t="str">
        <f t="shared" si="146"/>
        <v>False</v>
      </c>
      <c r="U244" s="1" t="str">
        <f t="shared" si="147"/>
        <v>True</v>
      </c>
      <c r="V244" s="1" t="str">
        <f t="shared" si="173"/>
        <v>U0031310</v>
      </c>
      <c r="W244" s="1">
        <v>1</v>
      </c>
      <c r="Y244" s="1">
        <v>0</v>
      </c>
      <c r="Z244" s="1">
        <v>0</v>
      </c>
      <c r="AB244" s="1" t="str">
        <f t="shared" si="163"/>
        <v>SMU</v>
      </c>
      <c r="AD244" s="1" t="str">
        <f t="shared" si="167"/>
        <v>4520308</v>
      </c>
      <c r="AE244" s="1" t="str">
        <f t="shared" si="168"/>
        <v>QUANZHOU REORDERS FORSUN</v>
      </c>
      <c r="AG244" s="1">
        <v>0</v>
      </c>
      <c r="AH244" s="1">
        <v>0</v>
      </c>
      <c r="AI244" s="1" t="str">
        <f t="shared" si="148"/>
        <v>F06</v>
      </c>
      <c r="AJ244" s="1" t="str">
        <f t="shared" si="169"/>
        <v>WOMAN</v>
      </c>
      <c r="AK244" s="1" t="str">
        <f t="shared" si="149"/>
        <v>PA</v>
      </c>
      <c r="AP244" s="1" t="str">
        <f t="shared" si="150"/>
        <v>False</v>
      </c>
      <c r="AR244" s="1" t="str">
        <f t="shared" si="170"/>
        <v>DECOR</v>
      </c>
      <c r="AY244" s="1" t="str">
        <f t="shared" si="151"/>
        <v>PF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 t="str">
        <f t="shared" si="171"/>
        <v>R GOMMA CANVAS</v>
      </c>
      <c r="BF244" s="1" t="str">
        <f t="shared" si="152"/>
        <v>Bonis SpA</v>
      </c>
      <c r="BO244" s="1">
        <v>0</v>
      </c>
      <c r="BP244" s="1">
        <v>0</v>
      </c>
      <c r="BQ244" s="1">
        <v>0</v>
      </c>
    </row>
    <row r="245" spans="2:69" x14ac:dyDescent="0.25">
      <c r="B245" s="1">
        <v>1741</v>
      </c>
      <c r="C245" s="1" t="str">
        <f t="shared" si="165"/>
        <v>DECOR4237S7/C1</v>
      </c>
      <c r="D245" s="1" t="str">
        <f>"ODA17N00003-349"</f>
        <v>ODA17N00003-349</v>
      </c>
      <c r="E245" s="1" t="str">
        <f t="shared" si="166"/>
        <v>D12 USPA</v>
      </c>
      <c r="F245" s="1" t="str">
        <f t="shared" si="137"/>
        <v>BONIS SPA</v>
      </c>
      <c r="G245" s="1" t="str">
        <f t="shared" si="138"/>
        <v>STOCK TERRA MP</v>
      </c>
      <c r="H245" s="1" t="str">
        <f t="shared" si="164"/>
        <v>DKBL</v>
      </c>
      <c r="J245" s="1">
        <v>1</v>
      </c>
      <c r="K245" s="1">
        <f t="shared" si="162"/>
        <v>12</v>
      </c>
      <c r="L245" s="1" t="str">
        <f t="shared" si="139"/>
        <v>01</v>
      </c>
      <c r="M245" s="1" t="str">
        <f t="shared" si="140"/>
        <v>101</v>
      </c>
      <c r="N245" s="1" t="str">
        <f t="shared" si="172"/>
        <v>010</v>
      </c>
      <c r="O245" s="1" t="str">
        <f t="shared" si="141"/>
        <v>00</v>
      </c>
      <c r="P245" s="1" t="str">
        <f t="shared" si="142"/>
        <v>S</v>
      </c>
      <c r="Q245" s="1" t="str">
        <f t="shared" si="143"/>
        <v>P</v>
      </c>
      <c r="R245" s="1" t="str">
        <f t="shared" si="144"/>
        <v>01</v>
      </c>
      <c r="S245" s="1" t="str">
        <f t="shared" si="145"/>
        <v>03</v>
      </c>
      <c r="T245" s="1" t="str">
        <f t="shared" si="146"/>
        <v>False</v>
      </c>
      <c r="U245" s="1" t="str">
        <f t="shared" si="147"/>
        <v>True</v>
      </c>
      <c r="V245" s="1" t="str">
        <f t="shared" si="173"/>
        <v>U0031310</v>
      </c>
      <c r="W245" s="1">
        <v>1</v>
      </c>
      <c r="Y245" s="1">
        <v>0</v>
      </c>
      <c r="Z245" s="1">
        <v>0</v>
      </c>
      <c r="AB245" s="1" t="str">
        <f t="shared" si="163"/>
        <v>SMU</v>
      </c>
      <c r="AD245" s="1" t="str">
        <f t="shared" si="167"/>
        <v>4520308</v>
      </c>
      <c r="AE245" s="1" t="str">
        <f t="shared" si="168"/>
        <v>QUANZHOU REORDERS FORSUN</v>
      </c>
      <c r="AG245" s="1">
        <v>0</v>
      </c>
      <c r="AH245" s="1">
        <v>0</v>
      </c>
      <c r="AI245" s="1" t="str">
        <f t="shared" si="148"/>
        <v>F06</v>
      </c>
      <c r="AJ245" s="1" t="str">
        <f t="shared" si="169"/>
        <v>WOMAN</v>
      </c>
      <c r="AK245" s="1" t="str">
        <f t="shared" si="149"/>
        <v>PA</v>
      </c>
      <c r="AP245" s="1" t="str">
        <f t="shared" si="150"/>
        <v>False</v>
      </c>
      <c r="AR245" s="1" t="str">
        <f t="shared" si="170"/>
        <v>DECOR</v>
      </c>
      <c r="AY245" s="1" t="str">
        <f t="shared" si="151"/>
        <v>PF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 t="str">
        <f t="shared" si="171"/>
        <v>R GOMMA CANVAS</v>
      </c>
      <c r="BF245" s="1" t="str">
        <f t="shared" si="152"/>
        <v>Bonis SpA</v>
      </c>
      <c r="BO245" s="1">
        <v>0</v>
      </c>
      <c r="BP245" s="1">
        <v>0</v>
      </c>
      <c r="BQ245" s="1">
        <v>0</v>
      </c>
    </row>
    <row r="246" spans="2:69" x14ac:dyDescent="0.25">
      <c r="B246" s="1">
        <v>1741</v>
      </c>
      <c r="C246" s="1" t="str">
        <f t="shared" si="165"/>
        <v>DECOR4237S7/C1</v>
      </c>
      <c r="D246" s="1" t="str">
        <f>"ODA17N00003-350"</f>
        <v>ODA17N00003-350</v>
      </c>
      <c r="E246" s="1" t="str">
        <f t="shared" si="166"/>
        <v>D12 USPA</v>
      </c>
      <c r="F246" s="1" t="str">
        <f t="shared" si="137"/>
        <v>BONIS SPA</v>
      </c>
      <c r="G246" s="1" t="str">
        <f t="shared" si="138"/>
        <v>STOCK TERRA MP</v>
      </c>
      <c r="H246" s="1" t="str">
        <f t="shared" si="164"/>
        <v>DKBL</v>
      </c>
      <c r="J246" s="1">
        <v>1</v>
      </c>
      <c r="K246" s="1">
        <f t="shared" si="162"/>
        <v>12</v>
      </c>
      <c r="L246" s="1" t="str">
        <f t="shared" si="139"/>
        <v>01</v>
      </c>
      <c r="M246" s="1" t="str">
        <f t="shared" si="140"/>
        <v>101</v>
      </c>
      <c r="N246" s="1" t="str">
        <f t="shared" si="172"/>
        <v>010</v>
      </c>
      <c r="O246" s="1" t="str">
        <f t="shared" si="141"/>
        <v>00</v>
      </c>
      <c r="P246" s="1" t="str">
        <f t="shared" si="142"/>
        <v>S</v>
      </c>
      <c r="Q246" s="1" t="str">
        <f t="shared" si="143"/>
        <v>P</v>
      </c>
      <c r="R246" s="1" t="str">
        <f t="shared" si="144"/>
        <v>01</v>
      </c>
      <c r="S246" s="1" t="str">
        <f t="shared" si="145"/>
        <v>03</v>
      </c>
      <c r="T246" s="1" t="str">
        <f t="shared" si="146"/>
        <v>False</v>
      </c>
      <c r="U246" s="1" t="str">
        <f t="shared" si="147"/>
        <v>True</v>
      </c>
      <c r="V246" s="1" t="str">
        <f t="shared" si="173"/>
        <v>U0031310</v>
      </c>
      <c r="W246" s="1">
        <v>1</v>
      </c>
      <c r="Y246" s="1">
        <v>0</v>
      </c>
      <c r="Z246" s="1">
        <v>0</v>
      </c>
      <c r="AB246" s="1" t="str">
        <f t="shared" si="163"/>
        <v>SMU</v>
      </c>
      <c r="AD246" s="1" t="str">
        <f t="shared" si="167"/>
        <v>4520308</v>
      </c>
      <c r="AE246" s="1" t="str">
        <f t="shared" si="168"/>
        <v>QUANZHOU REORDERS FORSUN</v>
      </c>
      <c r="AG246" s="1">
        <v>0</v>
      </c>
      <c r="AH246" s="1">
        <v>0</v>
      </c>
      <c r="AI246" s="1" t="str">
        <f t="shared" si="148"/>
        <v>F06</v>
      </c>
      <c r="AJ246" s="1" t="str">
        <f t="shared" si="169"/>
        <v>WOMAN</v>
      </c>
      <c r="AK246" s="1" t="str">
        <f t="shared" si="149"/>
        <v>PA</v>
      </c>
      <c r="AP246" s="1" t="str">
        <f t="shared" si="150"/>
        <v>False</v>
      </c>
      <c r="AR246" s="1" t="str">
        <f t="shared" si="170"/>
        <v>DECOR</v>
      </c>
      <c r="AY246" s="1" t="str">
        <f t="shared" si="151"/>
        <v>PF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 t="str">
        <f t="shared" si="171"/>
        <v>R GOMMA CANVAS</v>
      </c>
      <c r="BF246" s="1" t="str">
        <f t="shared" si="152"/>
        <v>Bonis SpA</v>
      </c>
      <c r="BO246" s="1">
        <v>0</v>
      </c>
      <c r="BP246" s="1">
        <v>0</v>
      </c>
      <c r="BQ246" s="1">
        <v>0</v>
      </c>
    </row>
    <row r="247" spans="2:69" x14ac:dyDescent="0.25">
      <c r="B247" s="1">
        <v>1741</v>
      </c>
      <c r="C247" s="1" t="str">
        <f t="shared" si="165"/>
        <v>DECOR4237S7/C1</v>
      </c>
      <c r="D247" s="1" t="str">
        <f>"ODA17N00003-352"</f>
        <v>ODA17N00003-352</v>
      </c>
      <c r="E247" s="1" t="str">
        <f t="shared" si="166"/>
        <v>D12 USPA</v>
      </c>
      <c r="F247" s="1" t="str">
        <f t="shared" si="137"/>
        <v>BONIS SPA</v>
      </c>
      <c r="G247" s="1" t="str">
        <f t="shared" si="138"/>
        <v>STOCK TERRA MP</v>
      </c>
      <c r="H247" s="1" t="str">
        <f t="shared" si="164"/>
        <v>DKBL</v>
      </c>
      <c r="J247" s="1">
        <v>1</v>
      </c>
      <c r="K247" s="1">
        <f t="shared" si="162"/>
        <v>12</v>
      </c>
      <c r="L247" s="1" t="str">
        <f t="shared" si="139"/>
        <v>01</v>
      </c>
      <c r="M247" s="1" t="str">
        <f t="shared" si="140"/>
        <v>101</v>
      </c>
      <c r="N247" s="1" t="str">
        <f t="shared" si="172"/>
        <v>010</v>
      </c>
      <c r="O247" s="1" t="str">
        <f t="shared" si="141"/>
        <v>00</v>
      </c>
      <c r="P247" s="1" t="str">
        <f t="shared" si="142"/>
        <v>S</v>
      </c>
      <c r="Q247" s="1" t="str">
        <f t="shared" si="143"/>
        <v>P</v>
      </c>
      <c r="R247" s="1" t="str">
        <f t="shared" si="144"/>
        <v>01</v>
      </c>
      <c r="S247" s="1" t="str">
        <f t="shared" si="145"/>
        <v>03</v>
      </c>
      <c r="T247" s="1" t="str">
        <f t="shared" si="146"/>
        <v>False</v>
      </c>
      <c r="U247" s="1" t="str">
        <f t="shared" si="147"/>
        <v>True</v>
      </c>
      <c r="V247" s="1" t="str">
        <f t="shared" si="173"/>
        <v>U0031310</v>
      </c>
      <c r="W247" s="1">
        <v>1</v>
      </c>
      <c r="Y247" s="1">
        <v>0</v>
      </c>
      <c r="Z247" s="1">
        <v>0</v>
      </c>
      <c r="AB247" s="1" t="str">
        <f t="shared" si="163"/>
        <v>SMU</v>
      </c>
      <c r="AD247" s="1" t="str">
        <f t="shared" si="167"/>
        <v>4520308</v>
      </c>
      <c r="AE247" s="1" t="str">
        <f t="shared" si="168"/>
        <v>QUANZHOU REORDERS FORSUN</v>
      </c>
      <c r="AG247" s="1">
        <v>0</v>
      </c>
      <c r="AH247" s="1">
        <v>0</v>
      </c>
      <c r="AI247" s="1" t="str">
        <f t="shared" si="148"/>
        <v>F06</v>
      </c>
      <c r="AJ247" s="1" t="str">
        <f t="shared" si="169"/>
        <v>WOMAN</v>
      </c>
      <c r="AK247" s="1" t="str">
        <f t="shared" si="149"/>
        <v>PA</v>
      </c>
      <c r="AP247" s="1" t="str">
        <f t="shared" si="150"/>
        <v>False</v>
      </c>
      <c r="AR247" s="1" t="str">
        <f t="shared" si="170"/>
        <v>DECOR</v>
      </c>
      <c r="AY247" s="1" t="str">
        <f t="shared" si="151"/>
        <v>PF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 t="str">
        <f t="shared" si="171"/>
        <v>R GOMMA CANVAS</v>
      </c>
      <c r="BF247" s="1" t="str">
        <f t="shared" si="152"/>
        <v>Bonis SpA</v>
      </c>
      <c r="BO247" s="1">
        <v>0</v>
      </c>
      <c r="BP247" s="1">
        <v>0</v>
      </c>
      <c r="BQ247" s="1">
        <v>0</v>
      </c>
    </row>
    <row r="248" spans="2:69" x14ac:dyDescent="0.25">
      <c r="B248" s="1">
        <v>1741</v>
      </c>
      <c r="C248" s="1" t="str">
        <f t="shared" si="165"/>
        <v>DECOR4237S7/C1</v>
      </c>
      <c r="D248" s="1" t="str">
        <f>"ODA17N00003-355"</f>
        <v>ODA17N00003-355</v>
      </c>
      <c r="E248" s="1" t="str">
        <f t="shared" si="166"/>
        <v>D12 USPA</v>
      </c>
      <c r="F248" s="1" t="str">
        <f t="shared" si="137"/>
        <v>BONIS SPA</v>
      </c>
      <c r="G248" s="1" t="str">
        <f t="shared" si="138"/>
        <v>STOCK TERRA MP</v>
      </c>
      <c r="H248" s="1" t="str">
        <f t="shared" si="164"/>
        <v>DKBL</v>
      </c>
      <c r="J248" s="1">
        <v>1</v>
      </c>
      <c r="K248" s="1">
        <f t="shared" si="162"/>
        <v>12</v>
      </c>
      <c r="L248" s="1" t="str">
        <f t="shared" si="139"/>
        <v>01</v>
      </c>
      <c r="M248" s="1" t="str">
        <f t="shared" si="140"/>
        <v>101</v>
      </c>
      <c r="N248" s="1" t="str">
        <f t="shared" si="172"/>
        <v>010</v>
      </c>
      <c r="O248" s="1" t="str">
        <f t="shared" si="141"/>
        <v>00</v>
      </c>
      <c r="P248" s="1" t="str">
        <f t="shared" si="142"/>
        <v>S</v>
      </c>
      <c r="Q248" s="1" t="str">
        <f t="shared" si="143"/>
        <v>P</v>
      </c>
      <c r="R248" s="1" t="str">
        <f t="shared" si="144"/>
        <v>01</v>
      </c>
      <c r="S248" s="1" t="str">
        <f t="shared" si="145"/>
        <v>03</v>
      </c>
      <c r="T248" s="1" t="str">
        <f t="shared" si="146"/>
        <v>False</v>
      </c>
      <c r="U248" s="1" t="str">
        <f t="shared" si="147"/>
        <v>True</v>
      </c>
      <c r="V248" s="1" t="str">
        <f t="shared" si="173"/>
        <v>U0031310</v>
      </c>
      <c r="W248" s="1">
        <v>1</v>
      </c>
      <c r="Y248" s="1">
        <v>0</v>
      </c>
      <c r="Z248" s="1">
        <v>0</v>
      </c>
      <c r="AB248" s="1" t="str">
        <f t="shared" si="163"/>
        <v>SMU</v>
      </c>
      <c r="AD248" s="1" t="str">
        <f t="shared" si="167"/>
        <v>4520308</v>
      </c>
      <c r="AE248" s="1" t="str">
        <f t="shared" si="168"/>
        <v>QUANZHOU REORDERS FORSUN</v>
      </c>
      <c r="AG248" s="1">
        <v>0</v>
      </c>
      <c r="AH248" s="1">
        <v>0</v>
      </c>
      <c r="AI248" s="1" t="str">
        <f t="shared" si="148"/>
        <v>F06</v>
      </c>
      <c r="AJ248" s="1" t="str">
        <f t="shared" si="169"/>
        <v>WOMAN</v>
      </c>
      <c r="AK248" s="1" t="str">
        <f t="shared" si="149"/>
        <v>PA</v>
      </c>
      <c r="AP248" s="1" t="str">
        <f t="shared" si="150"/>
        <v>False</v>
      </c>
      <c r="AR248" s="1" t="str">
        <f t="shared" si="170"/>
        <v>DECOR</v>
      </c>
      <c r="AY248" s="1" t="str">
        <f t="shared" si="151"/>
        <v>PF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 t="str">
        <f t="shared" si="171"/>
        <v>R GOMMA CANVAS</v>
      </c>
      <c r="BF248" s="1" t="str">
        <f t="shared" si="152"/>
        <v>Bonis SpA</v>
      </c>
      <c r="BO248" s="1">
        <v>0</v>
      </c>
      <c r="BP248" s="1">
        <v>0</v>
      </c>
      <c r="BQ248" s="1">
        <v>0</v>
      </c>
    </row>
    <row r="249" spans="2:69" x14ac:dyDescent="0.25">
      <c r="B249" s="1">
        <v>1743</v>
      </c>
      <c r="C249" s="1" t="str">
        <f t="shared" si="165"/>
        <v>DECOR4237S7/C1</v>
      </c>
      <c r="D249" s="1" t="str">
        <f>"ODA17N00003-357"</f>
        <v>ODA17N00003-357</v>
      </c>
      <c r="E249" s="1" t="str">
        <f t="shared" si="166"/>
        <v>D12 USPA</v>
      </c>
      <c r="F249" s="1" t="str">
        <f t="shared" si="137"/>
        <v>BONIS SPA</v>
      </c>
      <c r="G249" s="1" t="str">
        <f t="shared" si="138"/>
        <v>STOCK TERRA MP</v>
      </c>
      <c r="H249" s="1" t="str">
        <f t="shared" si="164"/>
        <v>DKBL</v>
      </c>
      <c r="J249" s="1">
        <v>1</v>
      </c>
      <c r="K249" s="1">
        <f t="shared" si="162"/>
        <v>12</v>
      </c>
      <c r="L249" s="1" t="str">
        <f t="shared" si="139"/>
        <v>01</v>
      </c>
      <c r="M249" s="1" t="str">
        <f t="shared" si="140"/>
        <v>101</v>
      </c>
      <c r="N249" s="1" t="str">
        <f>"012"</f>
        <v>012</v>
      </c>
      <c r="O249" s="1" t="str">
        <f t="shared" si="141"/>
        <v>00</v>
      </c>
      <c r="P249" s="1" t="str">
        <f t="shared" si="142"/>
        <v>S</v>
      </c>
      <c r="Q249" s="1" t="str">
        <f t="shared" si="143"/>
        <v>P</v>
      </c>
      <c r="R249" s="1" t="str">
        <f t="shared" si="144"/>
        <v>01</v>
      </c>
      <c r="S249" s="1" t="str">
        <f t="shared" si="145"/>
        <v>03</v>
      </c>
      <c r="T249" s="1" t="str">
        <f t="shared" si="146"/>
        <v>False</v>
      </c>
      <c r="U249" s="1" t="str">
        <f t="shared" si="147"/>
        <v>True</v>
      </c>
      <c r="V249" s="1" t="str">
        <f>"U0031320"</f>
        <v>U0031320</v>
      </c>
      <c r="W249" s="1">
        <v>1</v>
      </c>
      <c r="Y249" s="1">
        <v>0</v>
      </c>
      <c r="Z249" s="1">
        <v>0</v>
      </c>
      <c r="AB249" s="1" t="str">
        <f t="shared" si="163"/>
        <v>SMU</v>
      </c>
      <c r="AD249" s="1" t="str">
        <f t="shared" si="167"/>
        <v>4520308</v>
      </c>
      <c r="AE249" s="1" t="str">
        <f t="shared" si="168"/>
        <v>QUANZHOU REORDERS FORSUN</v>
      </c>
      <c r="AG249" s="1">
        <v>0</v>
      </c>
      <c r="AH249" s="1">
        <v>0</v>
      </c>
      <c r="AI249" s="1" t="str">
        <f t="shared" si="148"/>
        <v>F06</v>
      </c>
      <c r="AJ249" s="1" t="str">
        <f t="shared" si="169"/>
        <v>WOMAN</v>
      </c>
      <c r="AK249" s="1" t="str">
        <f t="shared" si="149"/>
        <v>PA</v>
      </c>
      <c r="AP249" s="1" t="str">
        <f t="shared" si="150"/>
        <v>False</v>
      </c>
      <c r="AR249" s="1" t="str">
        <f t="shared" si="170"/>
        <v>DECOR</v>
      </c>
      <c r="AY249" s="1" t="str">
        <f t="shared" si="151"/>
        <v>PF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 t="str">
        <f t="shared" si="171"/>
        <v>R GOMMA CANVAS</v>
      </c>
      <c r="BF249" s="1" t="str">
        <f t="shared" si="152"/>
        <v>Bonis SpA</v>
      </c>
      <c r="BO249" s="1">
        <v>0</v>
      </c>
      <c r="BP249" s="1">
        <v>0</v>
      </c>
      <c r="BQ249" s="1">
        <v>0</v>
      </c>
    </row>
    <row r="250" spans="2:69" x14ac:dyDescent="0.25">
      <c r="B250" s="1">
        <v>1741</v>
      </c>
      <c r="C250" s="1" t="str">
        <f t="shared" si="165"/>
        <v>DECOR4237S7/C1</v>
      </c>
      <c r="D250" s="1" t="str">
        <f>"ODA17N00003-365"</f>
        <v>ODA17N00003-365</v>
      </c>
      <c r="E250" s="1" t="str">
        <f t="shared" si="166"/>
        <v>D12 USPA</v>
      </c>
      <c r="F250" s="1" t="str">
        <f t="shared" si="137"/>
        <v>BONIS SPA</v>
      </c>
      <c r="G250" s="1" t="str">
        <f t="shared" si="138"/>
        <v>STOCK TERRA MP</v>
      </c>
      <c r="H250" s="1" t="str">
        <f t="shared" si="164"/>
        <v>DKBL</v>
      </c>
      <c r="J250" s="1">
        <v>1</v>
      </c>
      <c r="K250" s="1">
        <f t="shared" si="162"/>
        <v>12</v>
      </c>
      <c r="L250" s="1" t="str">
        <f t="shared" si="139"/>
        <v>01</v>
      </c>
      <c r="M250" s="1" t="str">
        <f t="shared" si="140"/>
        <v>101</v>
      </c>
      <c r="N250" s="1" t="str">
        <f>"010"</f>
        <v>010</v>
      </c>
      <c r="O250" s="1" t="str">
        <f t="shared" si="141"/>
        <v>00</v>
      </c>
      <c r="P250" s="1" t="str">
        <f t="shared" si="142"/>
        <v>S</v>
      </c>
      <c r="Q250" s="1" t="str">
        <f t="shared" si="143"/>
        <v>P</v>
      </c>
      <c r="R250" s="1" t="str">
        <f t="shared" si="144"/>
        <v>01</v>
      </c>
      <c r="S250" s="1" t="str">
        <f t="shared" si="145"/>
        <v>03</v>
      </c>
      <c r="T250" s="1" t="str">
        <f t="shared" si="146"/>
        <v>False</v>
      </c>
      <c r="U250" s="1" t="str">
        <f t="shared" si="147"/>
        <v>True</v>
      </c>
      <c r="V250" s="1" t="str">
        <f>"U0031310"</f>
        <v>U0031310</v>
      </c>
      <c r="W250" s="1">
        <v>1</v>
      </c>
      <c r="Y250" s="1">
        <v>0</v>
      </c>
      <c r="Z250" s="1">
        <v>0</v>
      </c>
      <c r="AB250" s="1" t="str">
        <f t="shared" ref="AB250:AB266" si="174">"SMU"</f>
        <v>SMU</v>
      </c>
      <c r="AD250" s="1" t="str">
        <f t="shared" si="167"/>
        <v>4520308</v>
      </c>
      <c r="AE250" s="1" t="str">
        <f t="shared" si="168"/>
        <v>QUANZHOU REORDERS FORSUN</v>
      </c>
      <c r="AG250" s="1">
        <v>0</v>
      </c>
      <c r="AH250" s="1">
        <v>0</v>
      </c>
      <c r="AI250" s="1" t="str">
        <f t="shared" si="148"/>
        <v>F06</v>
      </c>
      <c r="AJ250" s="1" t="str">
        <f t="shared" si="169"/>
        <v>WOMAN</v>
      </c>
      <c r="AK250" s="1" t="str">
        <f t="shared" si="149"/>
        <v>PA</v>
      </c>
      <c r="AP250" s="1" t="str">
        <f t="shared" si="150"/>
        <v>False</v>
      </c>
      <c r="AR250" s="1" t="str">
        <f t="shared" si="170"/>
        <v>DECOR</v>
      </c>
      <c r="AY250" s="1" t="str">
        <f t="shared" si="151"/>
        <v>PF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 t="str">
        <f t="shared" si="171"/>
        <v>R GOMMA CANVAS</v>
      </c>
      <c r="BF250" s="1" t="str">
        <f t="shared" si="152"/>
        <v>Bonis SpA</v>
      </c>
      <c r="BO250" s="1">
        <v>0</v>
      </c>
      <c r="BP250" s="1">
        <v>0</v>
      </c>
      <c r="BQ250" s="1">
        <v>0</v>
      </c>
    </row>
    <row r="251" spans="2:69" x14ac:dyDescent="0.25">
      <c r="B251" s="1">
        <v>1744</v>
      </c>
      <c r="C251" s="1" t="str">
        <f t="shared" si="165"/>
        <v>DECOR4237S7/C1</v>
      </c>
      <c r="D251" s="1" t="str">
        <f>"ODA17N00003-369"</f>
        <v>ODA17N00003-369</v>
      </c>
      <c r="E251" s="1" t="str">
        <f t="shared" si="166"/>
        <v>D12 USPA</v>
      </c>
      <c r="F251" s="1" t="str">
        <f t="shared" si="137"/>
        <v>BONIS SPA</v>
      </c>
      <c r="G251" s="1" t="str">
        <f t="shared" si="138"/>
        <v>STOCK TERRA MP</v>
      </c>
      <c r="H251" s="1" t="str">
        <f t="shared" si="164"/>
        <v>DKBL</v>
      </c>
      <c r="J251" s="1">
        <v>1</v>
      </c>
      <c r="K251" s="1">
        <f t="shared" si="162"/>
        <v>12</v>
      </c>
      <c r="L251" s="1" t="str">
        <f t="shared" si="139"/>
        <v>01</v>
      </c>
      <c r="M251" s="1" t="str">
        <f t="shared" si="140"/>
        <v>101</v>
      </c>
      <c r="N251" s="1" t="str">
        <f>"013"</f>
        <v>013</v>
      </c>
      <c r="O251" s="1" t="str">
        <f t="shared" si="141"/>
        <v>00</v>
      </c>
      <c r="P251" s="1" t="str">
        <f t="shared" si="142"/>
        <v>S</v>
      </c>
      <c r="Q251" s="1" t="str">
        <f t="shared" si="143"/>
        <v>P</v>
      </c>
      <c r="R251" s="1" t="str">
        <f t="shared" si="144"/>
        <v>01</v>
      </c>
      <c r="S251" s="1" t="str">
        <f t="shared" si="145"/>
        <v>03</v>
      </c>
      <c r="T251" s="1" t="str">
        <f t="shared" si="146"/>
        <v>False</v>
      </c>
      <c r="U251" s="1" t="str">
        <f t="shared" si="147"/>
        <v>True</v>
      </c>
      <c r="V251" s="1" t="str">
        <f>"U0023677"</f>
        <v>U0023677</v>
      </c>
      <c r="W251" s="1">
        <v>1</v>
      </c>
      <c r="Y251" s="1">
        <v>0</v>
      </c>
      <c r="Z251" s="1">
        <v>0</v>
      </c>
      <c r="AB251" s="1" t="str">
        <f t="shared" si="174"/>
        <v>SMU</v>
      </c>
      <c r="AD251" s="1" t="str">
        <f t="shared" si="167"/>
        <v>4520308</v>
      </c>
      <c r="AE251" s="1" t="str">
        <f t="shared" si="168"/>
        <v>QUANZHOU REORDERS FORSUN</v>
      </c>
      <c r="AG251" s="1">
        <v>0</v>
      </c>
      <c r="AH251" s="1">
        <v>0</v>
      </c>
      <c r="AI251" s="1" t="str">
        <f t="shared" si="148"/>
        <v>F06</v>
      </c>
      <c r="AJ251" s="1" t="str">
        <f t="shared" si="169"/>
        <v>WOMAN</v>
      </c>
      <c r="AK251" s="1" t="str">
        <f t="shared" si="149"/>
        <v>PA</v>
      </c>
      <c r="AP251" s="1" t="str">
        <f t="shared" si="150"/>
        <v>False</v>
      </c>
      <c r="AR251" s="1" t="str">
        <f t="shared" si="170"/>
        <v>DECOR</v>
      </c>
      <c r="AY251" s="1" t="str">
        <f t="shared" si="151"/>
        <v>PF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 t="str">
        <f t="shared" si="171"/>
        <v>R GOMMA CANVAS</v>
      </c>
      <c r="BF251" s="1" t="str">
        <f t="shared" si="152"/>
        <v>Bonis SpA</v>
      </c>
      <c r="BO251" s="1">
        <v>0</v>
      </c>
      <c r="BP251" s="1">
        <v>0</v>
      </c>
      <c r="BQ251" s="1">
        <v>0</v>
      </c>
    </row>
    <row r="252" spans="2:69" x14ac:dyDescent="0.25">
      <c r="B252" s="1">
        <v>1741</v>
      </c>
      <c r="C252" s="1" t="str">
        <f t="shared" si="165"/>
        <v>DECOR4237S7/C1</v>
      </c>
      <c r="D252" s="1" t="str">
        <f>"ODA17N00003-372"</f>
        <v>ODA17N00003-372</v>
      </c>
      <c r="E252" s="1" t="str">
        <f t="shared" si="166"/>
        <v>D12 USPA</v>
      </c>
      <c r="F252" s="1" t="str">
        <f t="shared" si="137"/>
        <v>BONIS SPA</v>
      </c>
      <c r="G252" s="1" t="str">
        <f t="shared" si="138"/>
        <v>STOCK TERRA MP</v>
      </c>
      <c r="H252" s="1" t="str">
        <f t="shared" si="164"/>
        <v>DKBL</v>
      </c>
      <c r="J252" s="1">
        <v>1</v>
      </c>
      <c r="K252" s="1">
        <f t="shared" si="162"/>
        <v>12</v>
      </c>
      <c r="L252" s="1" t="str">
        <f t="shared" si="139"/>
        <v>01</v>
      </c>
      <c r="M252" s="1" t="str">
        <f t="shared" si="140"/>
        <v>101</v>
      </c>
      <c r="N252" s="1" t="str">
        <f t="shared" ref="N252:N260" si="175">"010"</f>
        <v>010</v>
      </c>
      <c r="O252" s="1" t="str">
        <f t="shared" si="141"/>
        <v>00</v>
      </c>
      <c r="P252" s="1" t="str">
        <f t="shared" si="142"/>
        <v>S</v>
      </c>
      <c r="Q252" s="1" t="str">
        <f t="shared" si="143"/>
        <v>P</v>
      </c>
      <c r="R252" s="1" t="str">
        <f t="shared" si="144"/>
        <v>01</v>
      </c>
      <c r="S252" s="1" t="str">
        <f t="shared" si="145"/>
        <v>03</v>
      </c>
      <c r="T252" s="1" t="str">
        <f t="shared" si="146"/>
        <v>False</v>
      </c>
      <c r="U252" s="1" t="str">
        <f t="shared" si="147"/>
        <v>True</v>
      </c>
      <c r="V252" s="1" t="str">
        <f t="shared" ref="V252:V260" si="176">"U0031310"</f>
        <v>U0031310</v>
      </c>
      <c r="W252" s="1">
        <v>1</v>
      </c>
      <c r="Y252" s="1">
        <v>0</v>
      </c>
      <c r="Z252" s="1">
        <v>0</v>
      </c>
      <c r="AB252" s="1" t="str">
        <f t="shared" si="174"/>
        <v>SMU</v>
      </c>
      <c r="AD252" s="1" t="str">
        <f t="shared" si="167"/>
        <v>4520308</v>
      </c>
      <c r="AE252" s="1" t="str">
        <f t="shared" si="168"/>
        <v>QUANZHOU REORDERS FORSUN</v>
      </c>
      <c r="AG252" s="1">
        <v>0</v>
      </c>
      <c r="AH252" s="1">
        <v>0</v>
      </c>
      <c r="AI252" s="1" t="str">
        <f t="shared" si="148"/>
        <v>F06</v>
      </c>
      <c r="AJ252" s="1" t="str">
        <f t="shared" si="169"/>
        <v>WOMAN</v>
      </c>
      <c r="AK252" s="1" t="str">
        <f t="shared" si="149"/>
        <v>PA</v>
      </c>
      <c r="AP252" s="1" t="str">
        <f t="shared" si="150"/>
        <v>False</v>
      </c>
      <c r="AR252" s="1" t="str">
        <f t="shared" si="170"/>
        <v>DECOR</v>
      </c>
      <c r="AY252" s="1" t="str">
        <f t="shared" si="151"/>
        <v>PF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 t="str">
        <f t="shared" si="171"/>
        <v>R GOMMA CANVAS</v>
      </c>
      <c r="BF252" s="1" t="str">
        <f t="shared" si="152"/>
        <v>Bonis SpA</v>
      </c>
      <c r="BO252" s="1">
        <v>0</v>
      </c>
      <c r="BP252" s="1">
        <v>0</v>
      </c>
      <c r="BQ252" s="1">
        <v>0</v>
      </c>
    </row>
    <row r="253" spans="2:69" x14ac:dyDescent="0.25">
      <c r="B253" s="1">
        <v>1741</v>
      </c>
      <c r="C253" s="1" t="str">
        <f t="shared" si="165"/>
        <v>DECOR4237S7/C1</v>
      </c>
      <c r="D253" s="1" t="str">
        <f>"ODA17N00003-373"</f>
        <v>ODA17N00003-373</v>
      </c>
      <c r="E253" s="1" t="str">
        <f t="shared" si="166"/>
        <v>D12 USPA</v>
      </c>
      <c r="F253" s="1" t="str">
        <f t="shared" si="137"/>
        <v>BONIS SPA</v>
      </c>
      <c r="G253" s="1" t="str">
        <f t="shared" si="138"/>
        <v>STOCK TERRA MP</v>
      </c>
      <c r="H253" s="1" t="str">
        <f t="shared" si="164"/>
        <v>DKBL</v>
      </c>
      <c r="J253" s="1">
        <v>1</v>
      </c>
      <c r="K253" s="1">
        <f t="shared" si="162"/>
        <v>12</v>
      </c>
      <c r="L253" s="1" t="str">
        <f t="shared" si="139"/>
        <v>01</v>
      </c>
      <c r="M253" s="1" t="str">
        <f t="shared" si="140"/>
        <v>101</v>
      </c>
      <c r="N253" s="1" t="str">
        <f t="shared" si="175"/>
        <v>010</v>
      </c>
      <c r="O253" s="1" t="str">
        <f t="shared" si="141"/>
        <v>00</v>
      </c>
      <c r="P253" s="1" t="str">
        <f t="shared" si="142"/>
        <v>S</v>
      </c>
      <c r="Q253" s="1" t="str">
        <f t="shared" si="143"/>
        <v>P</v>
      </c>
      <c r="R253" s="1" t="str">
        <f t="shared" si="144"/>
        <v>01</v>
      </c>
      <c r="S253" s="1" t="str">
        <f t="shared" si="145"/>
        <v>03</v>
      </c>
      <c r="T253" s="1" t="str">
        <f t="shared" si="146"/>
        <v>False</v>
      </c>
      <c r="U253" s="1" t="str">
        <f t="shared" si="147"/>
        <v>True</v>
      </c>
      <c r="V253" s="1" t="str">
        <f t="shared" si="176"/>
        <v>U0031310</v>
      </c>
      <c r="W253" s="1">
        <v>1</v>
      </c>
      <c r="Y253" s="1">
        <v>0</v>
      </c>
      <c r="Z253" s="1">
        <v>0</v>
      </c>
      <c r="AB253" s="1" t="str">
        <f t="shared" si="174"/>
        <v>SMU</v>
      </c>
      <c r="AD253" s="1" t="str">
        <f t="shared" si="167"/>
        <v>4520308</v>
      </c>
      <c r="AE253" s="1" t="str">
        <f t="shared" si="168"/>
        <v>QUANZHOU REORDERS FORSUN</v>
      </c>
      <c r="AG253" s="1">
        <v>0</v>
      </c>
      <c r="AH253" s="1">
        <v>0</v>
      </c>
      <c r="AI253" s="1" t="str">
        <f t="shared" si="148"/>
        <v>F06</v>
      </c>
      <c r="AJ253" s="1" t="str">
        <f t="shared" si="169"/>
        <v>WOMAN</v>
      </c>
      <c r="AK253" s="1" t="str">
        <f t="shared" si="149"/>
        <v>PA</v>
      </c>
      <c r="AP253" s="1" t="str">
        <f t="shared" si="150"/>
        <v>False</v>
      </c>
      <c r="AR253" s="1" t="str">
        <f t="shared" si="170"/>
        <v>DECOR</v>
      </c>
      <c r="AY253" s="1" t="str">
        <f t="shared" si="151"/>
        <v>PF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 t="str">
        <f t="shared" si="171"/>
        <v>R GOMMA CANVAS</v>
      </c>
      <c r="BF253" s="1" t="str">
        <f t="shared" si="152"/>
        <v>Bonis SpA</v>
      </c>
      <c r="BO253" s="1">
        <v>0</v>
      </c>
      <c r="BP253" s="1">
        <v>0</v>
      </c>
      <c r="BQ253" s="1">
        <v>0</v>
      </c>
    </row>
    <row r="254" spans="2:69" x14ac:dyDescent="0.25">
      <c r="B254" s="1">
        <v>1741</v>
      </c>
      <c r="C254" s="1" t="str">
        <f t="shared" si="165"/>
        <v>DECOR4237S7/C1</v>
      </c>
      <c r="D254" s="1" t="str">
        <f>"ODA17N00003-375"</f>
        <v>ODA17N00003-375</v>
      </c>
      <c r="E254" s="1" t="str">
        <f t="shared" si="166"/>
        <v>D12 USPA</v>
      </c>
      <c r="F254" s="1" t="str">
        <f t="shared" si="137"/>
        <v>BONIS SPA</v>
      </c>
      <c r="G254" s="1" t="str">
        <f t="shared" si="138"/>
        <v>STOCK TERRA MP</v>
      </c>
      <c r="H254" s="1" t="str">
        <f t="shared" si="164"/>
        <v>DKBL</v>
      </c>
      <c r="J254" s="1">
        <v>1</v>
      </c>
      <c r="K254" s="1">
        <f t="shared" si="162"/>
        <v>12</v>
      </c>
      <c r="L254" s="1" t="str">
        <f t="shared" si="139"/>
        <v>01</v>
      </c>
      <c r="M254" s="1" t="str">
        <f t="shared" si="140"/>
        <v>101</v>
      </c>
      <c r="N254" s="1" t="str">
        <f t="shared" si="175"/>
        <v>010</v>
      </c>
      <c r="O254" s="1" t="str">
        <f t="shared" si="141"/>
        <v>00</v>
      </c>
      <c r="P254" s="1" t="str">
        <f t="shared" si="142"/>
        <v>S</v>
      </c>
      <c r="Q254" s="1" t="str">
        <f t="shared" si="143"/>
        <v>P</v>
      </c>
      <c r="R254" s="1" t="str">
        <f t="shared" si="144"/>
        <v>01</v>
      </c>
      <c r="S254" s="1" t="str">
        <f t="shared" si="145"/>
        <v>03</v>
      </c>
      <c r="T254" s="1" t="str">
        <f t="shared" si="146"/>
        <v>False</v>
      </c>
      <c r="U254" s="1" t="str">
        <f t="shared" si="147"/>
        <v>True</v>
      </c>
      <c r="V254" s="1" t="str">
        <f t="shared" si="176"/>
        <v>U0031310</v>
      </c>
      <c r="W254" s="1">
        <v>1</v>
      </c>
      <c r="Y254" s="1">
        <v>0</v>
      </c>
      <c r="Z254" s="1">
        <v>0</v>
      </c>
      <c r="AB254" s="1" t="str">
        <f t="shared" si="174"/>
        <v>SMU</v>
      </c>
      <c r="AD254" s="1" t="str">
        <f t="shared" si="167"/>
        <v>4520308</v>
      </c>
      <c r="AE254" s="1" t="str">
        <f t="shared" si="168"/>
        <v>QUANZHOU REORDERS FORSUN</v>
      </c>
      <c r="AG254" s="1">
        <v>0</v>
      </c>
      <c r="AH254" s="1">
        <v>0</v>
      </c>
      <c r="AI254" s="1" t="str">
        <f t="shared" si="148"/>
        <v>F06</v>
      </c>
      <c r="AJ254" s="1" t="str">
        <f t="shared" si="169"/>
        <v>WOMAN</v>
      </c>
      <c r="AK254" s="1" t="str">
        <f t="shared" si="149"/>
        <v>PA</v>
      </c>
      <c r="AP254" s="1" t="str">
        <f t="shared" si="150"/>
        <v>False</v>
      </c>
      <c r="AR254" s="1" t="str">
        <f t="shared" si="170"/>
        <v>DECOR</v>
      </c>
      <c r="AY254" s="1" t="str">
        <f t="shared" si="151"/>
        <v>PF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 t="str">
        <f t="shared" si="171"/>
        <v>R GOMMA CANVAS</v>
      </c>
      <c r="BF254" s="1" t="str">
        <f t="shared" si="152"/>
        <v>Bonis SpA</v>
      </c>
      <c r="BO254" s="1">
        <v>0</v>
      </c>
      <c r="BP254" s="1">
        <v>0</v>
      </c>
      <c r="BQ254" s="1">
        <v>0</v>
      </c>
    </row>
    <row r="255" spans="2:69" x14ac:dyDescent="0.25">
      <c r="B255" s="1">
        <v>1741</v>
      </c>
      <c r="C255" s="1" t="str">
        <f t="shared" si="165"/>
        <v>DECOR4237S7/C1</v>
      </c>
      <c r="D255" s="1" t="str">
        <f>"ODA17N00003-377"</f>
        <v>ODA17N00003-377</v>
      </c>
      <c r="E255" s="1" t="str">
        <f t="shared" si="166"/>
        <v>D12 USPA</v>
      </c>
      <c r="F255" s="1" t="str">
        <f t="shared" si="137"/>
        <v>BONIS SPA</v>
      </c>
      <c r="G255" s="1" t="str">
        <f t="shared" si="138"/>
        <v>STOCK TERRA MP</v>
      </c>
      <c r="H255" s="1" t="str">
        <f t="shared" si="164"/>
        <v>DKBL</v>
      </c>
      <c r="J255" s="1">
        <v>1</v>
      </c>
      <c r="K255" s="1">
        <f t="shared" si="162"/>
        <v>12</v>
      </c>
      <c r="L255" s="1" t="str">
        <f t="shared" si="139"/>
        <v>01</v>
      </c>
      <c r="M255" s="1" t="str">
        <f t="shared" si="140"/>
        <v>101</v>
      </c>
      <c r="N255" s="1" t="str">
        <f t="shared" si="175"/>
        <v>010</v>
      </c>
      <c r="O255" s="1" t="str">
        <f t="shared" si="141"/>
        <v>00</v>
      </c>
      <c r="P255" s="1" t="str">
        <f t="shared" si="142"/>
        <v>S</v>
      </c>
      <c r="Q255" s="1" t="str">
        <f t="shared" si="143"/>
        <v>P</v>
      </c>
      <c r="R255" s="1" t="str">
        <f t="shared" si="144"/>
        <v>01</v>
      </c>
      <c r="S255" s="1" t="str">
        <f t="shared" si="145"/>
        <v>03</v>
      </c>
      <c r="T255" s="1" t="str">
        <f t="shared" si="146"/>
        <v>False</v>
      </c>
      <c r="U255" s="1" t="str">
        <f t="shared" si="147"/>
        <v>True</v>
      </c>
      <c r="V255" s="1" t="str">
        <f t="shared" si="176"/>
        <v>U0031310</v>
      </c>
      <c r="W255" s="1">
        <v>1</v>
      </c>
      <c r="Y255" s="1">
        <v>0</v>
      </c>
      <c r="Z255" s="1">
        <v>0</v>
      </c>
      <c r="AB255" s="1" t="str">
        <f t="shared" si="174"/>
        <v>SMU</v>
      </c>
      <c r="AD255" s="1" t="str">
        <f t="shared" si="167"/>
        <v>4520308</v>
      </c>
      <c r="AE255" s="1" t="str">
        <f t="shared" si="168"/>
        <v>QUANZHOU REORDERS FORSUN</v>
      </c>
      <c r="AG255" s="1">
        <v>0</v>
      </c>
      <c r="AH255" s="1">
        <v>0</v>
      </c>
      <c r="AI255" s="1" t="str">
        <f t="shared" si="148"/>
        <v>F06</v>
      </c>
      <c r="AJ255" s="1" t="str">
        <f t="shared" si="169"/>
        <v>WOMAN</v>
      </c>
      <c r="AK255" s="1" t="str">
        <f t="shared" si="149"/>
        <v>PA</v>
      </c>
      <c r="AP255" s="1" t="str">
        <f t="shared" si="150"/>
        <v>False</v>
      </c>
      <c r="AR255" s="1" t="str">
        <f t="shared" si="170"/>
        <v>DECOR</v>
      </c>
      <c r="AY255" s="1" t="str">
        <f t="shared" si="151"/>
        <v>PF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 t="str">
        <f t="shared" si="171"/>
        <v>R GOMMA CANVAS</v>
      </c>
      <c r="BF255" s="1" t="str">
        <f t="shared" si="152"/>
        <v>Bonis SpA</v>
      </c>
      <c r="BO255" s="1">
        <v>0</v>
      </c>
      <c r="BP255" s="1">
        <v>0</v>
      </c>
      <c r="BQ255" s="1">
        <v>0</v>
      </c>
    </row>
    <row r="256" spans="2:69" x14ac:dyDescent="0.25">
      <c r="B256" s="1">
        <v>1741</v>
      </c>
      <c r="C256" s="1" t="str">
        <f t="shared" si="165"/>
        <v>DECOR4237S7/C1</v>
      </c>
      <c r="D256" s="1" t="str">
        <f>"ODA17N00003-379"</f>
        <v>ODA17N00003-379</v>
      </c>
      <c r="E256" s="1" t="str">
        <f t="shared" si="166"/>
        <v>D12 USPA</v>
      </c>
      <c r="F256" s="1" t="str">
        <f t="shared" si="137"/>
        <v>BONIS SPA</v>
      </c>
      <c r="G256" s="1" t="str">
        <f t="shared" si="138"/>
        <v>STOCK TERRA MP</v>
      </c>
      <c r="H256" s="1" t="str">
        <f t="shared" si="164"/>
        <v>DKBL</v>
      </c>
      <c r="J256" s="1">
        <v>1</v>
      </c>
      <c r="K256" s="1">
        <f t="shared" si="162"/>
        <v>12</v>
      </c>
      <c r="L256" s="1" t="str">
        <f t="shared" si="139"/>
        <v>01</v>
      </c>
      <c r="M256" s="1" t="str">
        <f t="shared" si="140"/>
        <v>101</v>
      </c>
      <c r="N256" s="1" t="str">
        <f t="shared" si="175"/>
        <v>010</v>
      </c>
      <c r="O256" s="1" t="str">
        <f t="shared" si="141"/>
        <v>00</v>
      </c>
      <c r="P256" s="1" t="str">
        <f t="shared" si="142"/>
        <v>S</v>
      </c>
      <c r="Q256" s="1" t="str">
        <f t="shared" si="143"/>
        <v>P</v>
      </c>
      <c r="R256" s="1" t="str">
        <f t="shared" si="144"/>
        <v>01</v>
      </c>
      <c r="S256" s="1" t="str">
        <f t="shared" si="145"/>
        <v>03</v>
      </c>
      <c r="T256" s="1" t="str">
        <f t="shared" si="146"/>
        <v>False</v>
      </c>
      <c r="U256" s="1" t="str">
        <f t="shared" si="147"/>
        <v>True</v>
      </c>
      <c r="V256" s="1" t="str">
        <f t="shared" si="176"/>
        <v>U0031310</v>
      </c>
      <c r="W256" s="1">
        <v>1</v>
      </c>
      <c r="Y256" s="1">
        <v>0</v>
      </c>
      <c r="Z256" s="1">
        <v>0</v>
      </c>
      <c r="AB256" s="1" t="str">
        <f t="shared" si="174"/>
        <v>SMU</v>
      </c>
      <c r="AD256" s="1" t="str">
        <f t="shared" si="167"/>
        <v>4520308</v>
      </c>
      <c r="AE256" s="1" t="str">
        <f t="shared" si="168"/>
        <v>QUANZHOU REORDERS FORSUN</v>
      </c>
      <c r="AG256" s="1">
        <v>0</v>
      </c>
      <c r="AH256" s="1">
        <v>0</v>
      </c>
      <c r="AI256" s="1" t="str">
        <f t="shared" si="148"/>
        <v>F06</v>
      </c>
      <c r="AJ256" s="1" t="str">
        <f t="shared" si="169"/>
        <v>WOMAN</v>
      </c>
      <c r="AK256" s="1" t="str">
        <f t="shared" si="149"/>
        <v>PA</v>
      </c>
      <c r="AP256" s="1" t="str">
        <f t="shared" si="150"/>
        <v>False</v>
      </c>
      <c r="AR256" s="1" t="str">
        <f t="shared" si="170"/>
        <v>DECOR</v>
      </c>
      <c r="AY256" s="1" t="str">
        <f t="shared" si="151"/>
        <v>PF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 t="str">
        <f t="shared" si="171"/>
        <v>R GOMMA CANVAS</v>
      </c>
      <c r="BF256" s="1" t="str">
        <f t="shared" si="152"/>
        <v>Bonis SpA</v>
      </c>
      <c r="BO256" s="1">
        <v>0</v>
      </c>
      <c r="BP256" s="1">
        <v>0</v>
      </c>
      <c r="BQ256" s="1">
        <v>0</v>
      </c>
    </row>
    <row r="257" spans="2:69" x14ac:dyDescent="0.25">
      <c r="B257" s="1">
        <v>1741</v>
      </c>
      <c r="C257" s="1" t="str">
        <f t="shared" si="165"/>
        <v>DECOR4237S7/C1</v>
      </c>
      <c r="D257" s="1" t="str">
        <f>"ODA17N00003-380"</f>
        <v>ODA17N00003-380</v>
      </c>
      <c r="E257" s="1" t="str">
        <f t="shared" si="166"/>
        <v>D12 USPA</v>
      </c>
      <c r="F257" s="1" t="str">
        <f t="shared" si="137"/>
        <v>BONIS SPA</v>
      </c>
      <c r="G257" s="1" t="str">
        <f t="shared" si="138"/>
        <v>STOCK TERRA MP</v>
      </c>
      <c r="H257" s="1" t="str">
        <f t="shared" si="164"/>
        <v>DKBL</v>
      </c>
      <c r="J257" s="1">
        <v>1</v>
      </c>
      <c r="K257" s="1">
        <f t="shared" si="162"/>
        <v>12</v>
      </c>
      <c r="L257" s="1" t="str">
        <f t="shared" si="139"/>
        <v>01</v>
      </c>
      <c r="M257" s="1" t="str">
        <f t="shared" si="140"/>
        <v>101</v>
      </c>
      <c r="N257" s="1" t="str">
        <f t="shared" si="175"/>
        <v>010</v>
      </c>
      <c r="O257" s="1" t="str">
        <f t="shared" si="141"/>
        <v>00</v>
      </c>
      <c r="P257" s="1" t="str">
        <f t="shared" si="142"/>
        <v>S</v>
      </c>
      <c r="Q257" s="1" t="str">
        <f t="shared" si="143"/>
        <v>P</v>
      </c>
      <c r="R257" s="1" t="str">
        <f t="shared" si="144"/>
        <v>01</v>
      </c>
      <c r="S257" s="1" t="str">
        <f t="shared" si="145"/>
        <v>03</v>
      </c>
      <c r="T257" s="1" t="str">
        <f t="shared" si="146"/>
        <v>False</v>
      </c>
      <c r="U257" s="1" t="str">
        <f t="shared" si="147"/>
        <v>True</v>
      </c>
      <c r="V257" s="1" t="str">
        <f t="shared" si="176"/>
        <v>U0031310</v>
      </c>
      <c r="W257" s="1">
        <v>1</v>
      </c>
      <c r="Y257" s="1">
        <v>0</v>
      </c>
      <c r="Z257" s="1">
        <v>0</v>
      </c>
      <c r="AB257" s="1" t="str">
        <f t="shared" si="174"/>
        <v>SMU</v>
      </c>
      <c r="AD257" s="1" t="str">
        <f t="shared" si="167"/>
        <v>4520308</v>
      </c>
      <c r="AE257" s="1" t="str">
        <f t="shared" si="168"/>
        <v>QUANZHOU REORDERS FORSUN</v>
      </c>
      <c r="AG257" s="1">
        <v>0</v>
      </c>
      <c r="AH257" s="1">
        <v>0</v>
      </c>
      <c r="AI257" s="1" t="str">
        <f t="shared" si="148"/>
        <v>F06</v>
      </c>
      <c r="AJ257" s="1" t="str">
        <f t="shared" si="169"/>
        <v>WOMAN</v>
      </c>
      <c r="AK257" s="1" t="str">
        <f t="shared" si="149"/>
        <v>PA</v>
      </c>
      <c r="AP257" s="1" t="str">
        <f t="shared" si="150"/>
        <v>False</v>
      </c>
      <c r="AR257" s="1" t="str">
        <f t="shared" si="170"/>
        <v>DECOR</v>
      </c>
      <c r="AY257" s="1" t="str">
        <f t="shared" si="151"/>
        <v>PF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 t="str">
        <f t="shared" si="171"/>
        <v>R GOMMA CANVAS</v>
      </c>
      <c r="BF257" s="1" t="str">
        <f t="shared" si="152"/>
        <v>Bonis SpA</v>
      </c>
      <c r="BO257" s="1">
        <v>0</v>
      </c>
      <c r="BP257" s="1">
        <v>0</v>
      </c>
      <c r="BQ257" s="1">
        <v>0</v>
      </c>
    </row>
    <row r="258" spans="2:69" x14ac:dyDescent="0.25">
      <c r="B258" s="1">
        <v>1741</v>
      </c>
      <c r="C258" s="1" t="str">
        <f t="shared" si="165"/>
        <v>DECOR4237S7/C1</v>
      </c>
      <c r="D258" s="1" t="str">
        <f>"ODA17N00003-381"</f>
        <v>ODA17N00003-381</v>
      </c>
      <c r="E258" s="1" t="str">
        <f t="shared" si="166"/>
        <v>D12 USPA</v>
      </c>
      <c r="F258" s="1" t="str">
        <f t="shared" ref="F258:F321" si="177">"BONIS SPA"</f>
        <v>BONIS SPA</v>
      </c>
      <c r="G258" s="1" t="str">
        <f t="shared" ref="G258:G321" si="178">"STOCK TERRA MP"</f>
        <v>STOCK TERRA MP</v>
      </c>
      <c r="H258" s="1" t="str">
        <f t="shared" si="164"/>
        <v>DKBL</v>
      </c>
      <c r="J258" s="1">
        <v>1</v>
      </c>
      <c r="K258" s="1">
        <f t="shared" si="162"/>
        <v>12</v>
      </c>
      <c r="L258" s="1" t="str">
        <f t="shared" ref="L258:L321" si="179">"01"</f>
        <v>01</v>
      </c>
      <c r="M258" s="1" t="str">
        <f t="shared" ref="M258:M298" si="180">"101"</f>
        <v>101</v>
      </c>
      <c r="N258" s="1" t="str">
        <f t="shared" si="175"/>
        <v>010</v>
      </c>
      <c r="O258" s="1" t="str">
        <f t="shared" ref="O258:O321" si="181">"00"</f>
        <v>00</v>
      </c>
      <c r="P258" s="1" t="str">
        <f t="shared" ref="P258:P321" si="182">"S"</f>
        <v>S</v>
      </c>
      <c r="Q258" s="1" t="str">
        <f t="shared" ref="Q258:Q321" si="183">"P"</f>
        <v>P</v>
      </c>
      <c r="R258" s="1" t="str">
        <f t="shared" ref="R258:R321" si="184">"01"</f>
        <v>01</v>
      </c>
      <c r="S258" s="1" t="str">
        <f t="shared" ref="S258:S321" si="185">"03"</f>
        <v>03</v>
      </c>
      <c r="T258" s="1" t="str">
        <f t="shared" ref="T258:T321" si="186">"False"</f>
        <v>False</v>
      </c>
      <c r="U258" s="1" t="str">
        <f t="shared" ref="U258:U321" si="187">"True"</f>
        <v>True</v>
      </c>
      <c r="V258" s="1" t="str">
        <f t="shared" si="176"/>
        <v>U0031310</v>
      </c>
      <c r="W258" s="1">
        <v>1</v>
      </c>
      <c r="Y258" s="1">
        <v>0</v>
      </c>
      <c r="Z258" s="1">
        <v>0</v>
      </c>
      <c r="AB258" s="1" t="str">
        <f t="shared" si="174"/>
        <v>SMU</v>
      </c>
      <c r="AD258" s="1" t="str">
        <f t="shared" si="167"/>
        <v>4520308</v>
      </c>
      <c r="AE258" s="1" t="str">
        <f t="shared" si="168"/>
        <v>QUANZHOU REORDERS FORSUN</v>
      </c>
      <c r="AG258" s="1">
        <v>0</v>
      </c>
      <c r="AH258" s="1">
        <v>0</v>
      </c>
      <c r="AI258" s="1" t="str">
        <f t="shared" ref="AI258:AI321" si="188">"F06"</f>
        <v>F06</v>
      </c>
      <c r="AJ258" s="1" t="str">
        <f t="shared" si="169"/>
        <v>WOMAN</v>
      </c>
      <c r="AK258" s="1" t="str">
        <f t="shared" ref="AK258:AK321" si="189">"PA"</f>
        <v>PA</v>
      </c>
      <c r="AP258" s="1" t="str">
        <f t="shared" ref="AP258:AP321" si="190">"False"</f>
        <v>False</v>
      </c>
      <c r="AR258" s="1" t="str">
        <f t="shared" si="170"/>
        <v>DECOR</v>
      </c>
      <c r="AY258" s="1" t="str">
        <f t="shared" ref="AY258:AY321" si="191">"PF"</f>
        <v>PF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 t="str">
        <f t="shared" si="171"/>
        <v>R GOMMA CANVAS</v>
      </c>
      <c r="BF258" s="1" t="str">
        <f t="shared" ref="BF258:BF321" si="192">"Bonis SpA"</f>
        <v>Bonis SpA</v>
      </c>
      <c r="BO258" s="1">
        <v>0</v>
      </c>
      <c r="BP258" s="1">
        <v>0</v>
      </c>
      <c r="BQ258" s="1">
        <v>0</v>
      </c>
    </row>
    <row r="259" spans="2:69" x14ac:dyDescent="0.25">
      <c r="B259" s="1">
        <v>1741</v>
      </c>
      <c r="C259" s="1" t="str">
        <f t="shared" si="165"/>
        <v>DECOR4237S7/C1</v>
      </c>
      <c r="D259" s="1" t="str">
        <f>"ODA17N00003-382"</f>
        <v>ODA17N00003-382</v>
      </c>
      <c r="E259" s="1" t="str">
        <f t="shared" si="166"/>
        <v>D12 USPA</v>
      </c>
      <c r="F259" s="1" t="str">
        <f t="shared" si="177"/>
        <v>BONIS SPA</v>
      </c>
      <c r="G259" s="1" t="str">
        <f t="shared" si="178"/>
        <v>STOCK TERRA MP</v>
      </c>
      <c r="H259" s="1" t="str">
        <f t="shared" si="164"/>
        <v>DKBL</v>
      </c>
      <c r="J259" s="1">
        <v>1</v>
      </c>
      <c r="K259" s="1">
        <f t="shared" si="162"/>
        <v>12</v>
      </c>
      <c r="L259" s="1" t="str">
        <f t="shared" si="179"/>
        <v>01</v>
      </c>
      <c r="M259" s="1" t="str">
        <f t="shared" si="180"/>
        <v>101</v>
      </c>
      <c r="N259" s="1" t="str">
        <f t="shared" si="175"/>
        <v>010</v>
      </c>
      <c r="O259" s="1" t="str">
        <f t="shared" si="181"/>
        <v>00</v>
      </c>
      <c r="P259" s="1" t="str">
        <f t="shared" si="182"/>
        <v>S</v>
      </c>
      <c r="Q259" s="1" t="str">
        <f t="shared" si="183"/>
        <v>P</v>
      </c>
      <c r="R259" s="1" t="str">
        <f t="shared" si="184"/>
        <v>01</v>
      </c>
      <c r="S259" s="1" t="str">
        <f t="shared" si="185"/>
        <v>03</v>
      </c>
      <c r="T259" s="1" t="str">
        <f t="shared" si="186"/>
        <v>False</v>
      </c>
      <c r="U259" s="1" t="str">
        <f t="shared" si="187"/>
        <v>True</v>
      </c>
      <c r="V259" s="1" t="str">
        <f t="shared" si="176"/>
        <v>U0031310</v>
      </c>
      <c r="W259" s="1">
        <v>1</v>
      </c>
      <c r="Y259" s="1">
        <v>0</v>
      </c>
      <c r="Z259" s="1">
        <v>0</v>
      </c>
      <c r="AB259" s="1" t="str">
        <f t="shared" si="174"/>
        <v>SMU</v>
      </c>
      <c r="AD259" s="1" t="str">
        <f t="shared" si="167"/>
        <v>4520308</v>
      </c>
      <c r="AE259" s="1" t="str">
        <f t="shared" si="168"/>
        <v>QUANZHOU REORDERS FORSUN</v>
      </c>
      <c r="AG259" s="1">
        <v>0</v>
      </c>
      <c r="AH259" s="1">
        <v>0</v>
      </c>
      <c r="AI259" s="1" t="str">
        <f t="shared" si="188"/>
        <v>F06</v>
      </c>
      <c r="AJ259" s="1" t="str">
        <f t="shared" si="169"/>
        <v>WOMAN</v>
      </c>
      <c r="AK259" s="1" t="str">
        <f t="shared" si="189"/>
        <v>PA</v>
      </c>
      <c r="AP259" s="1" t="str">
        <f t="shared" si="190"/>
        <v>False</v>
      </c>
      <c r="AR259" s="1" t="str">
        <f t="shared" si="170"/>
        <v>DECOR</v>
      </c>
      <c r="AY259" s="1" t="str">
        <f t="shared" si="191"/>
        <v>PF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 t="str">
        <f t="shared" si="171"/>
        <v>R GOMMA CANVAS</v>
      </c>
      <c r="BF259" s="1" t="str">
        <f t="shared" si="192"/>
        <v>Bonis SpA</v>
      </c>
      <c r="BO259" s="1">
        <v>0</v>
      </c>
      <c r="BP259" s="1">
        <v>0</v>
      </c>
      <c r="BQ259" s="1">
        <v>0</v>
      </c>
    </row>
    <row r="260" spans="2:69" x14ac:dyDescent="0.25">
      <c r="B260" s="1">
        <v>1741</v>
      </c>
      <c r="C260" s="1" t="str">
        <f t="shared" si="165"/>
        <v>DECOR4237S7/C1</v>
      </c>
      <c r="D260" s="1" t="str">
        <f>"ODA17N00003-384"</f>
        <v>ODA17N00003-384</v>
      </c>
      <c r="E260" s="1" t="str">
        <f t="shared" si="166"/>
        <v>D12 USPA</v>
      </c>
      <c r="F260" s="1" t="str">
        <f t="shared" si="177"/>
        <v>BONIS SPA</v>
      </c>
      <c r="G260" s="1" t="str">
        <f t="shared" si="178"/>
        <v>STOCK TERRA MP</v>
      </c>
      <c r="H260" s="1" t="str">
        <f t="shared" si="164"/>
        <v>DKBL</v>
      </c>
      <c r="J260" s="1">
        <v>1</v>
      </c>
      <c r="K260" s="1">
        <f t="shared" si="162"/>
        <v>12</v>
      </c>
      <c r="L260" s="1" t="str">
        <f t="shared" si="179"/>
        <v>01</v>
      </c>
      <c r="M260" s="1" t="str">
        <f t="shared" si="180"/>
        <v>101</v>
      </c>
      <c r="N260" s="1" t="str">
        <f t="shared" si="175"/>
        <v>010</v>
      </c>
      <c r="O260" s="1" t="str">
        <f t="shared" si="181"/>
        <v>00</v>
      </c>
      <c r="P260" s="1" t="str">
        <f t="shared" si="182"/>
        <v>S</v>
      </c>
      <c r="Q260" s="1" t="str">
        <f t="shared" si="183"/>
        <v>P</v>
      </c>
      <c r="R260" s="1" t="str">
        <f t="shared" si="184"/>
        <v>01</v>
      </c>
      <c r="S260" s="1" t="str">
        <f t="shared" si="185"/>
        <v>03</v>
      </c>
      <c r="T260" s="1" t="str">
        <f t="shared" si="186"/>
        <v>False</v>
      </c>
      <c r="U260" s="1" t="str">
        <f t="shared" si="187"/>
        <v>True</v>
      </c>
      <c r="V260" s="1" t="str">
        <f t="shared" si="176"/>
        <v>U0031310</v>
      </c>
      <c r="W260" s="1">
        <v>1</v>
      </c>
      <c r="Y260" s="1">
        <v>0</v>
      </c>
      <c r="Z260" s="1">
        <v>0</v>
      </c>
      <c r="AB260" s="1" t="str">
        <f t="shared" si="174"/>
        <v>SMU</v>
      </c>
      <c r="AD260" s="1" t="str">
        <f t="shared" si="167"/>
        <v>4520308</v>
      </c>
      <c r="AE260" s="1" t="str">
        <f t="shared" si="168"/>
        <v>QUANZHOU REORDERS FORSUN</v>
      </c>
      <c r="AG260" s="1">
        <v>0</v>
      </c>
      <c r="AH260" s="1">
        <v>0</v>
      </c>
      <c r="AI260" s="1" t="str">
        <f t="shared" si="188"/>
        <v>F06</v>
      </c>
      <c r="AJ260" s="1" t="str">
        <f t="shared" si="169"/>
        <v>WOMAN</v>
      </c>
      <c r="AK260" s="1" t="str">
        <f t="shared" si="189"/>
        <v>PA</v>
      </c>
      <c r="AP260" s="1" t="str">
        <f t="shared" si="190"/>
        <v>False</v>
      </c>
      <c r="AR260" s="1" t="str">
        <f t="shared" si="170"/>
        <v>DECOR</v>
      </c>
      <c r="AY260" s="1" t="str">
        <f t="shared" si="191"/>
        <v>PF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 t="str">
        <f t="shared" si="171"/>
        <v>R GOMMA CANVAS</v>
      </c>
      <c r="BF260" s="1" t="str">
        <f t="shared" si="192"/>
        <v>Bonis SpA</v>
      </c>
      <c r="BO260" s="1">
        <v>0</v>
      </c>
      <c r="BP260" s="1">
        <v>0</v>
      </c>
      <c r="BQ260" s="1">
        <v>0</v>
      </c>
    </row>
    <row r="261" spans="2:69" x14ac:dyDescent="0.25">
      <c r="B261" s="1">
        <v>1743</v>
      </c>
      <c r="C261" s="1" t="str">
        <f t="shared" si="165"/>
        <v>DECOR4237S7/C1</v>
      </c>
      <c r="D261" s="1" t="str">
        <f>"ODA17N00003-388"</f>
        <v>ODA17N00003-388</v>
      </c>
      <c r="E261" s="1" t="str">
        <f t="shared" si="166"/>
        <v>D12 USPA</v>
      </c>
      <c r="F261" s="1" t="str">
        <f t="shared" si="177"/>
        <v>BONIS SPA</v>
      </c>
      <c r="G261" s="1" t="str">
        <f t="shared" si="178"/>
        <v>STOCK TERRA MP</v>
      </c>
      <c r="H261" s="1" t="str">
        <f t="shared" si="164"/>
        <v>DKBL</v>
      </c>
      <c r="J261" s="1">
        <v>1</v>
      </c>
      <c r="K261" s="1">
        <f t="shared" si="162"/>
        <v>12</v>
      </c>
      <c r="L261" s="1" t="str">
        <f t="shared" si="179"/>
        <v>01</v>
      </c>
      <c r="M261" s="1" t="str">
        <f t="shared" si="180"/>
        <v>101</v>
      </c>
      <c r="N261" s="1" t="str">
        <f>"012"</f>
        <v>012</v>
      </c>
      <c r="O261" s="1" t="str">
        <f t="shared" si="181"/>
        <v>00</v>
      </c>
      <c r="P261" s="1" t="str">
        <f t="shared" si="182"/>
        <v>S</v>
      </c>
      <c r="Q261" s="1" t="str">
        <f t="shared" si="183"/>
        <v>P</v>
      </c>
      <c r="R261" s="1" t="str">
        <f t="shared" si="184"/>
        <v>01</v>
      </c>
      <c r="S261" s="1" t="str">
        <f t="shared" si="185"/>
        <v>03</v>
      </c>
      <c r="T261" s="1" t="str">
        <f t="shared" si="186"/>
        <v>False</v>
      </c>
      <c r="U261" s="1" t="str">
        <f t="shared" si="187"/>
        <v>True</v>
      </c>
      <c r="V261" s="1" t="str">
        <f>"U0031320"</f>
        <v>U0031320</v>
      </c>
      <c r="W261" s="1">
        <v>1</v>
      </c>
      <c r="Y261" s="1">
        <v>0</v>
      </c>
      <c r="Z261" s="1">
        <v>0</v>
      </c>
      <c r="AB261" s="1" t="str">
        <f t="shared" si="174"/>
        <v>SMU</v>
      </c>
      <c r="AD261" s="1" t="str">
        <f t="shared" si="167"/>
        <v>4520308</v>
      </c>
      <c r="AE261" s="1" t="str">
        <f t="shared" si="168"/>
        <v>QUANZHOU REORDERS FORSUN</v>
      </c>
      <c r="AG261" s="1">
        <v>0</v>
      </c>
      <c r="AH261" s="1">
        <v>0</v>
      </c>
      <c r="AI261" s="1" t="str">
        <f t="shared" si="188"/>
        <v>F06</v>
      </c>
      <c r="AJ261" s="1" t="str">
        <f t="shared" si="169"/>
        <v>WOMAN</v>
      </c>
      <c r="AK261" s="1" t="str">
        <f t="shared" si="189"/>
        <v>PA</v>
      </c>
      <c r="AP261" s="1" t="str">
        <f t="shared" si="190"/>
        <v>False</v>
      </c>
      <c r="AR261" s="1" t="str">
        <f t="shared" si="170"/>
        <v>DECOR</v>
      </c>
      <c r="AY261" s="1" t="str">
        <f t="shared" si="191"/>
        <v>PF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 t="str">
        <f t="shared" si="171"/>
        <v>R GOMMA CANVAS</v>
      </c>
      <c r="BF261" s="1" t="str">
        <f t="shared" si="192"/>
        <v>Bonis SpA</v>
      </c>
      <c r="BO261" s="1">
        <v>0</v>
      </c>
      <c r="BP261" s="1">
        <v>0</v>
      </c>
      <c r="BQ261" s="1">
        <v>0</v>
      </c>
    </row>
    <row r="262" spans="2:69" x14ac:dyDescent="0.25">
      <c r="B262" s="1">
        <v>1741</v>
      </c>
      <c r="C262" s="1" t="str">
        <f t="shared" si="165"/>
        <v>DECOR4237S7/C1</v>
      </c>
      <c r="D262" s="1" t="str">
        <f>"ODA17N00003-389"</f>
        <v>ODA17N00003-389</v>
      </c>
      <c r="E262" s="1" t="str">
        <f t="shared" si="166"/>
        <v>D12 USPA</v>
      </c>
      <c r="F262" s="1" t="str">
        <f t="shared" si="177"/>
        <v>BONIS SPA</v>
      </c>
      <c r="G262" s="1" t="str">
        <f t="shared" si="178"/>
        <v>STOCK TERRA MP</v>
      </c>
      <c r="H262" s="1" t="str">
        <f t="shared" si="164"/>
        <v>DKBL</v>
      </c>
      <c r="J262" s="1">
        <v>1</v>
      </c>
      <c r="K262" s="1">
        <f t="shared" si="162"/>
        <v>12</v>
      </c>
      <c r="L262" s="1" t="str">
        <f t="shared" si="179"/>
        <v>01</v>
      </c>
      <c r="M262" s="1" t="str">
        <f t="shared" si="180"/>
        <v>101</v>
      </c>
      <c r="N262" s="1" t="str">
        <f>"010"</f>
        <v>010</v>
      </c>
      <c r="O262" s="1" t="str">
        <f t="shared" si="181"/>
        <v>00</v>
      </c>
      <c r="P262" s="1" t="str">
        <f t="shared" si="182"/>
        <v>S</v>
      </c>
      <c r="Q262" s="1" t="str">
        <f t="shared" si="183"/>
        <v>P</v>
      </c>
      <c r="R262" s="1" t="str">
        <f t="shared" si="184"/>
        <v>01</v>
      </c>
      <c r="S262" s="1" t="str">
        <f t="shared" si="185"/>
        <v>03</v>
      </c>
      <c r="T262" s="1" t="str">
        <f t="shared" si="186"/>
        <v>False</v>
      </c>
      <c r="U262" s="1" t="str">
        <f t="shared" si="187"/>
        <v>True</v>
      </c>
      <c r="V262" s="1" t="str">
        <f>"U0031310"</f>
        <v>U0031310</v>
      </c>
      <c r="W262" s="1">
        <v>1</v>
      </c>
      <c r="Y262" s="1">
        <v>0</v>
      </c>
      <c r="Z262" s="1">
        <v>0</v>
      </c>
      <c r="AB262" s="1" t="str">
        <f t="shared" si="174"/>
        <v>SMU</v>
      </c>
      <c r="AD262" s="1" t="str">
        <f t="shared" si="167"/>
        <v>4520308</v>
      </c>
      <c r="AE262" s="1" t="str">
        <f t="shared" si="168"/>
        <v>QUANZHOU REORDERS FORSUN</v>
      </c>
      <c r="AG262" s="1">
        <v>0</v>
      </c>
      <c r="AH262" s="1">
        <v>0</v>
      </c>
      <c r="AI262" s="1" t="str">
        <f t="shared" si="188"/>
        <v>F06</v>
      </c>
      <c r="AJ262" s="1" t="str">
        <f t="shared" si="169"/>
        <v>WOMAN</v>
      </c>
      <c r="AK262" s="1" t="str">
        <f t="shared" si="189"/>
        <v>PA</v>
      </c>
      <c r="AP262" s="1" t="str">
        <f t="shared" si="190"/>
        <v>False</v>
      </c>
      <c r="AR262" s="1" t="str">
        <f t="shared" si="170"/>
        <v>DECOR</v>
      </c>
      <c r="AY262" s="1" t="str">
        <f t="shared" si="191"/>
        <v>PF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 t="str">
        <f t="shared" si="171"/>
        <v>R GOMMA CANVAS</v>
      </c>
      <c r="BF262" s="1" t="str">
        <f t="shared" si="192"/>
        <v>Bonis SpA</v>
      </c>
      <c r="BO262" s="1">
        <v>0</v>
      </c>
      <c r="BP262" s="1">
        <v>0</v>
      </c>
      <c r="BQ262" s="1">
        <v>0</v>
      </c>
    </row>
    <row r="263" spans="2:69" x14ac:dyDescent="0.25">
      <c r="B263" s="1">
        <v>1741</v>
      </c>
      <c r="C263" s="1" t="str">
        <f t="shared" si="165"/>
        <v>DECOR4237S7/C1</v>
      </c>
      <c r="D263" s="1" t="str">
        <f>"ODA17N00003-391"</f>
        <v>ODA17N00003-391</v>
      </c>
      <c r="E263" s="1" t="str">
        <f t="shared" si="166"/>
        <v>D12 USPA</v>
      </c>
      <c r="F263" s="1" t="str">
        <f t="shared" si="177"/>
        <v>BONIS SPA</v>
      </c>
      <c r="G263" s="1" t="str">
        <f t="shared" si="178"/>
        <v>STOCK TERRA MP</v>
      </c>
      <c r="H263" s="1" t="str">
        <f t="shared" si="164"/>
        <v>DKBL</v>
      </c>
      <c r="J263" s="1">
        <v>1</v>
      </c>
      <c r="K263" s="1">
        <f t="shared" si="162"/>
        <v>12</v>
      </c>
      <c r="L263" s="1" t="str">
        <f t="shared" si="179"/>
        <v>01</v>
      </c>
      <c r="M263" s="1" t="str">
        <f t="shared" si="180"/>
        <v>101</v>
      </c>
      <c r="N263" s="1" t="str">
        <f>"010"</f>
        <v>010</v>
      </c>
      <c r="O263" s="1" t="str">
        <f t="shared" si="181"/>
        <v>00</v>
      </c>
      <c r="P263" s="1" t="str">
        <f t="shared" si="182"/>
        <v>S</v>
      </c>
      <c r="Q263" s="1" t="str">
        <f t="shared" si="183"/>
        <v>P</v>
      </c>
      <c r="R263" s="1" t="str">
        <f t="shared" si="184"/>
        <v>01</v>
      </c>
      <c r="S263" s="1" t="str">
        <f t="shared" si="185"/>
        <v>03</v>
      </c>
      <c r="T263" s="1" t="str">
        <f t="shared" si="186"/>
        <v>False</v>
      </c>
      <c r="U263" s="1" t="str">
        <f t="shared" si="187"/>
        <v>True</v>
      </c>
      <c r="V263" s="1" t="str">
        <f>"U0031310"</f>
        <v>U0031310</v>
      </c>
      <c r="W263" s="1">
        <v>1</v>
      </c>
      <c r="Y263" s="1">
        <v>0</v>
      </c>
      <c r="Z263" s="1">
        <v>0</v>
      </c>
      <c r="AB263" s="1" t="str">
        <f t="shared" si="174"/>
        <v>SMU</v>
      </c>
      <c r="AD263" s="1" t="str">
        <f t="shared" si="167"/>
        <v>4520308</v>
      </c>
      <c r="AE263" s="1" t="str">
        <f t="shared" si="168"/>
        <v>QUANZHOU REORDERS FORSUN</v>
      </c>
      <c r="AG263" s="1">
        <v>0</v>
      </c>
      <c r="AH263" s="1">
        <v>0</v>
      </c>
      <c r="AI263" s="1" t="str">
        <f t="shared" si="188"/>
        <v>F06</v>
      </c>
      <c r="AJ263" s="1" t="str">
        <f t="shared" si="169"/>
        <v>WOMAN</v>
      </c>
      <c r="AK263" s="1" t="str">
        <f t="shared" si="189"/>
        <v>PA</v>
      </c>
      <c r="AP263" s="1" t="str">
        <f t="shared" si="190"/>
        <v>False</v>
      </c>
      <c r="AR263" s="1" t="str">
        <f t="shared" si="170"/>
        <v>DECOR</v>
      </c>
      <c r="AY263" s="1" t="str">
        <f t="shared" si="191"/>
        <v>PF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 t="str">
        <f t="shared" si="171"/>
        <v>R GOMMA CANVAS</v>
      </c>
      <c r="BF263" s="1" t="str">
        <f t="shared" si="192"/>
        <v>Bonis SpA</v>
      </c>
      <c r="BO263" s="1">
        <v>0</v>
      </c>
      <c r="BP263" s="1">
        <v>0</v>
      </c>
      <c r="BQ263" s="1">
        <v>0</v>
      </c>
    </row>
    <row r="264" spans="2:69" x14ac:dyDescent="0.25">
      <c r="B264" s="1">
        <v>1741</v>
      </c>
      <c r="C264" s="1" t="str">
        <f t="shared" si="165"/>
        <v>DECOR4237S7/C1</v>
      </c>
      <c r="D264" s="1" t="str">
        <f>"ODA17N00003-392"</f>
        <v>ODA17N00003-392</v>
      </c>
      <c r="E264" s="1" t="str">
        <f t="shared" si="166"/>
        <v>D12 USPA</v>
      </c>
      <c r="F264" s="1" t="str">
        <f t="shared" si="177"/>
        <v>BONIS SPA</v>
      </c>
      <c r="G264" s="1" t="str">
        <f t="shared" si="178"/>
        <v>STOCK TERRA MP</v>
      </c>
      <c r="H264" s="1" t="str">
        <f t="shared" si="164"/>
        <v>DKBL</v>
      </c>
      <c r="J264" s="1">
        <v>1</v>
      </c>
      <c r="K264" s="1">
        <f t="shared" si="162"/>
        <v>12</v>
      </c>
      <c r="L264" s="1" t="str">
        <f t="shared" si="179"/>
        <v>01</v>
      </c>
      <c r="M264" s="1" t="str">
        <f t="shared" si="180"/>
        <v>101</v>
      </c>
      <c r="N264" s="1" t="str">
        <f>"010"</f>
        <v>010</v>
      </c>
      <c r="O264" s="1" t="str">
        <f t="shared" si="181"/>
        <v>00</v>
      </c>
      <c r="P264" s="1" t="str">
        <f t="shared" si="182"/>
        <v>S</v>
      </c>
      <c r="Q264" s="1" t="str">
        <f t="shared" si="183"/>
        <v>P</v>
      </c>
      <c r="R264" s="1" t="str">
        <f t="shared" si="184"/>
        <v>01</v>
      </c>
      <c r="S264" s="1" t="str">
        <f t="shared" si="185"/>
        <v>03</v>
      </c>
      <c r="T264" s="1" t="str">
        <f t="shared" si="186"/>
        <v>False</v>
      </c>
      <c r="U264" s="1" t="str">
        <f t="shared" si="187"/>
        <v>True</v>
      </c>
      <c r="V264" s="1" t="str">
        <f>"U0031310"</f>
        <v>U0031310</v>
      </c>
      <c r="W264" s="1">
        <v>1</v>
      </c>
      <c r="Y264" s="1">
        <v>0</v>
      </c>
      <c r="Z264" s="1">
        <v>0</v>
      </c>
      <c r="AB264" s="1" t="str">
        <f t="shared" si="174"/>
        <v>SMU</v>
      </c>
      <c r="AD264" s="1" t="str">
        <f t="shared" si="167"/>
        <v>4520308</v>
      </c>
      <c r="AE264" s="1" t="str">
        <f t="shared" si="168"/>
        <v>QUANZHOU REORDERS FORSUN</v>
      </c>
      <c r="AG264" s="1">
        <v>0</v>
      </c>
      <c r="AH264" s="1">
        <v>0</v>
      </c>
      <c r="AI264" s="1" t="str">
        <f t="shared" si="188"/>
        <v>F06</v>
      </c>
      <c r="AJ264" s="1" t="str">
        <f t="shared" si="169"/>
        <v>WOMAN</v>
      </c>
      <c r="AK264" s="1" t="str">
        <f t="shared" si="189"/>
        <v>PA</v>
      </c>
      <c r="AP264" s="1" t="str">
        <f t="shared" si="190"/>
        <v>False</v>
      </c>
      <c r="AR264" s="1" t="str">
        <f t="shared" si="170"/>
        <v>DECOR</v>
      </c>
      <c r="AY264" s="1" t="str">
        <f t="shared" si="191"/>
        <v>PF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 t="str">
        <f t="shared" si="171"/>
        <v>R GOMMA CANVAS</v>
      </c>
      <c r="BF264" s="1" t="str">
        <f t="shared" si="192"/>
        <v>Bonis SpA</v>
      </c>
      <c r="BO264" s="1">
        <v>0</v>
      </c>
      <c r="BP264" s="1">
        <v>0</v>
      </c>
      <c r="BQ264" s="1">
        <v>0</v>
      </c>
    </row>
    <row r="265" spans="2:69" x14ac:dyDescent="0.25">
      <c r="B265" s="1">
        <v>1744</v>
      </c>
      <c r="C265" s="1" t="str">
        <f t="shared" si="165"/>
        <v>DECOR4237S7/C1</v>
      </c>
      <c r="D265" s="1" t="str">
        <f>"ODA17N00003-393"</f>
        <v>ODA17N00003-393</v>
      </c>
      <c r="E265" s="1" t="str">
        <f t="shared" si="166"/>
        <v>D12 USPA</v>
      </c>
      <c r="F265" s="1" t="str">
        <f t="shared" si="177"/>
        <v>BONIS SPA</v>
      </c>
      <c r="G265" s="1" t="str">
        <f t="shared" si="178"/>
        <v>STOCK TERRA MP</v>
      </c>
      <c r="H265" s="1" t="str">
        <f t="shared" si="164"/>
        <v>DKBL</v>
      </c>
      <c r="J265" s="1">
        <v>1</v>
      </c>
      <c r="K265" s="1">
        <f t="shared" si="162"/>
        <v>12</v>
      </c>
      <c r="L265" s="1" t="str">
        <f t="shared" si="179"/>
        <v>01</v>
      </c>
      <c r="M265" s="1" t="str">
        <f t="shared" si="180"/>
        <v>101</v>
      </c>
      <c r="N265" s="1" t="str">
        <f>"013"</f>
        <v>013</v>
      </c>
      <c r="O265" s="1" t="str">
        <f t="shared" si="181"/>
        <v>00</v>
      </c>
      <c r="P265" s="1" t="str">
        <f t="shared" si="182"/>
        <v>S</v>
      </c>
      <c r="Q265" s="1" t="str">
        <f t="shared" si="183"/>
        <v>P</v>
      </c>
      <c r="R265" s="1" t="str">
        <f t="shared" si="184"/>
        <v>01</v>
      </c>
      <c r="S265" s="1" t="str">
        <f t="shared" si="185"/>
        <v>03</v>
      </c>
      <c r="T265" s="1" t="str">
        <f t="shared" si="186"/>
        <v>False</v>
      </c>
      <c r="U265" s="1" t="str">
        <f t="shared" si="187"/>
        <v>True</v>
      </c>
      <c r="V265" s="1" t="str">
        <f>"U0023677"</f>
        <v>U0023677</v>
      </c>
      <c r="W265" s="1">
        <v>1</v>
      </c>
      <c r="Y265" s="1">
        <v>0</v>
      </c>
      <c r="Z265" s="1">
        <v>0</v>
      </c>
      <c r="AB265" s="1" t="str">
        <f t="shared" si="174"/>
        <v>SMU</v>
      </c>
      <c r="AD265" s="1" t="str">
        <f t="shared" si="167"/>
        <v>4520308</v>
      </c>
      <c r="AE265" s="1" t="str">
        <f t="shared" si="168"/>
        <v>QUANZHOU REORDERS FORSUN</v>
      </c>
      <c r="AG265" s="1">
        <v>0</v>
      </c>
      <c r="AH265" s="1">
        <v>0</v>
      </c>
      <c r="AI265" s="1" t="str">
        <f t="shared" si="188"/>
        <v>F06</v>
      </c>
      <c r="AJ265" s="1" t="str">
        <f t="shared" si="169"/>
        <v>WOMAN</v>
      </c>
      <c r="AK265" s="1" t="str">
        <f t="shared" si="189"/>
        <v>PA</v>
      </c>
      <c r="AP265" s="1" t="str">
        <f t="shared" si="190"/>
        <v>False</v>
      </c>
      <c r="AR265" s="1" t="str">
        <f t="shared" si="170"/>
        <v>DECOR</v>
      </c>
      <c r="AY265" s="1" t="str">
        <f t="shared" si="191"/>
        <v>PF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 t="str">
        <f t="shared" si="171"/>
        <v>R GOMMA CANVAS</v>
      </c>
      <c r="BF265" s="1" t="str">
        <f t="shared" si="192"/>
        <v>Bonis SpA</v>
      </c>
      <c r="BO265" s="1">
        <v>0</v>
      </c>
      <c r="BP265" s="1">
        <v>0</v>
      </c>
      <c r="BQ265" s="1">
        <v>0</v>
      </c>
    </row>
    <row r="266" spans="2:69" x14ac:dyDescent="0.25">
      <c r="B266" s="1">
        <v>1741</v>
      </c>
      <c r="C266" s="1" t="str">
        <f t="shared" si="165"/>
        <v>DECOR4237S7/C1</v>
      </c>
      <c r="D266" s="1" t="str">
        <f>"ODA17N00003-395"</f>
        <v>ODA17N00003-395</v>
      </c>
      <c r="E266" s="1" t="str">
        <f t="shared" si="166"/>
        <v>D12 USPA</v>
      </c>
      <c r="F266" s="1" t="str">
        <f t="shared" si="177"/>
        <v>BONIS SPA</v>
      </c>
      <c r="G266" s="1" t="str">
        <f t="shared" si="178"/>
        <v>STOCK TERRA MP</v>
      </c>
      <c r="H266" s="1" t="str">
        <f t="shared" si="164"/>
        <v>DKBL</v>
      </c>
      <c r="J266" s="1">
        <v>1</v>
      </c>
      <c r="K266" s="1">
        <f t="shared" si="162"/>
        <v>12</v>
      </c>
      <c r="L266" s="1" t="str">
        <f t="shared" si="179"/>
        <v>01</v>
      </c>
      <c r="M266" s="1" t="str">
        <f t="shared" si="180"/>
        <v>101</v>
      </c>
      <c r="N266" s="1" t="str">
        <f>"010"</f>
        <v>010</v>
      </c>
      <c r="O266" s="1" t="str">
        <f t="shared" si="181"/>
        <v>00</v>
      </c>
      <c r="P266" s="1" t="str">
        <f t="shared" si="182"/>
        <v>S</v>
      </c>
      <c r="Q266" s="1" t="str">
        <f t="shared" si="183"/>
        <v>P</v>
      </c>
      <c r="R266" s="1" t="str">
        <f t="shared" si="184"/>
        <v>01</v>
      </c>
      <c r="S266" s="1" t="str">
        <f t="shared" si="185"/>
        <v>03</v>
      </c>
      <c r="T266" s="1" t="str">
        <f t="shared" si="186"/>
        <v>False</v>
      </c>
      <c r="U266" s="1" t="str">
        <f t="shared" si="187"/>
        <v>True</v>
      </c>
      <c r="V266" s="1" t="str">
        <f>"U0031310"</f>
        <v>U0031310</v>
      </c>
      <c r="W266" s="1">
        <v>1</v>
      </c>
      <c r="Y266" s="1">
        <v>0</v>
      </c>
      <c r="Z266" s="1">
        <v>0</v>
      </c>
      <c r="AB266" s="1" t="str">
        <f t="shared" si="174"/>
        <v>SMU</v>
      </c>
      <c r="AD266" s="1" t="str">
        <f t="shared" si="167"/>
        <v>4520308</v>
      </c>
      <c r="AE266" s="1" t="str">
        <f t="shared" si="168"/>
        <v>QUANZHOU REORDERS FORSUN</v>
      </c>
      <c r="AG266" s="1">
        <v>0</v>
      </c>
      <c r="AH266" s="1">
        <v>0</v>
      </c>
      <c r="AI266" s="1" t="str">
        <f t="shared" si="188"/>
        <v>F06</v>
      </c>
      <c r="AJ266" s="1" t="str">
        <f t="shared" si="169"/>
        <v>WOMAN</v>
      </c>
      <c r="AK266" s="1" t="str">
        <f t="shared" si="189"/>
        <v>PA</v>
      </c>
      <c r="AP266" s="1" t="str">
        <f t="shared" si="190"/>
        <v>False</v>
      </c>
      <c r="AR266" s="1" t="str">
        <f t="shared" si="170"/>
        <v>DECOR</v>
      </c>
      <c r="AY266" s="1" t="str">
        <f t="shared" si="191"/>
        <v>PF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 t="str">
        <f t="shared" si="171"/>
        <v>R GOMMA CANVAS</v>
      </c>
      <c r="BF266" s="1" t="str">
        <f t="shared" si="192"/>
        <v>Bonis SpA</v>
      </c>
      <c r="BO266" s="1">
        <v>0</v>
      </c>
      <c r="BP266" s="1">
        <v>0</v>
      </c>
      <c r="BQ266" s="1">
        <v>0</v>
      </c>
    </row>
    <row r="267" spans="2:69" x14ac:dyDescent="0.25">
      <c r="B267" s="1">
        <v>1735</v>
      </c>
      <c r="C267" s="1" t="str">
        <f>"TOMAS4026S7/L1"</f>
        <v>TOMAS4026S7/L1</v>
      </c>
      <c r="D267" s="1" t="str">
        <f>"ODV16N02270-100"</f>
        <v>ODV16N02270-100</v>
      </c>
      <c r="E267" s="1" t="str">
        <f>"C12 USPA"</f>
        <v>C12 USPA</v>
      </c>
      <c r="F267" s="1" t="str">
        <f t="shared" si="177"/>
        <v>BONIS SPA</v>
      </c>
      <c r="G267" s="1" t="str">
        <f t="shared" si="178"/>
        <v>STOCK TERRA MP</v>
      </c>
      <c r="H267" s="1" t="str">
        <f>"BRW"</f>
        <v>BRW</v>
      </c>
      <c r="J267" s="1">
        <v>1</v>
      </c>
      <c r="K267" s="1">
        <f t="shared" si="162"/>
        <v>12</v>
      </c>
      <c r="L267" s="1" t="str">
        <f t="shared" si="179"/>
        <v>01</v>
      </c>
      <c r="M267" s="1" t="str">
        <f t="shared" si="180"/>
        <v>101</v>
      </c>
      <c r="N267" s="1" t="str">
        <f>"004"</f>
        <v>004</v>
      </c>
      <c r="O267" s="1" t="str">
        <f t="shared" si="181"/>
        <v>00</v>
      </c>
      <c r="P267" s="1" t="str">
        <f t="shared" si="182"/>
        <v>S</v>
      </c>
      <c r="Q267" s="1" t="str">
        <f t="shared" si="183"/>
        <v>P</v>
      </c>
      <c r="R267" s="1" t="str">
        <f t="shared" si="184"/>
        <v>01</v>
      </c>
      <c r="S267" s="1" t="str">
        <f t="shared" si="185"/>
        <v>03</v>
      </c>
      <c r="T267" s="1" t="str">
        <f t="shared" si="186"/>
        <v>False</v>
      </c>
      <c r="U267" s="1" t="str">
        <f t="shared" si="187"/>
        <v>True</v>
      </c>
      <c r="V267" s="1" t="str">
        <f>"U0028015"</f>
        <v>U0028015</v>
      </c>
      <c r="W267" s="1">
        <v>1</v>
      </c>
      <c r="Y267" s="1">
        <v>0</v>
      </c>
      <c r="Z267" s="1">
        <v>0</v>
      </c>
      <c r="AG267" s="1">
        <v>0</v>
      </c>
      <c r="AH267" s="1">
        <v>0</v>
      </c>
      <c r="AI267" s="1" t="str">
        <f t="shared" si="188"/>
        <v>F06</v>
      </c>
      <c r="AJ267" s="1" t="str">
        <f>"MAN"</f>
        <v>MAN</v>
      </c>
      <c r="AK267" s="1" t="str">
        <f t="shared" si="189"/>
        <v>PA</v>
      </c>
      <c r="AP267" s="1" t="str">
        <f t="shared" si="190"/>
        <v>False</v>
      </c>
      <c r="AR267" s="1" t="str">
        <f>"TOMAS"</f>
        <v>TOMAS</v>
      </c>
      <c r="AY267" s="1" t="str">
        <f t="shared" si="191"/>
        <v>PF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 t="str">
        <f>"GERO TOMAS LEATHER LUDVIG"</f>
        <v>GERO TOMAS LEATHER LUDVIG</v>
      </c>
      <c r="BF267" s="1" t="str">
        <f t="shared" si="192"/>
        <v>Bonis SpA</v>
      </c>
      <c r="BO267" s="1">
        <v>0</v>
      </c>
      <c r="BP267" s="1">
        <v>0</v>
      </c>
      <c r="BQ267" s="1">
        <v>0</v>
      </c>
    </row>
    <row r="268" spans="2:69" x14ac:dyDescent="0.25">
      <c r="B268" s="1">
        <v>1735</v>
      </c>
      <c r="C268" s="1" t="str">
        <f>"TOMAS4026S7/L1"</f>
        <v>TOMAS4026S7/L1</v>
      </c>
      <c r="D268" s="1" t="str">
        <f>"ODV16N02270-108"</f>
        <v>ODV16N02270-108</v>
      </c>
      <c r="E268" s="1" t="str">
        <f>"C12 USPA"</f>
        <v>C12 USPA</v>
      </c>
      <c r="F268" s="1" t="str">
        <f t="shared" si="177"/>
        <v>BONIS SPA</v>
      </c>
      <c r="G268" s="1" t="str">
        <f t="shared" si="178"/>
        <v>STOCK TERRA MP</v>
      </c>
      <c r="H268" s="1" t="str">
        <f>"BRW"</f>
        <v>BRW</v>
      </c>
      <c r="J268" s="1">
        <v>1</v>
      </c>
      <c r="K268" s="1">
        <f t="shared" si="162"/>
        <v>12</v>
      </c>
      <c r="L268" s="1" t="str">
        <f t="shared" si="179"/>
        <v>01</v>
      </c>
      <c r="M268" s="1" t="str">
        <f t="shared" si="180"/>
        <v>101</v>
      </c>
      <c r="N268" s="1" t="str">
        <f>"004"</f>
        <v>004</v>
      </c>
      <c r="O268" s="1" t="str">
        <f t="shared" si="181"/>
        <v>00</v>
      </c>
      <c r="P268" s="1" t="str">
        <f t="shared" si="182"/>
        <v>S</v>
      </c>
      <c r="Q268" s="1" t="str">
        <f t="shared" si="183"/>
        <v>P</v>
      </c>
      <c r="R268" s="1" t="str">
        <f t="shared" si="184"/>
        <v>01</v>
      </c>
      <c r="S268" s="1" t="str">
        <f t="shared" si="185"/>
        <v>03</v>
      </c>
      <c r="T268" s="1" t="str">
        <f t="shared" si="186"/>
        <v>False</v>
      </c>
      <c r="U268" s="1" t="str">
        <f t="shared" si="187"/>
        <v>True</v>
      </c>
      <c r="V268" s="1" t="str">
        <f>"U0028015"</f>
        <v>U0028015</v>
      </c>
      <c r="W268" s="1">
        <v>1</v>
      </c>
      <c r="Y268" s="1">
        <v>0</v>
      </c>
      <c r="Z268" s="1">
        <v>0</v>
      </c>
      <c r="AG268" s="1">
        <v>0</v>
      </c>
      <c r="AH268" s="1">
        <v>0</v>
      </c>
      <c r="AI268" s="1" t="str">
        <f t="shared" si="188"/>
        <v>F06</v>
      </c>
      <c r="AJ268" s="1" t="str">
        <f>"MAN"</f>
        <v>MAN</v>
      </c>
      <c r="AK268" s="1" t="str">
        <f t="shared" si="189"/>
        <v>PA</v>
      </c>
      <c r="AP268" s="1" t="str">
        <f t="shared" si="190"/>
        <v>False</v>
      </c>
      <c r="AR268" s="1" t="str">
        <f>"TOMAS"</f>
        <v>TOMAS</v>
      </c>
      <c r="AY268" s="1" t="str">
        <f t="shared" si="191"/>
        <v>PF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 t="str">
        <f>"GERO TOMAS LEATHER LUDVIG"</f>
        <v>GERO TOMAS LEATHER LUDVIG</v>
      </c>
      <c r="BF268" s="1" t="str">
        <f t="shared" si="192"/>
        <v>Bonis SpA</v>
      </c>
      <c r="BO268" s="1">
        <v>0</v>
      </c>
      <c r="BP268" s="1">
        <v>0</v>
      </c>
      <c r="BQ268" s="1">
        <v>0</v>
      </c>
    </row>
    <row r="269" spans="2:69" x14ac:dyDescent="0.25">
      <c r="B269" s="1">
        <v>1734</v>
      </c>
      <c r="C269" s="1" t="str">
        <f>"ELDEW7198S7/Y1"</f>
        <v>ELDEW7198S7/Y1</v>
      </c>
      <c r="D269" s="1" t="str">
        <f>"ODV16N02274-039"</f>
        <v>ODV16N02274-039</v>
      </c>
      <c r="E269" s="1" t="str">
        <f>"D12 USPA"</f>
        <v>D12 USPA</v>
      </c>
      <c r="F269" s="1" t="str">
        <f t="shared" si="177"/>
        <v>BONIS SPA</v>
      </c>
      <c r="G269" s="1" t="str">
        <f t="shared" si="178"/>
        <v>STOCK TERRA MP</v>
      </c>
      <c r="H269" s="1" t="str">
        <f>"WHI-GOLD"</f>
        <v>WHI-GOLD</v>
      </c>
      <c r="J269" s="1">
        <v>1</v>
      </c>
      <c r="K269" s="1">
        <f t="shared" si="162"/>
        <v>12</v>
      </c>
      <c r="L269" s="1" t="str">
        <f t="shared" si="179"/>
        <v>01</v>
      </c>
      <c r="M269" s="1" t="str">
        <f t="shared" si="180"/>
        <v>101</v>
      </c>
      <c r="N269" s="1" t="str">
        <f>"003"</f>
        <v>003</v>
      </c>
      <c r="O269" s="1" t="str">
        <f t="shared" si="181"/>
        <v>00</v>
      </c>
      <c r="P269" s="1" t="str">
        <f t="shared" si="182"/>
        <v>S</v>
      </c>
      <c r="Q269" s="1" t="str">
        <f t="shared" si="183"/>
        <v>P</v>
      </c>
      <c r="R269" s="1" t="str">
        <f t="shared" si="184"/>
        <v>01</v>
      </c>
      <c r="S269" s="1" t="str">
        <f t="shared" si="185"/>
        <v>03</v>
      </c>
      <c r="T269" s="1" t="str">
        <f t="shared" si="186"/>
        <v>False</v>
      </c>
      <c r="U269" s="1" t="str">
        <f t="shared" si="187"/>
        <v>True</v>
      </c>
      <c r="V269" s="1" t="str">
        <f>"U0023945"</f>
        <v>U0023945</v>
      </c>
      <c r="W269" s="1">
        <v>1</v>
      </c>
      <c r="Y269" s="1">
        <v>0</v>
      </c>
      <c r="Z269" s="1">
        <v>0</v>
      </c>
      <c r="AG269" s="1">
        <v>0</v>
      </c>
      <c r="AH269" s="1">
        <v>0</v>
      </c>
      <c r="AI269" s="1" t="str">
        <f t="shared" si="188"/>
        <v>F06</v>
      </c>
      <c r="AJ269" s="1" t="str">
        <f>"WOMAN"</f>
        <v>WOMAN</v>
      </c>
      <c r="AK269" s="1" t="str">
        <f t="shared" si="189"/>
        <v>PA</v>
      </c>
      <c r="AP269" s="1" t="str">
        <f t="shared" si="190"/>
        <v>False</v>
      </c>
      <c r="AR269" s="1" t="str">
        <f>"ELDEW"</f>
        <v>ELDEW</v>
      </c>
      <c r="AY269" s="1" t="str">
        <f t="shared" si="191"/>
        <v>PF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 t="str">
        <f>"MMA SINTETICO art.OLMO"</f>
        <v>MMA SINTETICO art.OLMO</v>
      </c>
      <c r="BF269" s="1" t="str">
        <f t="shared" si="192"/>
        <v>Bonis SpA</v>
      </c>
      <c r="BO269" s="1">
        <v>0</v>
      </c>
      <c r="BP269" s="1">
        <v>0</v>
      </c>
      <c r="BQ269" s="1">
        <v>0</v>
      </c>
    </row>
    <row r="270" spans="2:69" x14ac:dyDescent="0.25">
      <c r="B270" s="1">
        <v>1734</v>
      </c>
      <c r="C270" s="1" t="str">
        <f>"ELDEW7198S7/Y1"</f>
        <v>ELDEW7198S7/Y1</v>
      </c>
      <c r="D270" s="1" t="str">
        <f>"ODV16N02274-040"</f>
        <v>ODV16N02274-040</v>
      </c>
      <c r="E270" s="1" t="str">
        <f>"D12 USPA"</f>
        <v>D12 USPA</v>
      </c>
      <c r="F270" s="1" t="str">
        <f t="shared" si="177"/>
        <v>BONIS SPA</v>
      </c>
      <c r="G270" s="1" t="str">
        <f t="shared" si="178"/>
        <v>STOCK TERRA MP</v>
      </c>
      <c r="H270" s="1" t="str">
        <f>"WHI-GOLD"</f>
        <v>WHI-GOLD</v>
      </c>
      <c r="J270" s="1">
        <v>1</v>
      </c>
      <c r="K270" s="1">
        <f t="shared" si="162"/>
        <v>12</v>
      </c>
      <c r="L270" s="1" t="str">
        <f t="shared" si="179"/>
        <v>01</v>
      </c>
      <c r="M270" s="1" t="str">
        <f t="shared" si="180"/>
        <v>101</v>
      </c>
      <c r="N270" s="1" t="str">
        <f>"003"</f>
        <v>003</v>
      </c>
      <c r="O270" s="1" t="str">
        <f t="shared" si="181"/>
        <v>00</v>
      </c>
      <c r="P270" s="1" t="str">
        <f t="shared" si="182"/>
        <v>S</v>
      </c>
      <c r="Q270" s="1" t="str">
        <f t="shared" si="183"/>
        <v>P</v>
      </c>
      <c r="R270" s="1" t="str">
        <f t="shared" si="184"/>
        <v>01</v>
      </c>
      <c r="S270" s="1" t="str">
        <f t="shared" si="185"/>
        <v>03</v>
      </c>
      <c r="T270" s="1" t="str">
        <f t="shared" si="186"/>
        <v>False</v>
      </c>
      <c r="U270" s="1" t="str">
        <f t="shared" si="187"/>
        <v>True</v>
      </c>
      <c r="V270" s="1" t="str">
        <f>"U0023945"</f>
        <v>U0023945</v>
      </c>
      <c r="W270" s="1">
        <v>1</v>
      </c>
      <c r="Y270" s="1">
        <v>0</v>
      </c>
      <c r="Z270" s="1">
        <v>0</v>
      </c>
      <c r="AG270" s="1">
        <v>0</v>
      </c>
      <c r="AH270" s="1">
        <v>0</v>
      </c>
      <c r="AI270" s="1" t="str">
        <f t="shared" si="188"/>
        <v>F06</v>
      </c>
      <c r="AJ270" s="1" t="str">
        <f>"WOMAN"</f>
        <v>WOMAN</v>
      </c>
      <c r="AK270" s="1" t="str">
        <f t="shared" si="189"/>
        <v>PA</v>
      </c>
      <c r="AP270" s="1" t="str">
        <f t="shared" si="190"/>
        <v>False</v>
      </c>
      <c r="AR270" s="1" t="str">
        <f>"ELDEW"</f>
        <v>ELDEW</v>
      </c>
      <c r="AY270" s="1" t="str">
        <f t="shared" si="191"/>
        <v>PF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 t="str">
        <f>"MMA SINTETICO art.OLMO"</f>
        <v>MMA SINTETICO art.OLMO</v>
      </c>
      <c r="BF270" s="1" t="str">
        <f t="shared" si="192"/>
        <v>Bonis SpA</v>
      </c>
      <c r="BO270" s="1">
        <v>0</v>
      </c>
      <c r="BP270" s="1">
        <v>0</v>
      </c>
      <c r="BQ270" s="1">
        <v>0</v>
      </c>
    </row>
    <row r="271" spans="2:69" x14ac:dyDescent="0.25">
      <c r="B271" s="1">
        <v>1736</v>
      </c>
      <c r="C271" s="1" t="str">
        <f>"ELDEW7198S7/Y1"</f>
        <v>ELDEW7198S7/Y1</v>
      </c>
      <c r="D271" s="1" t="str">
        <f>"ODV16N02274-059"</f>
        <v>ODV16N02274-059</v>
      </c>
      <c r="E271" s="1" t="str">
        <f>"D12 USPA"</f>
        <v>D12 USPA</v>
      </c>
      <c r="F271" s="1" t="str">
        <f t="shared" si="177"/>
        <v>BONIS SPA</v>
      </c>
      <c r="G271" s="1" t="str">
        <f t="shared" si="178"/>
        <v>STOCK TERRA MP</v>
      </c>
      <c r="H271" s="1" t="str">
        <f>"WHI-GOLD"</f>
        <v>WHI-GOLD</v>
      </c>
      <c r="J271" s="1">
        <v>1</v>
      </c>
      <c r="K271" s="1">
        <f t="shared" si="162"/>
        <v>12</v>
      </c>
      <c r="L271" s="1" t="str">
        <f t="shared" si="179"/>
        <v>01</v>
      </c>
      <c r="M271" s="1" t="str">
        <f t="shared" si="180"/>
        <v>101</v>
      </c>
      <c r="N271" s="1" t="str">
        <f>"005"</f>
        <v>005</v>
      </c>
      <c r="O271" s="1" t="str">
        <f t="shared" si="181"/>
        <v>00</v>
      </c>
      <c r="P271" s="1" t="str">
        <f t="shared" si="182"/>
        <v>S</v>
      </c>
      <c r="Q271" s="1" t="str">
        <f t="shared" si="183"/>
        <v>P</v>
      </c>
      <c r="R271" s="1" t="str">
        <f t="shared" si="184"/>
        <v>01</v>
      </c>
      <c r="S271" s="1" t="str">
        <f t="shared" si="185"/>
        <v>03</v>
      </c>
      <c r="T271" s="1" t="str">
        <f t="shared" si="186"/>
        <v>False</v>
      </c>
      <c r="U271" s="1" t="str">
        <f t="shared" si="187"/>
        <v>True</v>
      </c>
      <c r="V271" s="1" t="str">
        <f>"U0024335"</f>
        <v>U0024335</v>
      </c>
      <c r="W271" s="1">
        <v>1</v>
      </c>
      <c r="Y271" s="1">
        <v>0</v>
      </c>
      <c r="Z271" s="1">
        <v>0</v>
      </c>
      <c r="AG271" s="1">
        <v>0</v>
      </c>
      <c r="AH271" s="1">
        <v>0</v>
      </c>
      <c r="AI271" s="1" t="str">
        <f t="shared" si="188"/>
        <v>F06</v>
      </c>
      <c r="AJ271" s="1" t="str">
        <f>"WOMAN"</f>
        <v>WOMAN</v>
      </c>
      <c r="AK271" s="1" t="str">
        <f t="shared" si="189"/>
        <v>PA</v>
      </c>
      <c r="AP271" s="1" t="str">
        <f t="shared" si="190"/>
        <v>False</v>
      </c>
      <c r="AR271" s="1" t="str">
        <f>"ELDEW"</f>
        <v>ELDEW</v>
      </c>
      <c r="AY271" s="1" t="str">
        <f t="shared" si="191"/>
        <v>PF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 t="str">
        <f>"MMA SINTETICO art.OLMO"</f>
        <v>MMA SINTETICO art.OLMO</v>
      </c>
      <c r="BF271" s="1" t="str">
        <f t="shared" si="192"/>
        <v>Bonis SpA</v>
      </c>
      <c r="BO271" s="1">
        <v>0</v>
      </c>
      <c r="BP271" s="1">
        <v>0</v>
      </c>
      <c r="BQ271" s="1">
        <v>0</v>
      </c>
    </row>
    <row r="272" spans="2:69" x14ac:dyDescent="0.25">
      <c r="B272" s="1">
        <v>1736</v>
      </c>
      <c r="C272" s="1" t="str">
        <f>"ELDEW7198S7/Y1"</f>
        <v>ELDEW7198S7/Y1</v>
      </c>
      <c r="D272" s="1" t="str">
        <f>"ODV16N02274-060"</f>
        <v>ODV16N02274-060</v>
      </c>
      <c r="E272" s="1" t="str">
        <f>"D12 USPA"</f>
        <v>D12 USPA</v>
      </c>
      <c r="F272" s="1" t="str">
        <f t="shared" si="177"/>
        <v>BONIS SPA</v>
      </c>
      <c r="G272" s="1" t="str">
        <f t="shared" si="178"/>
        <v>STOCK TERRA MP</v>
      </c>
      <c r="H272" s="1" t="str">
        <f>"WHI-GOLD"</f>
        <v>WHI-GOLD</v>
      </c>
      <c r="J272" s="1">
        <v>1</v>
      </c>
      <c r="K272" s="1">
        <f t="shared" si="162"/>
        <v>12</v>
      </c>
      <c r="L272" s="1" t="str">
        <f t="shared" si="179"/>
        <v>01</v>
      </c>
      <c r="M272" s="1" t="str">
        <f t="shared" si="180"/>
        <v>101</v>
      </c>
      <c r="N272" s="1" t="str">
        <f>"005"</f>
        <v>005</v>
      </c>
      <c r="O272" s="1" t="str">
        <f t="shared" si="181"/>
        <v>00</v>
      </c>
      <c r="P272" s="1" t="str">
        <f t="shared" si="182"/>
        <v>S</v>
      </c>
      <c r="Q272" s="1" t="str">
        <f t="shared" si="183"/>
        <v>P</v>
      </c>
      <c r="R272" s="1" t="str">
        <f t="shared" si="184"/>
        <v>01</v>
      </c>
      <c r="S272" s="1" t="str">
        <f t="shared" si="185"/>
        <v>03</v>
      </c>
      <c r="T272" s="1" t="str">
        <f t="shared" si="186"/>
        <v>False</v>
      </c>
      <c r="U272" s="1" t="str">
        <f t="shared" si="187"/>
        <v>True</v>
      </c>
      <c r="V272" s="1" t="str">
        <f>"U0024335"</f>
        <v>U0024335</v>
      </c>
      <c r="W272" s="1">
        <v>1</v>
      </c>
      <c r="Y272" s="1">
        <v>0</v>
      </c>
      <c r="Z272" s="1">
        <v>0</v>
      </c>
      <c r="AG272" s="1">
        <v>0</v>
      </c>
      <c r="AH272" s="1">
        <v>0</v>
      </c>
      <c r="AI272" s="1" t="str">
        <f t="shared" si="188"/>
        <v>F06</v>
      </c>
      <c r="AJ272" s="1" t="str">
        <f>"WOMAN"</f>
        <v>WOMAN</v>
      </c>
      <c r="AK272" s="1" t="str">
        <f t="shared" si="189"/>
        <v>PA</v>
      </c>
      <c r="AP272" s="1" t="str">
        <f t="shared" si="190"/>
        <v>False</v>
      </c>
      <c r="AR272" s="1" t="str">
        <f>"ELDEW"</f>
        <v>ELDEW</v>
      </c>
      <c r="AY272" s="1" t="str">
        <f t="shared" si="191"/>
        <v>PF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 t="str">
        <f>"MMA SINTETICO art.OLMO"</f>
        <v>MMA SINTETICO art.OLMO</v>
      </c>
      <c r="BF272" s="1" t="str">
        <f t="shared" si="192"/>
        <v>Bonis SpA</v>
      </c>
      <c r="BO272" s="1">
        <v>0</v>
      </c>
      <c r="BP272" s="1">
        <v>0</v>
      </c>
      <c r="BQ272" s="1">
        <v>0</v>
      </c>
    </row>
    <row r="273" spans="2:69" x14ac:dyDescent="0.25">
      <c r="B273" s="1">
        <v>1736</v>
      </c>
      <c r="C273" s="1" t="str">
        <f t="shared" ref="C273:C278" si="193">"TOMAS4026S7E/S2"</f>
        <v>TOMAS4026S7E/S2</v>
      </c>
      <c r="D273" s="1" t="str">
        <f>"ODV16N02275-010"</f>
        <v>ODV16N02275-010</v>
      </c>
      <c r="E273" s="1" t="str">
        <f>"A8 USPA"</f>
        <v>A8 USPA</v>
      </c>
      <c r="F273" s="1" t="str">
        <f t="shared" si="177"/>
        <v>BONIS SPA</v>
      </c>
      <c r="G273" s="1" t="str">
        <f t="shared" si="178"/>
        <v>STOCK TERRA MP</v>
      </c>
      <c r="H273" s="1" t="str">
        <f>"BLU"</f>
        <v>BLU</v>
      </c>
      <c r="J273" s="1">
        <v>1</v>
      </c>
      <c r="K273" s="1">
        <f>8*J273</f>
        <v>8</v>
      </c>
      <c r="L273" s="1" t="str">
        <f t="shared" si="179"/>
        <v>01</v>
      </c>
      <c r="M273" s="1" t="str">
        <f t="shared" si="180"/>
        <v>101</v>
      </c>
      <c r="N273" s="1" t="str">
        <f>"005"</f>
        <v>005</v>
      </c>
      <c r="O273" s="1" t="str">
        <f t="shared" si="181"/>
        <v>00</v>
      </c>
      <c r="P273" s="1" t="str">
        <f t="shared" si="182"/>
        <v>S</v>
      </c>
      <c r="Q273" s="1" t="str">
        <f t="shared" si="183"/>
        <v>P</v>
      </c>
      <c r="R273" s="1" t="str">
        <f t="shared" si="184"/>
        <v>01</v>
      </c>
      <c r="S273" s="1" t="str">
        <f t="shared" si="185"/>
        <v>03</v>
      </c>
      <c r="T273" s="1" t="str">
        <f t="shared" si="186"/>
        <v>False</v>
      </c>
      <c r="U273" s="1" t="str">
        <f t="shared" si="187"/>
        <v>True</v>
      </c>
      <c r="V273" s="1" t="str">
        <f>"U0024335"</f>
        <v>U0024335</v>
      </c>
      <c r="W273" s="1">
        <v>1</v>
      </c>
      <c r="Y273" s="1">
        <v>0</v>
      </c>
      <c r="Z273" s="1">
        <v>0</v>
      </c>
      <c r="AB273" s="1" t="str">
        <f t="shared" ref="AB273:AB298" si="194">"ECOM"</f>
        <v>ECOM</v>
      </c>
      <c r="AG273" s="1">
        <v>0</v>
      </c>
      <c r="AH273" s="1">
        <v>0</v>
      </c>
      <c r="AI273" s="1" t="str">
        <f t="shared" si="188"/>
        <v>F06</v>
      </c>
      <c r="AJ273" s="1" t="str">
        <f t="shared" ref="AJ273:AJ278" si="195">"MAN"</f>
        <v>MAN</v>
      </c>
      <c r="AK273" s="1" t="str">
        <f t="shared" si="189"/>
        <v>PA</v>
      </c>
      <c r="AP273" s="1" t="str">
        <f t="shared" si="190"/>
        <v>False</v>
      </c>
      <c r="AR273" s="1" t="str">
        <f t="shared" ref="AR273:AR278" si="196">"TOMAS"</f>
        <v>TOMAS</v>
      </c>
      <c r="AY273" s="1" t="str">
        <f t="shared" si="191"/>
        <v>PF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 t="str">
        <f t="shared" ref="BE273:BE278" si="197">"GERO TOMAS SUEDE x sfoderato"</f>
        <v>GERO TOMAS SUEDE x sfoderato</v>
      </c>
      <c r="BF273" s="1" t="str">
        <f t="shared" si="192"/>
        <v>Bonis SpA</v>
      </c>
      <c r="BO273" s="1">
        <v>0</v>
      </c>
      <c r="BP273" s="1">
        <v>0</v>
      </c>
      <c r="BQ273" s="1">
        <v>0</v>
      </c>
    </row>
    <row r="274" spans="2:69" x14ac:dyDescent="0.25">
      <c r="B274" s="1">
        <v>1739</v>
      </c>
      <c r="C274" s="1" t="str">
        <f t="shared" si="193"/>
        <v>TOMAS4026S7E/S2</v>
      </c>
      <c r="D274" s="1" t="str">
        <f>"ODV16N02275-023"</f>
        <v>ODV16N02275-023</v>
      </c>
      <c r="E274" s="1" t="str">
        <f>"C12 USPA"</f>
        <v>C12 USPA</v>
      </c>
      <c r="F274" s="1" t="str">
        <f t="shared" si="177"/>
        <v>BONIS SPA</v>
      </c>
      <c r="G274" s="1" t="str">
        <f t="shared" si="178"/>
        <v>STOCK TERRA MP</v>
      </c>
      <c r="H274" s="1" t="str">
        <f>"BLU"</f>
        <v>BLU</v>
      </c>
      <c r="J274" s="1">
        <v>1</v>
      </c>
      <c r="K274" s="1">
        <f t="shared" ref="K274:K277" si="198">12*J274</f>
        <v>12</v>
      </c>
      <c r="L274" s="1" t="str">
        <f t="shared" si="179"/>
        <v>01</v>
      </c>
      <c r="M274" s="1" t="str">
        <f t="shared" si="180"/>
        <v>101</v>
      </c>
      <c r="N274" s="1" t="str">
        <f>"008"</f>
        <v>008</v>
      </c>
      <c r="O274" s="1" t="str">
        <f t="shared" si="181"/>
        <v>00</v>
      </c>
      <c r="P274" s="1" t="str">
        <f t="shared" si="182"/>
        <v>S</v>
      </c>
      <c r="Q274" s="1" t="str">
        <f t="shared" si="183"/>
        <v>P</v>
      </c>
      <c r="R274" s="1" t="str">
        <f t="shared" si="184"/>
        <v>01</v>
      </c>
      <c r="S274" s="1" t="str">
        <f t="shared" si="185"/>
        <v>03</v>
      </c>
      <c r="T274" s="1" t="str">
        <f t="shared" si="186"/>
        <v>False</v>
      </c>
      <c r="U274" s="1" t="str">
        <f t="shared" si="187"/>
        <v>True</v>
      </c>
      <c r="V274" s="1" t="str">
        <f>"U0023984"</f>
        <v>U0023984</v>
      </c>
      <c r="W274" s="1">
        <v>1</v>
      </c>
      <c r="Y274" s="1">
        <v>0</v>
      </c>
      <c r="Z274" s="1">
        <v>0</v>
      </c>
      <c r="AB274" s="1" t="str">
        <f t="shared" si="194"/>
        <v>ECOM</v>
      </c>
      <c r="AG274" s="1">
        <v>0</v>
      </c>
      <c r="AH274" s="1">
        <v>0</v>
      </c>
      <c r="AI274" s="1" t="str">
        <f t="shared" si="188"/>
        <v>F06</v>
      </c>
      <c r="AJ274" s="1" t="str">
        <f t="shared" si="195"/>
        <v>MAN</v>
      </c>
      <c r="AK274" s="1" t="str">
        <f t="shared" si="189"/>
        <v>PA</v>
      </c>
      <c r="AP274" s="1" t="str">
        <f t="shared" si="190"/>
        <v>False</v>
      </c>
      <c r="AR274" s="1" t="str">
        <f t="shared" si="196"/>
        <v>TOMAS</v>
      </c>
      <c r="AY274" s="1" t="str">
        <f t="shared" si="191"/>
        <v>PF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 t="str">
        <f t="shared" si="197"/>
        <v>GERO TOMAS SUEDE x sfoderato</v>
      </c>
      <c r="BF274" s="1" t="str">
        <f t="shared" si="192"/>
        <v>Bonis SpA</v>
      </c>
      <c r="BO274" s="1">
        <v>0</v>
      </c>
      <c r="BP274" s="1">
        <v>0</v>
      </c>
      <c r="BQ274" s="1">
        <v>0</v>
      </c>
    </row>
    <row r="275" spans="2:69" x14ac:dyDescent="0.25">
      <c r="B275" s="1">
        <v>1739</v>
      </c>
      <c r="C275" s="1" t="str">
        <f t="shared" si="193"/>
        <v>TOMAS4026S7E/S2</v>
      </c>
      <c r="D275" s="1" t="str">
        <f>"ODV16N02275-026"</f>
        <v>ODV16N02275-026</v>
      </c>
      <c r="E275" s="1" t="str">
        <f>"C12 USPA"</f>
        <v>C12 USPA</v>
      </c>
      <c r="F275" s="1" t="str">
        <f t="shared" si="177"/>
        <v>BONIS SPA</v>
      </c>
      <c r="G275" s="1" t="str">
        <f t="shared" si="178"/>
        <v>STOCK TERRA MP</v>
      </c>
      <c r="H275" s="1" t="str">
        <f>"BLU"</f>
        <v>BLU</v>
      </c>
      <c r="J275" s="1">
        <v>1</v>
      </c>
      <c r="K275" s="1">
        <f t="shared" si="198"/>
        <v>12</v>
      </c>
      <c r="L275" s="1" t="str">
        <f t="shared" si="179"/>
        <v>01</v>
      </c>
      <c r="M275" s="1" t="str">
        <f t="shared" si="180"/>
        <v>101</v>
      </c>
      <c r="N275" s="1" t="str">
        <f>"008"</f>
        <v>008</v>
      </c>
      <c r="O275" s="1" t="str">
        <f t="shared" si="181"/>
        <v>00</v>
      </c>
      <c r="P275" s="1" t="str">
        <f t="shared" si="182"/>
        <v>S</v>
      </c>
      <c r="Q275" s="1" t="str">
        <f t="shared" si="183"/>
        <v>P</v>
      </c>
      <c r="R275" s="1" t="str">
        <f t="shared" si="184"/>
        <v>01</v>
      </c>
      <c r="S275" s="1" t="str">
        <f t="shared" si="185"/>
        <v>03</v>
      </c>
      <c r="T275" s="1" t="str">
        <f t="shared" si="186"/>
        <v>False</v>
      </c>
      <c r="U275" s="1" t="str">
        <f t="shared" si="187"/>
        <v>True</v>
      </c>
      <c r="V275" s="1" t="str">
        <f>"U0023984"</f>
        <v>U0023984</v>
      </c>
      <c r="W275" s="1">
        <v>1</v>
      </c>
      <c r="Y275" s="1">
        <v>0</v>
      </c>
      <c r="Z275" s="1">
        <v>0</v>
      </c>
      <c r="AB275" s="1" t="str">
        <f t="shared" si="194"/>
        <v>ECOM</v>
      </c>
      <c r="AG275" s="1">
        <v>0</v>
      </c>
      <c r="AH275" s="1">
        <v>0</v>
      </c>
      <c r="AI275" s="1" t="str">
        <f t="shared" si="188"/>
        <v>F06</v>
      </c>
      <c r="AJ275" s="1" t="str">
        <f t="shared" si="195"/>
        <v>MAN</v>
      </c>
      <c r="AK275" s="1" t="str">
        <f t="shared" si="189"/>
        <v>PA</v>
      </c>
      <c r="AP275" s="1" t="str">
        <f t="shared" si="190"/>
        <v>False</v>
      </c>
      <c r="AR275" s="1" t="str">
        <f t="shared" si="196"/>
        <v>TOMAS</v>
      </c>
      <c r="AY275" s="1" t="str">
        <f t="shared" si="191"/>
        <v>PF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 t="str">
        <f t="shared" si="197"/>
        <v>GERO TOMAS SUEDE x sfoderato</v>
      </c>
      <c r="BF275" s="1" t="str">
        <f t="shared" si="192"/>
        <v>Bonis SpA</v>
      </c>
      <c r="BO275" s="1">
        <v>0</v>
      </c>
      <c r="BP275" s="1">
        <v>0</v>
      </c>
      <c r="BQ275" s="1">
        <v>0</v>
      </c>
    </row>
    <row r="276" spans="2:69" x14ac:dyDescent="0.25">
      <c r="B276" s="1">
        <v>1739</v>
      </c>
      <c r="C276" s="1" t="str">
        <f t="shared" si="193"/>
        <v>TOMAS4026S7E/S2</v>
      </c>
      <c r="D276" s="1" t="str">
        <f>"ODV16N02275-027"</f>
        <v>ODV16N02275-027</v>
      </c>
      <c r="E276" s="1" t="str">
        <f>"C12 USPA"</f>
        <v>C12 USPA</v>
      </c>
      <c r="F276" s="1" t="str">
        <f t="shared" si="177"/>
        <v>BONIS SPA</v>
      </c>
      <c r="G276" s="1" t="str">
        <f t="shared" si="178"/>
        <v>STOCK TERRA MP</v>
      </c>
      <c r="H276" s="1" t="str">
        <f>"BLU"</f>
        <v>BLU</v>
      </c>
      <c r="J276" s="1">
        <v>1</v>
      </c>
      <c r="K276" s="1">
        <f t="shared" si="198"/>
        <v>12</v>
      </c>
      <c r="L276" s="1" t="str">
        <f t="shared" si="179"/>
        <v>01</v>
      </c>
      <c r="M276" s="1" t="str">
        <f t="shared" si="180"/>
        <v>101</v>
      </c>
      <c r="N276" s="1" t="str">
        <f>"008"</f>
        <v>008</v>
      </c>
      <c r="O276" s="1" t="str">
        <f t="shared" si="181"/>
        <v>00</v>
      </c>
      <c r="P276" s="1" t="str">
        <f t="shared" si="182"/>
        <v>S</v>
      </c>
      <c r="Q276" s="1" t="str">
        <f t="shared" si="183"/>
        <v>P</v>
      </c>
      <c r="R276" s="1" t="str">
        <f t="shared" si="184"/>
        <v>01</v>
      </c>
      <c r="S276" s="1" t="str">
        <f t="shared" si="185"/>
        <v>03</v>
      </c>
      <c r="T276" s="1" t="str">
        <f t="shared" si="186"/>
        <v>False</v>
      </c>
      <c r="U276" s="1" t="str">
        <f t="shared" si="187"/>
        <v>True</v>
      </c>
      <c r="V276" s="1" t="str">
        <f>"U0023984"</f>
        <v>U0023984</v>
      </c>
      <c r="W276" s="1">
        <v>1</v>
      </c>
      <c r="Y276" s="1">
        <v>0</v>
      </c>
      <c r="Z276" s="1">
        <v>0</v>
      </c>
      <c r="AB276" s="1" t="str">
        <f t="shared" si="194"/>
        <v>ECOM</v>
      </c>
      <c r="AG276" s="1">
        <v>0</v>
      </c>
      <c r="AH276" s="1">
        <v>0</v>
      </c>
      <c r="AI276" s="1" t="str">
        <f t="shared" si="188"/>
        <v>F06</v>
      </c>
      <c r="AJ276" s="1" t="str">
        <f t="shared" si="195"/>
        <v>MAN</v>
      </c>
      <c r="AK276" s="1" t="str">
        <f t="shared" si="189"/>
        <v>PA</v>
      </c>
      <c r="AP276" s="1" t="str">
        <f t="shared" si="190"/>
        <v>False</v>
      </c>
      <c r="AR276" s="1" t="str">
        <f t="shared" si="196"/>
        <v>TOMAS</v>
      </c>
      <c r="AY276" s="1" t="str">
        <f t="shared" si="191"/>
        <v>PF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 t="str">
        <f t="shared" si="197"/>
        <v>GERO TOMAS SUEDE x sfoderato</v>
      </c>
      <c r="BF276" s="1" t="str">
        <f t="shared" si="192"/>
        <v>Bonis SpA</v>
      </c>
      <c r="BO276" s="1">
        <v>0</v>
      </c>
      <c r="BP276" s="1">
        <v>0</v>
      </c>
      <c r="BQ276" s="1">
        <v>0</v>
      </c>
    </row>
    <row r="277" spans="2:69" x14ac:dyDescent="0.25">
      <c r="B277" s="1">
        <v>1739</v>
      </c>
      <c r="C277" s="1" t="str">
        <f t="shared" si="193"/>
        <v>TOMAS4026S7E/S2</v>
      </c>
      <c r="D277" s="1" t="str">
        <f>"ODV16N02275-028"</f>
        <v>ODV16N02275-028</v>
      </c>
      <c r="E277" s="1" t="str">
        <f>"C12 USPA"</f>
        <v>C12 USPA</v>
      </c>
      <c r="F277" s="1" t="str">
        <f t="shared" si="177"/>
        <v>BONIS SPA</v>
      </c>
      <c r="G277" s="1" t="str">
        <f t="shared" si="178"/>
        <v>STOCK TERRA MP</v>
      </c>
      <c r="H277" s="1" t="str">
        <f>"BLU"</f>
        <v>BLU</v>
      </c>
      <c r="J277" s="1">
        <v>1</v>
      </c>
      <c r="K277" s="1">
        <f t="shared" si="198"/>
        <v>12</v>
      </c>
      <c r="L277" s="1" t="str">
        <f t="shared" si="179"/>
        <v>01</v>
      </c>
      <c r="M277" s="1" t="str">
        <f t="shared" si="180"/>
        <v>101</v>
      </c>
      <c r="N277" s="1" t="str">
        <f>"008"</f>
        <v>008</v>
      </c>
      <c r="O277" s="1" t="str">
        <f t="shared" si="181"/>
        <v>00</v>
      </c>
      <c r="P277" s="1" t="str">
        <f t="shared" si="182"/>
        <v>S</v>
      </c>
      <c r="Q277" s="1" t="str">
        <f t="shared" si="183"/>
        <v>P</v>
      </c>
      <c r="R277" s="1" t="str">
        <f t="shared" si="184"/>
        <v>01</v>
      </c>
      <c r="S277" s="1" t="str">
        <f t="shared" si="185"/>
        <v>03</v>
      </c>
      <c r="T277" s="1" t="str">
        <f t="shared" si="186"/>
        <v>False</v>
      </c>
      <c r="U277" s="1" t="str">
        <f t="shared" si="187"/>
        <v>True</v>
      </c>
      <c r="V277" s="1" t="str">
        <f>"U0023984"</f>
        <v>U0023984</v>
      </c>
      <c r="W277" s="1">
        <v>1</v>
      </c>
      <c r="Y277" s="1">
        <v>0</v>
      </c>
      <c r="Z277" s="1">
        <v>0</v>
      </c>
      <c r="AB277" s="1" t="str">
        <f t="shared" si="194"/>
        <v>ECOM</v>
      </c>
      <c r="AG277" s="1">
        <v>0</v>
      </c>
      <c r="AH277" s="1">
        <v>0</v>
      </c>
      <c r="AI277" s="1" t="str">
        <f t="shared" si="188"/>
        <v>F06</v>
      </c>
      <c r="AJ277" s="1" t="str">
        <f t="shared" si="195"/>
        <v>MAN</v>
      </c>
      <c r="AK277" s="1" t="str">
        <f t="shared" si="189"/>
        <v>PA</v>
      </c>
      <c r="AP277" s="1" t="str">
        <f t="shared" si="190"/>
        <v>False</v>
      </c>
      <c r="AR277" s="1" t="str">
        <f t="shared" si="196"/>
        <v>TOMAS</v>
      </c>
      <c r="AY277" s="1" t="str">
        <f t="shared" si="191"/>
        <v>PF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 t="str">
        <f t="shared" si="197"/>
        <v>GERO TOMAS SUEDE x sfoderato</v>
      </c>
      <c r="BF277" s="1" t="str">
        <f t="shared" si="192"/>
        <v>Bonis SpA</v>
      </c>
      <c r="BO277" s="1">
        <v>0</v>
      </c>
      <c r="BP277" s="1">
        <v>0</v>
      </c>
      <c r="BQ277" s="1">
        <v>0</v>
      </c>
    </row>
    <row r="278" spans="2:69" x14ac:dyDescent="0.25">
      <c r="B278" s="1">
        <v>1736</v>
      </c>
      <c r="C278" s="1" t="str">
        <f t="shared" si="193"/>
        <v>TOMAS4026S7E/S2</v>
      </c>
      <c r="D278" s="1" t="str">
        <f>"ODV16N02275-041"</f>
        <v>ODV16N02275-041</v>
      </c>
      <c r="E278" s="1" t="str">
        <f>"A8 USPA"</f>
        <v>A8 USPA</v>
      </c>
      <c r="F278" s="1" t="str">
        <f t="shared" si="177"/>
        <v>BONIS SPA</v>
      </c>
      <c r="G278" s="1" t="str">
        <f t="shared" si="178"/>
        <v>STOCK TERRA MP</v>
      </c>
      <c r="H278" s="1" t="str">
        <f>"TAU"</f>
        <v>TAU</v>
      </c>
      <c r="J278" s="1">
        <v>1</v>
      </c>
      <c r="K278" s="1">
        <f t="shared" ref="K278:K298" si="199">8*J278</f>
        <v>8</v>
      </c>
      <c r="L278" s="1" t="str">
        <f t="shared" si="179"/>
        <v>01</v>
      </c>
      <c r="M278" s="1" t="str">
        <f t="shared" si="180"/>
        <v>101</v>
      </c>
      <c r="N278" s="1" t="str">
        <f>"005"</f>
        <v>005</v>
      </c>
      <c r="O278" s="1" t="str">
        <f t="shared" si="181"/>
        <v>00</v>
      </c>
      <c r="P278" s="1" t="str">
        <f t="shared" si="182"/>
        <v>S</v>
      </c>
      <c r="Q278" s="1" t="str">
        <f t="shared" si="183"/>
        <v>P</v>
      </c>
      <c r="R278" s="1" t="str">
        <f t="shared" si="184"/>
        <v>01</v>
      </c>
      <c r="S278" s="1" t="str">
        <f t="shared" si="185"/>
        <v>03</v>
      </c>
      <c r="T278" s="1" t="str">
        <f t="shared" si="186"/>
        <v>False</v>
      </c>
      <c r="U278" s="1" t="str">
        <f t="shared" si="187"/>
        <v>True</v>
      </c>
      <c r="V278" s="1" t="str">
        <f>"U0024335"</f>
        <v>U0024335</v>
      </c>
      <c r="W278" s="1">
        <v>1</v>
      </c>
      <c r="Y278" s="1">
        <v>0</v>
      </c>
      <c r="Z278" s="1">
        <v>0</v>
      </c>
      <c r="AB278" s="1" t="str">
        <f t="shared" si="194"/>
        <v>ECOM</v>
      </c>
      <c r="AG278" s="1">
        <v>0</v>
      </c>
      <c r="AH278" s="1">
        <v>0</v>
      </c>
      <c r="AI278" s="1" t="str">
        <f t="shared" si="188"/>
        <v>F06</v>
      </c>
      <c r="AJ278" s="1" t="str">
        <f t="shared" si="195"/>
        <v>MAN</v>
      </c>
      <c r="AK278" s="1" t="str">
        <f t="shared" si="189"/>
        <v>PA</v>
      </c>
      <c r="AP278" s="1" t="str">
        <f t="shared" si="190"/>
        <v>False</v>
      </c>
      <c r="AR278" s="1" t="str">
        <f t="shared" si="196"/>
        <v>TOMAS</v>
      </c>
      <c r="AY278" s="1" t="str">
        <f t="shared" si="191"/>
        <v>PF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 t="str">
        <f t="shared" si="197"/>
        <v>GERO TOMAS SUEDE x sfoderato</v>
      </c>
      <c r="BF278" s="1" t="str">
        <f t="shared" si="192"/>
        <v>Bonis SpA</v>
      </c>
      <c r="BO278" s="1">
        <v>0</v>
      </c>
      <c r="BP278" s="1">
        <v>0</v>
      </c>
      <c r="BQ278" s="1">
        <v>0</v>
      </c>
    </row>
    <row r="279" spans="2:69" x14ac:dyDescent="0.25">
      <c r="B279" s="1">
        <v>1734</v>
      </c>
      <c r="C279" s="1" t="str">
        <f t="shared" ref="C279:C298" si="200">"ELDEW7198S7E/Y2"</f>
        <v>ELDEW7198S7E/Y2</v>
      </c>
      <c r="D279" s="1" t="str">
        <f>"ODV16N02278-021"</f>
        <v>ODV16N02278-021</v>
      </c>
      <c r="E279" s="1" t="str">
        <f t="shared" ref="E279:E298" si="201">"E8 USPA"</f>
        <v>E8 USPA</v>
      </c>
      <c r="F279" s="1" t="str">
        <f t="shared" si="177"/>
        <v>BONIS SPA</v>
      </c>
      <c r="G279" s="1" t="str">
        <f t="shared" si="178"/>
        <v>STOCK TERRA MP</v>
      </c>
      <c r="H279" s="1" t="str">
        <f t="shared" ref="H279:H298" si="202">"WHI-GOLD"</f>
        <v>WHI-GOLD</v>
      </c>
      <c r="J279" s="1">
        <v>1</v>
      </c>
      <c r="K279" s="1">
        <f t="shared" si="199"/>
        <v>8</v>
      </c>
      <c r="L279" s="1" t="str">
        <f t="shared" si="179"/>
        <v>01</v>
      </c>
      <c r="M279" s="1" t="str">
        <f t="shared" si="180"/>
        <v>101</v>
      </c>
      <c r="N279" s="1" t="str">
        <f t="shared" ref="N279:N298" si="203">"003"</f>
        <v>003</v>
      </c>
      <c r="O279" s="1" t="str">
        <f t="shared" si="181"/>
        <v>00</v>
      </c>
      <c r="P279" s="1" t="str">
        <f t="shared" si="182"/>
        <v>S</v>
      </c>
      <c r="Q279" s="1" t="str">
        <f t="shared" si="183"/>
        <v>P</v>
      </c>
      <c r="R279" s="1" t="str">
        <f t="shared" si="184"/>
        <v>01</v>
      </c>
      <c r="S279" s="1" t="str">
        <f t="shared" si="185"/>
        <v>03</v>
      </c>
      <c r="T279" s="1" t="str">
        <f t="shared" si="186"/>
        <v>False</v>
      </c>
      <c r="U279" s="1" t="str">
        <f t="shared" si="187"/>
        <v>True</v>
      </c>
      <c r="V279" s="1" t="str">
        <f t="shared" ref="V279:V298" si="204">"U0023945"</f>
        <v>U0023945</v>
      </c>
      <c r="W279" s="1">
        <v>1</v>
      </c>
      <c r="Y279" s="1">
        <v>0</v>
      </c>
      <c r="Z279" s="1">
        <v>0</v>
      </c>
      <c r="AB279" s="1" t="str">
        <f t="shared" si="194"/>
        <v>ECOM</v>
      </c>
      <c r="AG279" s="1">
        <v>0</v>
      </c>
      <c r="AH279" s="1">
        <v>0</v>
      </c>
      <c r="AI279" s="1" t="str">
        <f t="shared" si="188"/>
        <v>F06</v>
      </c>
      <c r="AJ279" s="1" t="str">
        <f t="shared" ref="AJ279:AJ298" si="205">"WOMAN"</f>
        <v>WOMAN</v>
      </c>
      <c r="AK279" s="1" t="str">
        <f t="shared" si="189"/>
        <v>PA</v>
      </c>
      <c r="AP279" s="1" t="str">
        <f t="shared" si="190"/>
        <v>False</v>
      </c>
      <c r="AR279" s="1" t="str">
        <f t="shared" ref="AR279:AR298" si="206">"ELDEW"</f>
        <v>ELDEW</v>
      </c>
      <c r="AY279" s="1" t="str">
        <f t="shared" si="191"/>
        <v>PF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 t="str">
        <f t="shared" ref="BE279:BE298" si="207">"MMA SINTETICO art.OLMO"</f>
        <v>MMA SINTETICO art.OLMO</v>
      </c>
      <c r="BF279" s="1" t="str">
        <f t="shared" si="192"/>
        <v>Bonis SpA</v>
      </c>
      <c r="BO279" s="1">
        <v>0</v>
      </c>
      <c r="BP279" s="1">
        <v>0</v>
      </c>
      <c r="BQ279" s="1">
        <v>0</v>
      </c>
    </row>
    <row r="280" spans="2:69" x14ac:dyDescent="0.25">
      <c r="B280" s="1">
        <v>1734</v>
      </c>
      <c r="C280" s="1" t="str">
        <f t="shared" si="200"/>
        <v>ELDEW7198S7E/Y2</v>
      </c>
      <c r="D280" s="1" t="str">
        <f>"ODV16N02278-022"</f>
        <v>ODV16N02278-022</v>
      </c>
      <c r="E280" s="1" t="str">
        <f t="shared" si="201"/>
        <v>E8 USPA</v>
      </c>
      <c r="F280" s="1" t="str">
        <f t="shared" si="177"/>
        <v>BONIS SPA</v>
      </c>
      <c r="G280" s="1" t="str">
        <f t="shared" si="178"/>
        <v>STOCK TERRA MP</v>
      </c>
      <c r="H280" s="1" t="str">
        <f t="shared" si="202"/>
        <v>WHI-GOLD</v>
      </c>
      <c r="J280" s="1">
        <v>1</v>
      </c>
      <c r="K280" s="1">
        <f t="shared" si="199"/>
        <v>8</v>
      </c>
      <c r="L280" s="1" t="str">
        <f t="shared" si="179"/>
        <v>01</v>
      </c>
      <c r="M280" s="1" t="str">
        <f t="shared" si="180"/>
        <v>101</v>
      </c>
      <c r="N280" s="1" t="str">
        <f t="shared" si="203"/>
        <v>003</v>
      </c>
      <c r="O280" s="1" t="str">
        <f t="shared" si="181"/>
        <v>00</v>
      </c>
      <c r="P280" s="1" t="str">
        <f t="shared" si="182"/>
        <v>S</v>
      </c>
      <c r="Q280" s="1" t="str">
        <f t="shared" si="183"/>
        <v>P</v>
      </c>
      <c r="R280" s="1" t="str">
        <f t="shared" si="184"/>
        <v>01</v>
      </c>
      <c r="S280" s="1" t="str">
        <f t="shared" si="185"/>
        <v>03</v>
      </c>
      <c r="T280" s="1" t="str">
        <f t="shared" si="186"/>
        <v>False</v>
      </c>
      <c r="U280" s="1" t="str">
        <f t="shared" si="187"/>
        <v>True</v>
      </c>
      <c r="V280" s="1" t="str">
        <f t="shared" si="204"/>
        <v>U0023945</v>
      </c>
      <c r="W280" s="1">
        <v>1</v>
      </c>
      <c r="Y280" s="1">
        <v>0</v>
      </c>
      <c r="Z280" s="1">
        <v>0</v>
      </c>
      <c r="AB280" s="1" t="str">
        <f t="shared" si="194"/>
        <v>ECOM</v>
      </c>
      <c r="AG280" s="1">
        <v>0</v>
      </c>
      <c r="AH280" s="1">
        <v>0</v>
      </c>
      <c r="AI280" s="1" t="str">
        <f t="shared" si="188"/>
        <v>F06</v>
      </c>
      <c r="AJ280" s="1" t="str">
        <f t="shared" si="205"/>
        <v>WOMAN</v>
      </c>
      <c r="AK280" s="1" t="str">
        <f t="shared" si="189"/>
        <v>PA</v>
      </c>
      <c r="AP280" s="1" t="str">
        <f t="shared" si="190"/>
        <v>False</v>
      </c>
      <c r="AR280" s="1" t="str">
        <f t="shared" si="206"/>
        <v>ELDEW</v>
      </c>
      <c r="AY280" s="1" t="str">
        <f t="shared" si="191"/>
        <v>PF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 t="str">
        <f t="shared" si="207"/>
        <v>MMA SINTETICO art.OLMO</v>
      </c>
      <c r="BF280" s="1" t="str">
        <f t="shared" si="192"/>
        <v>Bonis SpA</v>
      </c>
      <c r="BO280" s="1">
        <v>0</v>
      </c>
      <c r="BP280" s="1">
        <v>0</v>
      </c>
      <c r="BQ280" s="1">
        <v>0</v>
      </c>
    </row>
    <row r="281" spans="2:69" x14ac:dyDescent="0.25">
      <c r="B281" s="1">
        <v>1734</v>
      </c>
      <c r="C281" s="1" t="str">
        <f t="shared" si="200"/>
        <v>ELDEW7198S7E/Y2</v>
      </c>
      <c r="D281" s="1" t="str">
        <f>"ODV16N02278-023"</f>
        <v>ODV16N02278-023</v>
      </c>
      <c r="E281" s="1" t="str">
        <f t="shared" si="201"/>
        <v>E8 USPA</v>
      </c>
      <c r="F281" s="1" t="str">
        <f t="shared" si="177"/>
        <v>BONIS SPA</v>
      </c>
      <c r="G281" s="1" t="str">
        <f t="shared" si="178"/>
        <v>STOCK TERRA MP</v>
      </c>
      <c r="H281" s="1" t="str">
        <f t="shared" si="202"/>
        <v>WHI-GOLD</v>
      </c>
      <c r="J281" s="1">
        <v>1</v>
      </c>
      <c r="K281" s="1">
        <f t="shared" si="199"/>
        <v>8</v>
      </c>
      <c r="L281" s="1" t="str">
        <f t="shared" si="179"/>
        <v>01</v>
      </c>
      <c r="M281" s="1" t="str">
        <f t="shared" si="180"/>
        <v>101</v>
      </c>
      <c r="N281" s="1" t="str">
        <f t="shared" si="203"/>
        <v>003</v>
      </c>
      <c r="O281" s="1" t="str">
        <f t="shared" si="181"/>
        <v>00</v>
      </c>
      <c r="P281" s="1" t="str">
        <f t="shared" si="182"/>
        <v>S</v>
      </c>
      <c r="Q281" s="1" t="str">
        <f t="shared" si="183"/>
        <v>P</v>
      </c>
      <c r="R281" s="1" t="str">
        <f t="shared" si="184"/>
        <v>01</v>
      </c>
      <c r="S281" s="1" t="str">
        <f t="shared" si="185"/>
        <v>03</v>
      </c>
      <c r="T281" s="1" t="str">
        <f t="shared" si="186"/>
        <v>False</v>
      </c>
      <c r="U281" s="1" t="str">
        <f t="shared" si="187"/>
        <v>True</v>
      </c>
      <c r="V281" s="1" t="str">
        <f t="shared" si="204"/>
        <v>U0023945</v>
      </c>
      <c r="W281" s="1">
        <v>1</v>
      </c>
      <c r="Y281" s="1">
        <v>0</v>
      </c>
      <c r="Z281" s="1">
        <v>0</v>
      </c>
      <c r="AB281" s="1" t="str">
        <f t="shared" si="194"/>
        <v>ECOM</v>
      </c>
      <c r="AG281" s="1">
        <v>0</v>
      </c>
      <c r="AH281" s="1">
        <v>0</v>
      </c>
      <c r="AI281" s="1" t="str">
        <f t="shared" si="188"/>
        <v>F06</v>
      </c>
      <c r="AJ281" s="1" t="str">
        <f t="shared" si="205"/>
        <v>WOMAN</v>
      </c>
      <c r="AK281" s="1" t="str">
        <f t="shared" si="189"/>
        <v>PA</v>
      </c>
      <c r="AP281" s="1" t="str">
        <f t="shared" si="190"/>
        <v>False</v>
      </c>
      <c r="AR281" s="1" t="str">
        <f t="shared" si="206"/>
        <v>ELDEW</v>
      </c>
      <c r="AY281" s="1" t="str">
        <f t="shared" si="191"/>
        <v>PF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 t="str">
        <f t="shared" si="207"/>
        <v>MMA SINTETICO art.OLMO</v>
      </c>
      <c r="BF281" s="1" t="str">
        <f t="shared" si="192"/>
        <v>Bonis SpA</v>
      </c>
      <c r="BO281" s="1">
        <v>0</v>
      </c>
      <c r="BP281" s="1">
        <v>0</v>
      </c>
      <c r="BQ281" s="1">
        <v>0</v>
      </c>
    </row>
    <row r="282" spans="2:69" x14ac:dyDescent="0.25">
      <c r="B282" s="1">
        <v>1734</v>
      </c>
      <c r="C282" s="1" t="str">
        <f t="shared" si="200"/>
        <v>ELDEW7198S7E/Y2</v>
      </c>
      <c r="D282" s="1" t="str">
        <f>"ODV16N02278-024"</f>
        <v>ODV16N02278-024</v>
      </c>
      <c r="E282" s="1" t="str">
        <f t="shared" si="201"/>
        <v>E8 USPA</v>
      </c>
      <c r="F282" s="1" t="str">
        <f t="shared" si="177"/>
        <v>BONIS SPA</v>
      </c>
      <c r="G282" s="1" t="str">
        <f t="shared" si="178"/>
        <v>STOCK TERRA MP</v>
      </c>
      <c r="H282" s="1" t="str">
        <f t="shared" si="202"/>
        <v>WHI-GOLD</v>
      </c>
      <c r="J282" s="1">
        <v>1</v>
      </c>
      <c r="K282" s="1">
        <f t="shared" si="199"/>
        <v>8</v>
      </c>
      <c r="L282" s="1" t="str">
        <f t="shared" si="179"/>
        <v>01</v>
      </c>
      <c r="M282" s="1" t="str">
        <f t="shared" si="180"/>
        <v>101</v>
      </c>
      <c r="N282" s="1" t="str">
        <f t="shared" si="203"/>
        <v>003</v>
      </c>
      <c r="O282" s="1" t="str">
        <f t="shared" si="181"/>
        <v>00</v>
      </c>
      <c r="P282" s="1" t="str">
        <f t="shared" si="182"/>
        <v>S</v>
      </c>
      <c r="Q282" s="1" t="str">
        <f t="shared" si="183"/>
        <v>P</v>
      </c>
      <c r="R282" s="1" t="str">
        <f t="shared" si="184"/>
        <v>01</v>
      </c>
      <c r="S282" s="1" t="str">
        <f t="shared" si="185"/>
        <v>03</v>
      </c>
      <c r="T282" s="1" t="str">
        <f t="shared" si="186"/>
        <v>False</v>
      </c>
      <c r="U282" s="1" t="str">
        <f t="shared" si="187"/>
        <v>True</v>
      </c>
      <c r="V282" s="1" t="str">
        <f t="shared" si="204"/>
        <v>U0023945</v>
      </c>
      <c r="W282" s="1">
        <v>1</v>
      </c>
      <c r="Y282" s="1">
        <v>0</v>
      </c>
      <c r="Z282" s="1">
        <v>0</v>
      </c>
      <c r="AB282" s="1" t="str">
        <f t="shared" si="194"/>
        <v>ECOM</v>
      </c>
      <c r="AG282" s="1">
        <v>0</v>
      </c>
      <c r="AH282" s="1">
        <v>0</v>
      </c>
      <c r="AI282" s="1" t="str">
        <f t="shared" si="188"/>
        <v>F06</v>
      </c>
      <c r="AJ282" s="1" t="str">
        <f t="shared" si="205"/>
        <v>WOMAN</v>
      </c>
      <c r="AK282" s="1" t="str">
        <f t="shared" si="189"/>
        <v>PA</v>
      </c>
      <c r="AP282" s="1" t="str">
        <f t="shared" si="190"/>
        <v>False</v>
      </c>
      <c r="AR282" s="1" t="str">
        <f t="shared" si="206"/>
        <v>ELDEW</v>
      </c>
      <c r="AY282" s="1" t="str">
        <f t="shared" si="191"/>
        <v>PF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 t="str">
        <f t="shared" si="207"/>
        <v>MMA SINTETICO art.OLMO</v>
      </c>
      <c r="BF282" s="1" t="str">
        <f t="shared" si="192"/>
        <v>Bonis SpA</v>
      </c>
      <c r="BO282" s="1">
        <v>0</v>
      </c>
      <c r="BP282" s="1">
        <v>0</v>
      </c>
      <c r="BQ282" s="1">
        <v>0</v>
      </c>
    </row>
    <row r="283" spans="2:69" x14ac:dyDescent="0.25">
      <c r="B283" s="1">
        <v>1734</v>
      </c>
      <c r="C283" s="1" t="str">
        <f t="shared" si="200"/>
        <v>ELDEW7198S7E/Y2</v>
      </c>
      <c r="D283" s="1" t="str">
        <f>"ODV16N02278-025"</f>
        <v>ODV16N02278-025</v>
      </c>
      <c r="E283" s="1" t="str">
        <f t="shared" si="201"/>
        <v>E8 USPA</v>
      </c>
      <c r="F283" s="1" t="str">
        <f t="shared" si="177"/>
        <v>BONIS SPA</v>
      </c>
      <c r="G283" s="1" t="str">
        <f t="shared" si="178"/>
        <v>STOCK TERRA MP</v>
      </c>
      <c r="H283" s="1" t="str">
        <f t="shared" si="202"/>
        <v>WHI-GOLD</v>
      </c>
      <c r="J283" s="1">
        <v>1</v>
      </c>
      <c r="K283" s="1">
        <f t="shared" si="199"/>
        <v>8</v>
      </c>
      <c r="L283" s="1" t="str">
        <f t="shared" si="179"/>
        <v>01</v>
      </c>
      <c r="M283" s="1" t="str">
        <f t="shared" si="180"/>
        <v>101</v>
      </c>
      <c r="N283" s="1" t="str">
        <f t="shared" si="203"/>
        <v>003</v>
      </c>
      <c r="O283" s="1" t="str">
        <f t="shared" si="181"/>
        <v>00</v>
      </c>
      <c r="P283" s="1" t="str">
        <f t="shared" si="182"/>
        <v>S</v>
      </c>
      <c r="Q283" s="1" t="str">
        <f t="shared" si="183"/>
        <v>P</v>
      </c>
      <c r="R283" s="1" t="str">
        <f t="shared" si="184"/>
        <v>01</v>
      </c>
      <c r="S283" s="1" t="str">
        <f t="shared" si="185"/>
        <v>03</v>
      </c>
      <c r="T283" s="1" t="str">
        <f t="shared" si="186"/>
        <v>False</v>
      </c>
      <c r="U283" s="1" t="str">
        <f t="shared" si="187"/>
        <v>True</v>
      </c>
      <c r="V283" s="1" t="str">
        <f t="shared" si="204"/>
        <v>U0023945</v>
      </c>
      <c r="W283" s="1">
        <v>1</v>
      </c>
      <c r="Y283" s="1">
        <v>0</v>
      </c>
      <c r="Z283" s="1">
        <v>0</v>
      </c>
      <c r="AB283" s="1" t="str">
        <f t="shared" si="194"/>
        <v>ECOM</v>
      </c>
      <c r="AG283" s="1">
        <v>0</v>
      </c>
      <c r="AH283" s="1">
        <v>0</v>
      </c>
      <c r="AI283" s="1" t="str">
        <f t="shared" si="188"/>
        <v>F06</v>
      </c>
      <c r="AJ283" s="1" t="str">
        <f t="shared" si="205"/>
        <v>WOMAN</v>
      </c>
      <c r="AK283" s="1" t="str">
        <f t="shared" si="189"/>
        <v>PA</v>
      </c>
      <c r="AP283" s="1" t="str">
        <f t="shared" si="190"/>
        <v>False</v>
      </c>
      <c r="AR283" s="1" t="str">
        <f t="shared" si="206"/>
        <v>ELDEW</v>
      </c>
      <c r="AY283" s="1" t="str">
        <f t="shared" si="191"/>
        <v>PF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 t="str">
        <f t="shared" si="207"/>
        <v>MMA SINTETICO art.OLMO</v>
      </c>
      <c r="BF283" s="1" t="str">
        <f t="shared" si="192"/>
        <v>Bonis SpA</v>
      </c>
      <c r="BO283" s="1">
        <v>0</v>
      </c>
      <c r="BP283" s="1">
        <v>0</v>
      </c>
      <c r="BQ283" s="1">
        <v>0</v>
      </c>
    </row>
    <row r="284" spans="2:69" x14ac:dyDescent="0.25">
      <c r="B284" s="1">
        <v>1734</v>
      </c>
      <c r="C284" s="1" t="str">
        <f t="shared" si="200"/>
        <v>ELDEW7198S7E/Y2</v>
      </c>
      <c r="D284" s="1" t="str">
        <f>"ODV16N02278-026"</f>
        <v>ODV16N02278-026</v>
      </c>
      <c r="E284" s="1" t="str">
        <f t="shared" si="201"/>
        <v>E8 USPA</v>
      </c>
      <c r="F284" s="1" t="str">
        <f t="shared" si="177"/>
        <v>BONIS SPA</v>
      </c>
      <c r="G284" s="1" t="str">
        <f t="shared" si="178"/>
        <v>STOCK TERRA MP</v>
      </c>
      <c r="H284" s="1" t="str">
        <f t="shared" si="202"/>
        <v>WHI-GOLD</v>
      </c>
      <c r="J284" s="1">
        <v>1</v>
      </c>
      <c r="K284" s="1">
        <f t="shared" si="199"/>
        <v>8</v>
      </c>
      <c r="L284" s="1" t="str">
        <f t="shared" si="179"/>
        <v>01</v>
      </c>
      <c r="M284" s="1" t="str">
        <f t="shared" si="180"/>
        <v>101</v>
      </c>
      <c r="N284" s="1" t="str">
        <f t="shared" si="203"/>
        <v>003</v>
      </c>
      <c r="O284" s="1" t="str">
        <f t="shared" si="181"/>
        <v>00</v>
      </c>
      <c r="P284" s="1" t="str">
        <f t="shared" si="182"/>
        <v>S</v>
      </c>
      <c r="Q284" s="1" t="str">
        <f t="shared" si="183"/>
        <v>P</v>
      </c>
      <c r="R284" s="1" t="str">
        <f t="shared" si="184"/>
        <v>01</v>
      </c>
      <c r="S284" s="1" t="str">
        <f t="shared" si="185"/>
        <v>03</v>
      </c>
      <c r="T284" s="1" t="str">
        <f t="shared" si="186"/>
        <v>False</v>
      </c>
      <c r="U284" s="1" t="str">
        <f t="shared" si="187"/>
        <v>True</v>
      </c>
      <c r="V284" s="1" t="str">
        <f t="shared" si="204"/>
        <v>U0023945</v>
      </c>
      <c r="W284" s="1">
        <v>1</v>
      </c>
      <c r="Y284" s="1">
        <v>0</v>
      </c>
      <c r="Z284" s="1">
        <v>0</v>
      </c>
      <c r="AB284" s="1" t="str">
        <f t="shared" si="194"/>
        <v>ECOM</v>
      </c>
      <c r="AG284" s="1">
        <v>0</v>
      </c>
      <c r="AH284" s="1">
        <v>0</v>
      </c>
      <c r="AI284" s="1" t="str">
        <f t="shared" si="188"/>
        <v>F06</v>
      </c>
      <c r="AJ284" s="1" t="str">
        <f t="shared" si="205"/>
        <v>WOMAN</v>
      </c>
      <c r="AK284" s="1" t="str">
        <f t="shared" si="189"/>
        <v>PA</v>
      </c>
      <c r="AP284" s="1" t="str">
        <f t="shared" si="190"/>
        <v>False</v>
      </c>
      <c r="AR284" s="1" t="str">
        <f t="shared" si="206"/>
        <v>ELDEW</v>
      </c>
      <c r="AY284" s="1" t="str">
        <f t="shared" si="191"/>
        <v>PF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 t="str">
        <f t="shared" si="207"/>
        <v>MMA SINTETICO art.OLMO</v>
      </c>
      <c r="BF284" s="1" t="str">
        <f t="shared" si="192"/>
        <v>Bonis SpA</v>
      </c>
      <c r="BO284" s="1">
        <v>0</v>
      </c>
      <c r="BP284" s="1">
        <v>0</v>
      </c>
      <c r="BQ284" s="1">
        <v>0</v>
      </c>
    </row>
    <row r="285" spans="2:69" x14ac:dyDescent="0.25">
      <c r="B285" s="1">
        <v>1734</v>
      </c>
      <c r="C285" s="1" t="str">
        <f t="shared" si="200"/>
        <v>ELDEW7198S7E/Y2</v>
      </c>
      <c r="D285" s="1" t="str">
        <f>"ODV16N02278-027"</f>
        <v>ODV16N02278-027</v>
      </c>
      <c r="E285" s="1" t="str">
        <f t="shared" si="201"/>
        <v>E8 USPA</v>
      </c>
      <c r="F285" s="1" t="str">
        <f t="shared" si="177"/>
        <v>BONIS SPA</v>
      </c>
      <c r="G285" s="1" t="str">
        <f t="shared" si="178"/>
        <v>STOCK TERRA MP</v>
      </c>
      <c r="H285" s="1" t="str">
        <f t="shared" si="202"/>
        <v>WHI-GOLD</v>
      </c>
      <c r="J285" s="1">
        <v>1</v>
      </c>
      <c r="K285" s="1">
        <f t="shared" si="199"/>
        <v>8</v>
      </c>
      <c r="L285" s="1" t="str">
        <f t="shared" si="179"/>
        <v>01</v>
      </c>
      <c r="M285" s="1" t="str">
        <f t="shared" si="180"/>
        <v>101</v>
      </c>
      <c r="N285" s="1" t="str">
        <f t="shared" si="203"/>
        <v>003</v>
      </c>
      <c r="O285" s="1" t="str">
        <f t="shared" si="181"/>
        <v>00</v>
      </c>
      <c r="P285" s="1" t="str">
        <f t="shared" si="182"/>
        <v>S</v>
      </c>
      <c r="Q285" s="1" t="str">
        <f t="shared" si="183"/>
        <v>P</v>
      </c>
      <c r="R285" s="1" t="str">
        <f t="shared" si="184"/>
        <v>01</v>
      </c>
      <c r="S285" s="1" t="str">
        <f t="shared" si="185"/>
        <v>03</v>
      </c>
      <c r="T285" s="1" t="str">
        <f t="shared" si="186"/>
        <v>False</v>
      </c>
      <c r="U285" s="1" t="str">
        <f t="shared" si="187"/>
        <v>True</v>
      </c>
      <c r="V285" s="1" t="str">
        <f t="shared" si="204"/>
        <v>U0023945</v>
      </c>
      <c r="W285" s="1">
        <v>1</v>
      </c>
      <c r="Y285" s="1">
        <v>0</v>
      </c>
      <c r="Z285" s="1">
        <v>0</v>
      </c>
      <c r="AB285" s="1" t="str">
        <f t="shared" si="194"/>
        <v>ECOM</v>
      </c>
      <c r="AG285" s="1">
        <v>0</v>
      </c>
      <c r="AH285" s="1">
        <v>0</v>
      </c>
      <c r="AI285" s="1" t="str">
        <f t="shared" si="188"/>
        <v>F06</v>
      </c>
      <c r="AJ285" s="1" t="str">
        <f t="shared" si="205"/>
        <v>WOMAN</v>
      </c>
      <c r="AK285" s="1" t="str">
        <f t="shared" si="189"/>
        <v>PA</v>
      </c>
      <c r="AP285" s="1" t="str">
        <f t="shared" si="190"/>
        <v>False</v>
      </c>
      <c r="AR285" s="1" t="str">
        <f t="shared" si="206"/>
        <v>ELDEW</v>
      </c>
      <c r="AY285" s="1" t="str">
        <f t="shared" si="191"/>
        <v>PF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 t="str">
        <f t="shared" si="207"/>
        <v>MMA SINTETICO art.OLMO</v>
      </c>
      <c r="BF285" s="1" t="str">
        <f t="shared" si="192"/>
        <v>Bonis SpA</v>
      </c>
      <c r="BO285" s="1">
        <v>0</v>
      </c>
      <c r="BP285" s="1">
        <v>0</v>
      </c>
      <c r="BQ285" s="1">
        <v>0</v>
      </c>
    </row>
    <row r="286" spans="2:69" x14ac:dyDescent="0.25">
      <c r="B286" s="1">
        <v>1734</v>
      </c>
      <c r="C286" s="1" t="str">
        <f t="shared" si="200"/>
        <v>ELDEW7198S7E/Y2</v>
      </c>
      <c r="D286" s="1" t="str">
        <f>"ODV16N02278-028"</f>
        <v>ODV16N02278-028</v>
      </c>
      <c r="E286" s="1" t="str">
        <f t="shared" si="201"/>
        <v>E8 USPA</v>
      </c>
      <c r="F286" s="1" t="str">
        <f t="shared" si="177"/>
        <v>BONIS SPA</v>
      </c>
      <c r="G286" s="1" t="str">
        <f t="shared" si="178"/>
        <v>STOCK TERRA MP</v>
      </c>
      <c r="H286" s="1" t="str">
        <f t="shared" si="202"/>
        <v>WHI-GOLD</v>
      </c>
      <c r="J286" s="1">
        <v>1</v>
      </c>
      <c r="K286" s="1">
        <f t="shared" si="199"/>
        <v>8</v>
      </c>
      <c r="L286" s="1" t="str">
        <f t="shared" si="179"/>
        <v>01</v>
      </c>
      <c r="M286" s="1" t="str">
        <f t="shared" si="180"/>
        <v>101</v>
      </c>
      <c r="N286" s="1" t="str">
        <f t="shared" si="203"/>
        <v>003</v>
      </c>
      <c r="O286" s="1" t="str">
        <f t="shared" si="181"/>
        <v>00</v>
      </c>
      <c r="P286" s="1" t="str">
        <f t="shared" si="182"/>
        <v>S</v>
      </c>
      <c r="Q286" s="1" t="str">
        <f t="shared" si="183"/>
        <v>P</v>
      </c>
      <c r="R286" s="1" t="str">
        <f t="shared" si="184"/>
        <v>01</v>
      </c>
      <c r="S286" s="1" t="str">
        <f t="shared" si="185"/>
        <v>03</v>
      </c>
      <c r="T286" s="1" t="str">
        <f t="shared" si="186"/>
        <v>False</v>
      </c>
      <c r="U286" s="1" t="str">
        <f t="shared" si="187"/>
        <v>True</v>
      </c>
      <c r="V286" s="1" t="str">
        <f t="shared" si="204"/>
        <v>U0023945</v>
      </c>
      <c r="W286" s="1">
        <v>1</v>
      </c>
      <c r="Y286" s="1">
        <v>0</v>
      </c>
      <c r="Z286" s="1">
        <v>0</v>
      </c>
      <c r="AB286" s="1" t="str">
        <f t="shared" si="194"/>
        <v>ECOM</v>
      </c>
      <c r="AG286" s="1">
        <v>0</v>
      </c>
      <c r="AH286" s="1">
        <v>0</v>
      </c>
      <c r="AI286" s="1" t="str">
        <f t="shared" si="188"/>
        <v>F06</v>
      </c>
      <c r="AJ286" s="1" t="str">
        <f t="shared" si="205"/>
        <v>WOMAN</v>
      </c>
      <c r="AK286" s="1" t="str">
        <f t="shared" si="189"/>
        <v>PA</v>
      </c>
      <c r="AP286" s="1" t="str">
        <f t="shared" si="190"/>
        <v>False</v>
      </c>
      <c r="AR286" s="1" t="str">
        <f t="shared" si="206"/>
        <v>ELDEW</v>
      </c>
      <c r="AY286" s="1" t="str">
        <f t="shared" si="191"/>
        <v>PF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 t="str">
        <f t="shared" si="207"/>
        <v>MMA SINTETICO art.OLMO</v>
      </c>
      <c r="BF286" s="1" t="str">
        <f t="shared" si="192"/>
        <v>Bonis SpA</v>
      </c>
      <c r="BO286" s="1">
        <v>0</v>
      </c>
      <c r="BP286" s="1">
        <v>0</v>
      </c>
      <c r="BQ286" s="1">
        <v>0</v>
      </c>
    </row>
    <row r="287" spans="2:69" x14ac:dyDescent="0.25">
      <c r="B287" s="1">
        <v>1734</v>
      </c>
      <c r="C287" s="1" t="str">
        <f t="shared" si="200"/>
        <v>ELDEW7198S7E/Y2</v>
      </c>
      <c r="D287" s="1" t="str">
        <f>"ODV16N02278-029"</f>
        <v>ODV16N02278-029</v>
      </c>
      <c r="E287" s="1" t="str">
        <f t="shared" si="201"/>
        <v>E8 USPA</v>
      </c>
      <c r="F287" s="1" t="str">
        <f t="shared" si="177"/>
        <v>BONIS SPA</v>
      </c>
      <c r="G287" s="1" t="str">
        <f t="shared" si="178"/>
        <v>STOCK TERRA MP</v>
      </c>
      <c r="H287" s="1" t="str">
        <f t="shared" si="202"/>
        <v>WHI-GOLD</v>
      </c>
      <c r="J287" s="1">
        <v>1</v>
      </c>
      <c r="K287" s="1">
        <f t="shared" si="199"/>
        <v>8</v>
      </c>
      <c r="L287" s="1" t="str">
        <f t="shared" si="179"/>
        <v>01</v>
      </c>
      <c r="M287" s="1" t="str">
        <f t="shared" si="180"/>
        <v>101</v>
      </c>
      <c r="N287" s="1" t="str">
        <f t="shared" si="203"/>
        <v>003</v>
      </c>
      <c r="O287" s="1" t="str">
        <f t="shared" si="181"/>
        <v>00</v>
      </c>
      <c r="P287" s="1" t="str">
        <f t="shared" si="182"/>
        <v>S</v>
      </c>
      <c r="Q287" s="1" t="str">
        <f t="shared" si="183"/>
        <v>P</v>
      </c>
      <c r="R287" s="1" t="str">
        <f t="shared" si="184"/>
        <v>01</v>
      </c>
      <c r="S287" s="1" t="str">
        <f t="shared" si="185"/>
        <v>03</v>
      </c>
      <c r="T287" s="1" t="str">
        <f t="shared" si="186"/>
        <v>False</v>
      </c>
      <c r="U287" s="1" t="str">
        <f t="shared" si="187"/>
        <v>True</v>
      </c>
      <c r="V287" s="1" t="str">
        <f t="shared" si="204"/>
        <v>U0023945</v>
      </c>
      <c r="W287" s="1">
        <v>1</v>
      </c>
      <c r="Y287" s="1">
        <v>0</v>
      </c>
      <c r="Z287" s="1">
        <v>0</v>
      </c>
      <c r="AB287" s="1" t="str">
        <f t="shared" si="194"/>
        <v>ECOM</v>
      </c>
      <c r="AG287" s="1">
        <v>0</v>
      </c>
      <c r="AH287" s="1">
        <v>0</v>
      </c>
      <c r="AI287" s="1" t="str">
        <f t="shared" si="188"/>
        <v>F06</v>
      </c>
      <c r="AJ287" s="1" t="str">
        <f t="shared" si="205"/>
        <v>WOMAN</v>
      </c>
      <c r="AK287" s="1" t="str">
        <f t="shared" si="189"/>
        <v>PA</v>
      </c>
      <c r="AP287" s="1" t="str">
        <f t="shared" si="190"/>
        <v>False</v>
      </c>
      <c r="AR287" s="1" t="str">
        <f t="shared" si="206"/>
        <v>ELDEW</v>
      </c>
      <c r="AY287" s="1" t="str">
        <f t="shared" si="191"/>
        <v>PF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 t="str">
        <f t="shared" si="207"/>
        <v>MMA SINTETICO art.OLMO</v>
      </c>
      <c r="BF287" s="1" t="str">
        <f t="shared" si="192"/>
        <v>Bonis SpA</v>
      </c>
      <c r="BO287" s="1">
        <v>0</v>
      </c>
      <c r="BP287" s="1">
        <v>0</v>
      </c>
      <c r="BQ287" s="1">
        <v>0</v>
      </c>
    </row>
    <row r="288" spans="2:69" x14ac:dyDescent="0.25">
      <c r="B288" s="1">
        <v>1734</v>
      </c>
      <c r="C288" s="1" t="str">
        <f t="shared" si="200"/>
        <v>ELDEW7198S7E/Y2</v>
      </c>
      <c r="D288" s="1" t="str">
        <f>"ODV16N02278-030"</f>
        <v>ODV16N02278-030</v>
      </c>
      <c r="E288" s="1" t="str">
        <f t="shared" si="201"/>
        <v>E8 USPA</v>
      </c>
      <c r="F288" s="1" t="str">
        <f t="shared" si="177"/>
        <v>BONIS SPA</v>
      </c>
      <c r="G288" s="1" t="str">
        <f t="shared" si="178"/>
        <v>STOCK TERRA MP</v>
      </c>
      <c r="H288" s="1" t="str">
        <f t="shared" si="202"/>
        <v>WHI-GOLD</v>
      </c>
      <c r="J288" s="1">
        <v>1</v>
      </c>
      <c r="K288" s="1">
        <f t="shared" si="199"/>
        <v>8</v>
      </c>
      <c r="L288" s="1" t="str">
        <f t="shared" si="179"/>
        <v>01</v>
      </c>
      <c r="M288" s="1" t="str">
        <f t="shared" si="180"/>
        <v>101</v>
      </c>
      <c r="N288" s="1" t="str">
        <f t="shared" si="203"/>
        <v>003</v>
      </c>
      <c r="O288" s="1" t="str">
        <f t="shared" si="181"/>
        <v>00</v>
      </c>
      <c r="P288" s="1" t="str">
        <f t="shared" si="182"/>
        <v>S</v>
      </c>
      <c r="Q288" s="1" t="str">
        <f t="shared" si="183"/>
        <v>P</v>
      </c>
      <c r="R288" s="1" t="str">
        <f t="shared" si="184"/>
        <v>01</v>
      </c>
      <c r="S288" s="1" t="str">
        <f t="shared" si="185"/>
        <v>03</v>
      </c>
      <c r="T288" s="1" t="str">
        <f t="shared" si="186"/>
        <v>False</v>
      </c>
      <c r="U288" s="1" t="str">
        <f t="shared" si="187"/>
        <v>True</v>
      </c>
      <c r="V288" s="1" t="str">
        <f t="shared" si="204"/>
        <v>U0023945</v>
      </c>
      <c r="W288" s="1">
        <v>1</v>
      </c>
      <c r="Y288" s="1">
        <v>0</v>
      </c>
      <c r="Z288" s="1">
        <v>0</v>
      </c>
      <c r="AB288" s="1" t="str">
        <f t="shared" si="194"/>
        <v>ECOM</v>
      </c>
      <c r="AG288" s="1">
        <v>0</v>
      </c>
      <c r="AH288" s="1">
        <v>0</v>
      </c>
      <c r="AI288" s="1" t="str">
        <f t="shared" si="188"/>
        <v>F06</v>
      </c>
      <c r="AJ288" s="1" t="str">
        <f t="shared" si="205"/>
        <v>WOMAN</v>
      </c>
      <c r="AK288" s="1" t="str">
        <f t="shared" si="189"/>
        <v>PA</v>
      </c>
      <c r="AP288" s="1" t="str">
        <f t="shared" si="190"/>
        <v>False</v>
      </c>
      <c r="AR288" s="1" t="str">
        <f t="shared" si="206"/>
        <v>ELDEW</v>
      </c>
      <c r="AY288" s="1" t="str">
        <f t="shared" si="191"/>
        <v>PF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 t="str">
        <f t="shared" si="207"/>
        <v>MMA SINTETICO art.OLMO</v>
      </c>
      <c r="BF288" s="1" t="str">
        <f t="shared" si="192"/>
        <v>Bonis SpA</v>
      </c>
      <c r="BO288" s="1">
        <v>0</v>
      </c>
      <c r="BP288" s="1">
        <v>0</v>
      </c>
      <c r="BQ288" s="1">
        <v>0</v>
      </c>
    </row>
    <row r="289" spans="2:69" x14ac:dyDescent="0.25">
      <c r="B289" s="1">
        <v>1734</v>
      </c>
      <c r="C289" s="1" t="str">
        <f t="shared" si="200"/>
        <v>ELDEW7198S7E/Y2</v>
      </c>
      <c r="D289" s="1" t="str">
        <f>"ODV16N02278-031"</f>
        <v>ODV16N02278-031</v>
      </c>
      <c r="E289" s="1" t="str">
        <f t="shared" si="201"/>
        <v>E8 USPA</v>
      </c>
      <c r="F289" s="1" t="str">
        <f t="shared" si="177"/>
        <v>BONIS SPA</v>
      </c>
      <c r="G289" s="1" t="str">
        <f t="shared" si="178"/>
        <v>STOCK TERRA MP</v>
      </c>
      <c r="H289" s="1" t="str">
        <f t="shared" si="202"/>
        <v>WHI-GOLD</v>
      </c>
      <c r="J289" s="1">
        <v>1</v>
      </c>
      <c r="K289" s="1">
        <f t="shared" si="199"/>
        <v>8</v>
      </c>
      <c r="L289" s="1" t="str">
        <f t="shared" si="179"/>
        <v>01</v>
      </c>
      <c r="M289" s="1" t="str">
        <f t="shared" si="180"/>
        <v>101</v>
      </c>
      <c r="N289" s="1" t="str">
        <f t="shared" si="203"/>
        <v>003</v>
      </c>
      <c r="O289" s="1" t="str">
        <f t="shared" si="181"/>
        <v>00</v>
      </c>
      <c r="P289" s="1" t="str">
        <f t="shared" si="182"/>
        <v>S</v>
      </c>
      <c r="Q289" s="1" t="str">
        <f t="shared" si="183"/>
        <v>P</v>
      </c>
      <c r="R289" s="1" t="str">
        <f t="shared" si="184"/>
        <v>01</v>
      </c>
      <c r="S289" s="1" t="str">
        <f t="shared" si="185"/>
        <v>03</v>
      </c>
      <c r="T289" s="1" t="str">
        <f t="shared" si="186"/>
        <v>False</v>
      </c>
      <c r="U289" s="1" t="str">
        <f t="shared" si="187"/>
        <v>True</v>
      </c>
      <c r="V289" s="1" t="str">
        <f t="shared" si="204"/>
        <v>U0023945</v>
      </c>
      <c r="W289" s="1">
        <v>1</v>
      </c>
      <c r="Y289" s="1">
        <v>0</v>
      </c>
      <c r="Z289" s="1">
        <v>0</v>
      </c>
      <c r="AB289" s="1" t="str">
        <f t="shared" si="194"/>
        <v>ECOM</v>
      </c>
      <c r="AG289" s="1">
        <v>0</v>
      </c>
      <c r="AH289" s="1">
        <v>0</v>
      </c>
      <c r="AI289" s="1" t="str">
        <f t="shared" si="188"/>
        <v>F06</v>
      </c>
      <c r="AJ289" s="1" t="str">
        <f t="shared" si="205"/>
        <v>WOMAN</v>
      </c>
      <c r="AK289" s="1" t="str">
        <f t="shared" si="189"/>
        <v>PA</v>
      </c>
      <c r="AP289" s="1" t="str">
        <f t="shared" si="190"/>
        <v>False</v>
      </c>
      <c r="AR289" s="1" t="str">
        <f t="shared" si="206"/>
        <v>ELDEW</v>
      </c>
      <c r="AY289" s="1" t="str">
        <f t="shared" si="191"/>
        <v>PF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 t="str">
        <f t="shared" si="207"/>
        <v>MMA SINTETICO art.OLMO</v>
      </c>
      <c r="BF289" s="1" t="str">
        <f t="shared" si="192"/>
        <v>Bonis SpA</v>
      </c>
      <c r="BO289" s="1">
        <v>0</v>
      </c>
      <c r="BP289" s="1">
        <v>0</v>
      </c>
      <c r="BQ289" s="1">
        <v>0</v>
      </c>
    </row>
    <row r="290" spans="2:69" x14ac:dyDescent="0.25">
      <c r="B290" s="1">
        <v>1734</v>
      </c>
      <c r="C290" s="1" t="str">
        <f t="shared" si="200"/>
        <v>ELDEW7198S7E/Y2</v>
      </c>
      <c r="D290" s="1" t="str">
        <f>"ODV16N02278-032"</f>
        <v>ODV16N02278-032</v>
      </c>
      <c r="E290" s="1" t="str">
        <f t="shared" si="201"/>
        <v>E8 USPA</v>
      </c>
      <c r="F290" s="1" t="str">
        <f t="shared" si="177"/>
        <v>BONIS SPA</v>
      </c>
      <c r="G290" s="1" t="str">
        <f t="shared" si="178"/>
        <v>STOCK TERRA MP</v>
      </c>
      <c r="H290" s="1" t="str">
        <f t="shared" si="202"/>
        <v>WHI-GOLD</v>
      </c>
      <c r="J290" s="1">
        <v>1</v>
      </c>
      <c r="K290" s="1">
        <f t="shared" si="199"/>
        <v>8</v>
      </c>
      <c r="L290" s="1" t="str">
        <f t="shared" si="179"/>
        <v>01</v>
      </c>
      <c r="M290" s="1" t="str">
        <f t="shared" si="180"/>
        <v>101</v>
      </c>
      <c r="N290" s="1" t="str">
        <f t="shared" si="203"/>
        <v>003</v>
      </c>
      <c r="O290" s="1" t="str">
        <f t="shared" si="181"/>
        <v>00</v>
      </c>
      <c r="P290" s="1" t="str">
        <f t="shared" si="182"/>
        <v>S</v>
      </c>
      <c r="Q290" s="1" t="str">
        <f t="shared" si="183"/>
        <v>P</v>
      </c>
      <c r="R290" s="1" t="str">
        <f t="shared" si="184"/>
        <v>01</v>
      </c>
      <c r="S290" s="1" t="str">
        <f t="shared" si="185"/>
        <v>03</v>
      </c>
      <c r="T290" s="1" t="str">
        <f t="shared" si="186"/>
        <v>False</v>
      </c>
      <c r="U290" s="1" t="str">
        <f t="shared" si="187"/>
        <v>True</v>
      </c>
      <c r="V290" s="1" t="str">
        <f t="shared" si="204"/>
        <v>U0023945</v>
      </c>
      <c r="W290" s="1">
        <v>1</v>
      </c>
      <c r="Y290" s="1">
        <v>0</v>
      </c>
      <c r="Z290" s="1">
        <v>0</v>
      </c>
      <c r="AB290" s="1" t="str">
        <f t="shared" si="194"/>
        <v>ECOM</v>
      </c>
      <c r="AG290" s="1">
        <v>0</v>
      </c>
      <c r="AH290" s="1">
        <v>0</v>
      </c>
      <c r="AI290" s="1" t="str">
        <f t="shared" si="188"/>
        <v>F06</v>
      </c>
      <c r="AJ290" s="1" t="str">
        <f t="shared" si="205"/>
        <v>WOMAN</v>
      </c>
      <c r="AK290" s="1" t="str">
        <f t="shared" si="189"/>
        <v>PA</v>
      </c>
      <c r="AP290" s="1" t="str">
        <f t="shared" si="190"/>
        <v>False</v>
      </c>
      <c r="AR290" s="1" t="str">
        <f t="shared" si="206"/>
        <v>ELDEW</v>
      </c>
      <c r="AY290" s="1" t="str">
        <f t="shared" si="191"/>
        <v>PF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 t="str">
        <f t="shared" si="207"/>
        <v>MMA SINTETICO art.OLMO</v>
      </c>
      <c r="BF290" s="1" t="str">
        <f t="shared" si="192"/>
        <v>Bonis SpA</v>
      </c>
      <c r="BO290" s="1">
        <v>0</v>
      </c>
      <c r="BP290" s="1">
        <v>0</v>
      </c>
      <c r="BQ290" s="1">
        <v>0</v>
      </c>
    </row>
    <row r="291" spans="2:69" x14ac:dyDescent="0.25">
      <c r="B291" s="1">
        <v>1734</v>
      </c>
      <c r="C291" s="1" t="str">
        <f t="shared" si="200"/>
        <v>ELDEW7198S7E/Y2</v>
      </c>
      <c r="D291" s="1" t="str">
        <f>"ODV16N02278-033"</f>
        <v>ODV16N02278-033</v>
      </c>
      <c r="E291" s="1" t="str">
        <f t="shared" si="201"/>
        <v>E8 USPA</v>
      </c>
      <c r="F291" s="1" t="str">
        <f t="shared" si="177"/>
        <v>BONIS SPA</v>
      </c>
      <c r="G291" s="1" t="str">
        <f t="shared" si="178"/>
        <v>STOCK TERRA MP</v>
      </c>
      <c r="H291" s="1" t="str">
        <f t="shared" si="202"/>
        <v>WHI-GOLD</v>
      </c>
      <c r="J291" s="1">
        <v>1</v>
      </c>
      <c r="K291" s="1">
        <f t="shared" si="199"/>
        <v>8</v>
      </c>
      <c r="L291" s="1" t="str">
        <f t="shared" si="179"/>
        <v>01</v>
      </c>
      <c r="M291" s="1" t="str">
        <f t="shared" si="180"/>
        <v>101</v>
      </c>
      <c r="N291" s="1" t="str">
        <f t="shared" si="203"/>
        <v>003</v>
      </c>
      <c r="O291" s="1" t="str">
        <f t="shared" si="181"/>
        <v>00</v>
      </c>
      <c r="P291" s="1" t="str">
        <f t="shared" si="182"/>
        <v>S</v>
      </c>
      <c r="Q291" s="1" t="str">
        <f t="shared" si="183"/>
        <v>P</v>
      </c>
      <c r="R291" s="1" t="str">
        <f t="shared" si="184"/>
        <v>01</v>
      </c>
      <c r="S291" s="1" t="str">
        <f t="shared" si="185"/>
        <v>03</v>
      </c>
      <c r="T291" s="1" t="str">
        <f t="shared" si="186"/>
        <v>False</v>
      </c>
      <c r="U291" s="1" t="str">
        <f t="shared" si="187"/>
        <v>True</v>
      </c>
      <c r="V291" s="1" t="str">
        <f t="shared" si="204"/>
        <v>U0023945</v>
      </c>
      <c r="W291" s="1">
        <v>1</v>
      </c>
      <c r="Y291" s="1">
        <v>0</v>
      </c>
      <c r="Z291" s="1">
        <v>0</v>
      </c>
      <c r="AB291" s="1" t="str">
        <f t="shared" si="194"/>
        <v>ECOM</v>
      </c>
      <c r="AG291" s="1">
        <v>0</v>
      </c>
      <c r="AH291" s="1">
        <v>0</v>
      </c>
      <c r="AI291" s="1" t="str">
        <f t="shared" si="188"/>
        <v>F06</v>
      </c>
      <c r="AJ291" s="1" t="str">
        <f t="shared" si="205"/>
        <v>WOMAN</v>
      </c>
      <c r="AK291" s="1" t="str">
        <f t="shared" si="189"/>
        <v>PA</v>
      </c>
      <c r="AP291" s="1" t="str">
        <f t="shared" si="190"/>
        <v>False</v>
      </c>
      <c r="AR291" s="1" t="str">
        <f t="shared" si="206"/>
        <v>ELDEW</v>
      </c>
      <c r="AY291" s="1" t="str">
        <f t="shared" si="191"/>
        <v>PF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 t="str">
        <f t="shared" si="207"/>
        <v>MMA SINTETICO art.OLMO</v>
      </c>
      <c r="BF291" s="1" t="str">
        <f t="shared" si="192"/>
        <v>Bonis SpA</v>
      </c>
      <c r="BO291" s="1">
        <v>0</v>
      </c>
      <c r="BP291" s="1">
        <v>0</v>
      </c>
      <c r="BQ291" s="1">
        <v>0</v>
      </c>
    </row>
    <row r="292" spans="2:69" x14ac:dyDescent="0.25">
      <c r="B292" s="1">
        <v>1734</v>
      </c>
      <c r="C292" s="1" t="str">
        <f t="shared" si="200"/>
        <v>ELDEW7198S7E/Y2</v>
      </c>
      <c r="D292" s="1" t="str">
        <f>"ODV16N02278-034"</f>
        <v>ODV16N02278-034</v>
      </c>
      <c r="E292" s="1" t="str">
        <f t="shared" si="201"/>
        <v>E8 USPA</v>
      </c>
      <c r="F292" s="1" t="str">
        <f t="shared" si="177"/>
        <v>BONIS SPA</v>
      </c>
      <c r="G292" s="1" t="str">
        <f t="shared" si="178"/>
        <v>STOCK TERRA MP</v>
      </c>
      <c r="H292" s="1" t="str">
        <f t="shared" si="202"/>
        <v>WHI-GOLD</v>
      </c>
      <c r="J292" s="1">
        <v>1</v>
      </c>
      <c r="K292" s="1">
        <f t="shared" si="199"/>
        <v>8</v>
      </c>
      <c r="L292" s="1" t="str">
        <f t="shared" si="179"/>
        <v>01</v>
      </c>
      <c r="M292" s="1" t="str">
        <f t="shared" si="180"/>
        <v>101</v>
      </c>
      <c r="N292" s="1" t="str">
        <f t="shared" si="203"/>
        <v>003</v>
      </c>
      <c r="O292" s="1" t="str">
        <f t="shared" si="181"/>
        <v>00</v>
      </c>
      <c r="P292" s="1" t="str">
        <f t="shared" si="182"/>
        <v>S</v>
      </c>
      <c r="Q292" s="1" t="str">
        <f t="shared" si="183"/>
        <v>P</v>
      </c>
      <c r="R292" s="1" t="str">
        <f t="shared" si="184"/>
        <v>01</v>
      </c>
      <c r="S292" s="1" t="str">
        <f t="shared" si="185"/>
        <v>03</v>
      </c>
      <c r="T292" s="1" t="str">
        <f t="shared" si="186"/>
        <v>False</v>
      </c>
      <c r="U292" s="1" t="str">
        <f t="shared" si="187"/>
        <v>True</v>
      </c>
      <c r="V292" s="1" t="str">
        <f t="shared" si="204"/>
        <v>U0023945</v>
      </c>
      <c r="W292" s="1">
        <v>1</v>
      </c>
      <c r="Y292" s="1">
        <v>0</v>
      </c>
      <c r="Z292" s="1">
        <v>0</v>
      </c>
      <c r="AB292" s="1" t="str">
        <f t="shared" si="194"/>
        <v>ECOM</v>
      </c>
      <c r="AG292" s="1">
        <v>0</v>
      </c>
      <c r="AH292" s="1">
        <v>0</v>
      </c>
      <c r="AI292" s="1" t="str">
        <f t="shared" si="188"/>
        <v>F06</v>
      </c>
      <c r="AJ292" s="1" t="str">
        <f t="shared" si="205"/>
        <v>WOMAN</v>
      </c>
      <c r="AK292" s="1" t="str">
        <f t="shared" si="189"/>
        <v>PA</v>
      </c>
      <c r="AP292" s="1" t="str">
        <f t="shared" si="190"/>
        <v>False</v>
      </c>
      <c r="AR292" s="1" t="str">
        <f t="shared" si="206"/>
        <v>ELDEW</v>
      </c>
      <c r="AY292" s="1" t="str">
        <f t="shared" si="191"/>
        <v>PF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 t="str">
        <f t="shared" si="207"/>
        <v>MMA SINTETICO art.OLMO</v>
      </c>
      <c r="BF292" s="1" t="str">
        <f t="shared" si="192"/>
        <v>Bonis SpA</v>
      </c>
      <c r="BO292" s="1">
        <v>0</v>
      </c>
      <c r="BP292" s="1">
        <v>0</v>
      </c>
      <c r="BQ292" s="1">
        <v>0</v>
      </c>
    </row>
    <row r="293" spans="2:69" x14ac:dyDescent="0.25">
      <c r="B293" s="1">
        <v>1734</v>
      </c>
      <c r="C293" s="1" t="str">
        <f t="shared" si="200"/>
        <v>ELDEW7198S7E/Y2</v>
      </c>
      <c r="D293" s="1" t="str">
        <f>"ODV16N02278-035"</f>
        <v>ODV16N02278-035</v>
      </c>
      <c r="E293" s="1" t="str">
        <f t="shared" si="201"/>
        <v>E8 USPA</v>
      </c>
      <c r="F293" s="1" t="str">
        <f t="shared" si="177"/>
        <v>BONIS SPA</v>
      </c>
      <c r="G293" s="1" t="str">
        <f t="shared" si="178"/>
        <v>STOCK TERRA MP</v>
      </c>
      <c r="H293" s="1" t="str">
        <f t="shared" si="202"/>
        <v>WHI-GOLD</v>
      </c>
      <c r="J293" s="1">
        <v>1</v>
      </c>
      <c r="K293" s="1">
        <f t="shared" si="199"/>
        <v>8</v>
      </c>
      <c r="L293" s="1" t="str">
        <f t="shared" si="179"/>
        <v>01</v>
      </c>
      <c r="M293" s="1" t="str">
        <f t="shared" si="180"/>
        <v>101</v>
      </c>
      <c r="N293" s="1" t="str">
        <f t="shared" si="203"/>
        <v>003</v>
      </c>
      <c r="O293" s="1" t="str">
        <f t="shared" si="181"/>
        <v>00</v>
      </c>
      <c r="P293" s="1" t="str">
        <f t="shared" si="182"/>
        <v>S</v>
      </c>
      <c r="Q293" s="1" t="str">
        <f t="shared" si="183"/>
        <v>P</v>
      </c>
      <c r="R293" s="1" t="str">
        <f t="shared" si="184"/>
        <v>01</v>
      </c>
      <c r="S293" s="1" t="str">
        <f t="shared" si="185"/>
        <v>03</v>
      </c>
      <c r="T293" s="1" t="str">
        <f t="shared" si="186"/>
        <v>False</v>
      </c>
      <c r="U293" s="1" t="str">
        <f t="shared" si="187"/>
        <v>True</v>
      </c>
      <c r="V293" s="1" t="str">
        <f t="shared" si="204"/>
        <v>U0023945</v>
      </c>
      <c r="W293" s="1">
        <v>1</v>
      </c>
      <c r="Y293" s="1">
        <v>0</v>
      </c>
      <c r="Z293" s="1">
        <v>0</v>
      </c>
      <c r="AB293" s="1" t="str">
        <f t="shared" si="194"/>
        <v>ECOM</v>
      </c>
      <c r="AG293" s="1">
        <v>0</v>
      </c>
      <c r="AH293" s="1">
        <v>0</v>
      </c>
      <c r="AI293" s="1" t="str">
        <f t="shared" si="188"/>
        <v>F06</v>
      </c>
      <c r="AJ293" s="1" t="str">
        <f t="shared" si="205"/>
        <v>WOMAN</v>
      </c>
      <c r="AK293" s="1" t="str">
        <f t="shared" si="189"/>
        <v>PA</v>
      </c>
      <c r="AP293" s="1" t="str">
        <f t="shared" si="190"/>
        <v>False</v>
      </c>
      <c r="AR293" s="1" t="str">
        <f t="shared" si="206"/>
        <v>ELDEW</v>
      </c>
      <c r="AY293" s="1" t="str">
        <f t="shared" si="191"/>
        <v>PF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 t="str">
        <f t="shared" si="207"/>
        <v>MMA SINTETICO art.OLMO</v>
      </c>
      <c r="BF293" s="1" t="str">
        <f t="shared" si="192"/>
        <v>Bonis SpA</v>
      </c>
      <c r="BO293" s="1">
        <v>0</v>
      </c>
      <c r="BP293" s="1">
        <v>0</v>
      </c>
      <c r="BQ293" s="1">
        <v>0</v>
      </c>
    </row>
    <row r="294" spans="2:69" x14ac:dyDescent="0.25">
      <c r="B294" s="1">
        <v>1734</v>
      </c>
      <c r="C294" s="1" t="str">
        <f t="shared" si="200"/>
        <v>ELDEW7198S7E/Y2</v>
      </c>
      <c r="D294" s="1" t="str">
        <f>"ODV16N02278-036"</f>
        <v>ODV16N02278-036</v>
      </c>
      <c r="E294" s="1" t="str">
        <f t="shared" si="201"/>
        <v>E8 USPA</v>
      </c>
      <c r="F294" s="1" t="str">
        <f t="shared" si="177"/>
        <v>BONIS SPA</v>
      </c>
      <c r="G294" s="1" t="str">
        <f t="shared" si="178"/>
        <v>STOCK TERRA MP</v>
      </c>
      <c r="H294" s="1" t="str">
        <f t="shared" si="202"/>
        <v>WHI-GOLD</v>
      </c>
      <c r="J294" s="1">
        <v>1</v>
      </c>
      <c r="K294" s="1">
        <f t="shared" si="199"/>
        <v>8</v>
      </c>
      <c r="L294" s="1" t="str">
        <f t="shared" si="179"/>
        <v>01</v>
      </c>
      <c r="M294" s="1" t="str">
        <f t="shared" si="180"/>
        <v>101</v>
      </c>
      <c r="N294" s="1" t="str">
        <f t="shared" si="203"/>
        <v>003</v>
      </c>
      <c r="O294" s="1" t="str">
        <f t="shared" si="181"/>
        <v>00</v>
      </c>
      <c r="P294" s="1" t="str">
        <f t="shared" si="182"/>
        <v>S</v>
      </c>
      <c r="Q294" s="1" t="str">
        <f t="shared" si="183"/>
        <v>P</v>
      </c>
      <c r="R294" s="1" t="str">
        <f t="shared" si="184"/>
        <v>01</v>
      </c>
      <c r="S294" s="1" t="str">
        <f t="shared" si="185"/>
        <v>03</v>
      </c>
      <c r="T294" s="1" t="str">
        <f t="shared" si="186"/>
        <v>False</v>
      </c>
      <c r="U294" s="1" t="str">
        <f t="shared" si="187"/>
        <v>True</v>
      </c>
      <c r="V294" s="1" t="str">
        <f t="shared" si="204"/>
        <v>U0023945</v>
      </c>
      <c r="W294" s="1">
        <v>1</v>
      </c>
      <c r="Y294" s="1">
        <v>0</v>
      </c>
      <c r="Z294" s="1">
        <v>0</v>
      </c>
      <c r="AB294" s="1" t="str">
        <f t="shared" si="194"/>
        <v>ECOM</v>
      </c>
      <c r="AG294" s="1">
        <v>0</v>
      </c>
      <c r="AH294" s="1">
        <v>0</v>
      </c>
      <c r="AI294" s="1" t="str">
        <f t="shared" si="188"/>
        <v>F06</v>
      </c>
      <c r="AJ294" s="1" t="str">
        <f t="shared" si="205"/>
        <v>WOMAN</v>
      </c>
      <c r="AK294" s="1" t="str">
        <f t="shared" si="189"/>
        <v>PA</v>
      </c>
      <c r="AP294" s="1" t="str">
        <f t="shared" si="190"/>
        <v>False</v>
      </c>
      <c r="AR294" s="1" t="str">
        <f t="shared" si="206"/>
        <v>ELDEW</v>
      </c>
      <c r="AY294" s="1" t="str">
        <f t="shared" si="191"/>
        <v>PF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 t="str">
        <f t="shared" si="207"/>
        <v>MMA SINTETICO art.OLMO</v>
      </c>
      <c r="BF294" s="1" t="str">
        <f t="shared" si="192"/>
        <v>Bonis SpA</v>
      </c>
      <c r="BO294" s="1">
        <v>0</v>
      </c>
      <c r="BP294" s="1">
        <v>0</v>
      </c>
      <c r="BQ294" s="1">
        <v>0</v>
      </c>
    </row>
    <row r="295" spans="2:69" x14ac:dyDescent="0.25">
      <c r="B295" s="1">
        <v>1734</v>
      </c>
      <c r="C295" s="1" t="str">
        <f t="shared" si="200"/>
        <v>ELDEW7198S7E/Y2</v>
      </c>
      <c r="D295" s="1" t="str">
        <f>"ODV16N02278-037"</f>
        <v>ODV16N02278-037</v>
      </c>
      <c r="E295" s="1" t="str">
        <f t="shared" si="201"/>
        <v>E8 USPA</v>
      </c>
      <c r="F295" s="1" t="str">
        <f t="shared" si="177"/>
        <v>BONIS SPA</v>
      </c>
      <c r="G295" s="1" t="str">
        <f t="shared" si="178"/>
        <v>STOCK TERRA MP</v>
      </c>
      <c r="H295" s="1" t="str">
        <f t="shared" si="202"/>
        <v>WHI-GOLD</v>
      </c>
      <c r="J295" s="1">
        <v>1</v>
      </c>
      <c r="K295" s="1">
        <f t="shared" si="199"/>
        <v>8</v>
      </c>
      <c r="L295" s="1" t="str">
        <f t="shared" si="179"/>
        <v>01</v>
      </c>
      <c r="M295" s="1" t="str">
        <f t="shared" si="180"/>
        <v>101</v>
      </c>
      <c r="N295" s="1" t="str">
        <f t="shared" si="203"/>
        <v>003</v>
      </c>
      <c r="O295" s="1" t="str">
        <f t="shared" si="181"/>
        <v>00</v>
      </c>
      <c r="P295" s="1" t="str">
        <f t="shared" si="182"/>
        <v>S</v>
      </c>
      <c r="Q295" s="1" t="str">
        <f t="shared" si="183"/>
        <v>P</v>
      </c>
      <c r="R295" s="1" t="str">
        <f t="shared" si="184"/>
        <v>01</v>
      </c>
      <c r="S295" s="1" t="str">
        <f t="shared" si="185"/>
        <v>03</v>
      </c>
      <c r="T295" s="1" t="str">
        <f t="shared" si="186"/>
        <v>False</v>
      </c>
      <c r="U295" s="1" t="str">
        <f t="shared" si="187"/>
        <v>True</v>
      </c>
      <c r="V295" s="1" t="str">
        <f t="shared" si="204"/>
        <v>U0023945</v>
      </c>
      <c r="W295" s="1">
        <v>1</v>
      </c>
      <c r="Y295" s="1">
        <v>0</v>
      </c>
      <c r="Z295" s="1">
        <v>0</v>
      </c>
      <c r="AB295" s="1" t="str">
        <f t="shared" si="194"/>
        <v>ECOM</v>
      </c>
      <c r="AG295" s="1">
        <v>0</v>
      </c>
      <c r="AH295" s="1">
        <v>0</v>
      </c>
      <c r="AI295" s="1" t="str">
        <f t="shared" si="188"/>
        <v>F06</v>
      </c>
      <c r="AJ295" s="1" t="str">
        <f t="shared" si="205"/>
        <v>WOMAN</v>
      </c>
      <c r="AK295" s="1" t="str">
        <f t="shared" si="189"/>
        <v>PA</v>
      </c>
      <c r="AP295" s="1" t="str">
        <f t="shared" si="190"/>
        <v>False</v>
      </c>
      <c r="AR295" s="1" t="str">
        <f t="shared" si="206"/>
        <v>ELDEW</v>
      </c>
      <c r="AY295" s="1" t="str">
        <f t="shared" si="191"/>
        <v>PF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 t="str">
        <f t="shared" si="207"/>
        <v>MMA SINTETICO art.OLMO</v>
      </c>
      <c r="BF295" s="1" t="str">
        <f t="shared" si="192"/>
        <v>Bonis SpA</v>
      </c>
      <c r="BO295" s="1">
        <v>0</v>
      </c>
      <c r="BP295" s="1">
        <v>0</v>
      </c>
      <c r="BQ295" s="1">
        <v>0</v>
      </c>
    </row>
    <row r="296" spans="2:69" x14ac:dyDescent="0.25">
      <c r="B296" s="1">
        <v>1734</v>
      </c>
      <c r="C296" s="1" t="str">
        <f t="shared" si="200"/>
        <v>ELDEW7198S7E/Y2</v>
      </c>
      <c r="D296" s="1" t="str">
        <f>"ODV16N02278-038"</f>
        <v>ODV16N02278-038</v>
      </c>
      <c r="E296" s="1" t="str">
        <f t="shared" si="201"/>
        <v>E8 USPA</v>
      </c>
      <c r="F296" s="1" t="str">
        <f t="shared" si="177"/>
        <v>BONIS SPA</v>
      </c>
      <c r="G296" s="1" t="str">
        <f t="shared" si="178"/>
        <v>STOCK TERRA MP</v>
      </c>
      <c r="H296" s="1" t="str">
        <f t="shared" si="202"/>
        <v>WHI-GOLD</v>
      </c>
      <c r="J296" s="1">
        <v>1</v>
      </c>
      <c r="K296" s="1">
        <f t="shared" si="199"/>
        <v>8</v>
      </c>
      <c r="L296" s="1" t="str">
        <f t="shared" si="179"/>
        <v>01</v>
      </c>
      <c r="M296" s="1" t="str">
        <f t="shared" si="180"/>
        <v>101</v>
      </c>
      <c r="N296" s="1" t="str">
        <f t="shared" si="203"/>
        <v>003</v>
      </c>
      <c r="O296" s="1" t="str">
        <f t="shared" si="181"/>
        <v>00</v>
      </c>
      <c r="P296" s="1" t="str">
        <f t="shared" si="182"/>
        <v>S</v>
      </c>
      <c r="Q296" s="1" t="str">
        <f t="shared" si="183"/>
        <v>P</v>
      </c>
      <c r="R296" s="1" t="str">
        <f t="shared" si="184"/>
        <v>01</v>
      </c>
      <c r="S296" s="1" t="str">
        <f t="shared" si="185"/>
        <v>03</v>
      </c>
      <c r="T296" s="1" t="str">
        <f t="shared" si="186"/>
        <v>False</v>
      </c>
      <c r="U296" s="1" t="str">
        <f t="shared" si="187"/>
        <v>True</v>
      </c>
      <c r="V296" s="1" t="str">
        <f t="shared" si="204"/>
        <v>U0023945</v>
      </c>
      <c r="W296" s="1">
        <v>1</v>
      </c>
      <c r="Y296" s="1">
        <v>0</v>
      </c>
      <c r="Z296" s="1">
        <v>0</v>
      </c>
      <c r="AB296" s="1" t="str">
        <f t="shared" si="194"/>
        <v>ECOM</v>
      </c>
      <c r="AG296" s="1">
        <v>0</v>
      </c>
      <c r="AH296" s="1">
        <v>0</v>
      </c>
      <c r="AI296" s="1" t="str">
        <f t="shared" si="188"/>
        <v>F06</v>
      </c>
      <c r="AJ296" s="1" t="str">
        <f t="shared" si="205"/>
        <v>WOMAN</v>
      </c>
      <c r="AK296" s="1" t="str">
        <f t="shared" si="189"/>
        <v>PA</v>
      </c>
      <c r="AP296" s="1" t="str">
        <f t="shared" si="190"/>
        <v>False</v>
      </c>
      <c r="AR296" s="1" t="str">
        <f t="shared" si="206"/>
        <v>ELDEW</v>
      </c>
      <c r="AY296" s="1" t="str">
        <f t="shared" si="191"/>
        <v>PF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 t="str">
        <f t="shared" si="207"/>
        <v>MMA SINTETICO art.OLMO</v>
      </c>
      <c r="BF296" s="1" t="str">
        <f t="shared" si="192"/>
        <v>Bonis SpA</v>
      </c>
      <c r="BO296" s="1">
        <v>0</v>
      </c>
      <c r="BP296" s="1">
        <v>0</v>
      </c>
      <c r="BQ296" s="1">
        <v>0</v>
      </c>
    </row>
    <row r="297" spans="2:69" x14ac:dyDescent="0.25">
      <c r="B297" s="1">
        <v>1734</v>
      </c>
      <c r="C297" s="1" t="str">
        <f t="shared" si="200"/>
        <v>ELDEW7198S7E/Y2</v>
      </c>
      <c r="D297" s="1" t="str">
        <f>"ODV16N02278-039"</f>
        <v>ODV16N02278-039</v>
      </c>
      <c r="E297" s="1" t="str">
        <f t="shared" si="201"/>
        <v>E8 USPA</v>
      </c>
      <c r="F297" s="1" t="str">
        <f t="shared" si="177"/>
        <v>BONIS SPA</v>
      </c>
      <c r="G297" s="1" t="str">
        <f t="shared" si="178"/>
        <v>STOCK TERRA MP</v>
      </c>
      <c r="H297" s="1" t="str">
        <f t="shared" si="202"/>
        <v>WHI-GOLD</v>
      </c>
      <c r="J297" s="1">
        <v>1</v>
      </c>
      <c r="K297" s="1">
        <f t="shared" si="199"/>
        <v>8</v>
      </c>
      <c r="L297" s="1" t="str">
        <f t="shared" si="179"/>
        <v>01</v>
      </c>
      <c r="M297" s="1" t="str">
        <f t="shared" si="180"/>
        <v>101</v>
      </c>
      <c r="N297" s="1" t="str">
        <f t="shared" si="203"/>
        <v>003</v>
      </c>
      <c r="O297" s="1" t="str">
        <f t="shared" si="181"/>
        <v>00</v>
      </c>
      <c r="P297" s="1" t="str">
        <f t="shared" si="182"/>
        <v>S</v>
      </c>
      <c r="Q297" s="1" t="str">
        <f t="shared" si="183"/>
        <v>P</v>
      </c>
      <c r="R297" s="1" t="str">
        <f t="shared" si="184"/>
        <v>01</v>
      </c>
      <c r="S297" s="1" t="str">
        <f t="shared" si="185"/>
        <v>03</v>
      </c>
      <c r="T297" s="1" t="str">
        <f t="shared" si="186"/>
        <v>False</v>
      </c>
      <c r="U297" s="1" t="str">
        <f t="shared" si="187"/>
        <v>True</v>
      </c>
      <c r="V297" s="1" t="str">
        <f t="shared" si="204"/>
        <v>U0023945</v>
      </c>
      <c r="W297" s="1">
        <v>1</v>
      </c>
      <c r="Y297" s="1">
        <v>0</v>
      </c>
      <c r="Z297" s="1">
        <v>0</v>
      </c>
      <c r="AB297" s="1" t="str">
        <f t="shared" si="194"/>
        <v>ECOM</v>
      </c>
      <c r="AG297" s="1">
        <v>0</v>
      </c>
      <c r="AH297" s="1">
        <v>0</v>
      </c>
      <c r="AI297" s="1" t="str">
        <f t="shared" si="188"/>
        <v>F06</v>
      </c>
      <c r="AJ297" s="1" t="str">
        <f t="shared" si="205"/>
        <v>WOMAN</v>
      </c>
      <c r="AK297" s="1" t="str">
        <f t="shared" si="189"/>
        <v>PA</v>
      </c>
      <c r="AP297" s="1" t="str">
        <f t="shared" si="190"/>
        <v>False</v>
      </c>
      <c r="AR297" s="1" t="str">
        <f t="shared" si="206"/>
        <v>ELDEW</v>
      </c>
      <c r="AY297" s="1" t="str">
        <f t="shared" si="191"/>
        <v>PF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 t="str">
        <f t="shared" si="207"/>
        <v>MMA SINTETICO art.OLMO</v>
      </c>
      <c r="BF297" s="1" t="str">
        <f t="shared" si="192"/>
        <v>Bonis SpA</v>
      </c>
      <c r="BO297" s="1">
        <v>0</v>
      </c>
      <c r="BP297" s="1">
        <v>0</v>
      </c>
      <c r="BQ297" s="1">
        <v>0</v>
      </c>
    </row>
    <row r="298" spans="2:69" x14ac:dyDescent="0.25">
      <c r="B298" s="1">
        <v>1734</v>
      </c>
      <c r="C298" s="1" t="str">
        <f t="shared" si="200"/>
        <v>ELDEW7198S7E/Y2</v>
      </c>
      <c r="D298" s="1" t="str">
        <f>"ODV16N02278-040"</f>
        <v>ODV16N02278-040</v>
      </c>
      <c r="E298" s="1" t="str">
        <f t="shared" si="201"/>
        <v>E8 USPA</v>
      </c>
      <c r="F298" s="1" t="str">
        <f t="shared" si="177"/>
        <v>BONIS SPA</v>
      </c>
      <c r="G298" s="1" t="str">
        <f t="shared" si="178"/>
        <v>STOCK TERRA MP</v>
      </c>
      <c r="H298" s="1" t="str">
        <f t="shared" si="202"/>
        <v>WHI-GOLD</v>
      </c>
      <c r="J298" s="1">
        <v>1</v>
      </c>
      <c r="K298" s="1">
        <f t="shared" si="199"/>
        <v>8</v>
      </c>
      <c r="L298" s="1" t="str">
        <f t="shared" si="179"/>
        <v>01</v>
      </c>
      <c r="M298" s="1" t="str">
        <f t="shared" si="180"/>
        <v>101</v>
      </c>
      <c r="N298" s="1" t="str">
        <f t="shared" si="203"/>
        <v>003</v>
      </c>
      <c r="O298" s="1" t="str">
        <f t="shared" si="181"/>
        <v>00</v>
      </c>
      <c r="P298" s="1" t="str">
        <f t="shared" si="182"/>
        <v>S</v>
      </c>
      <c r="Q298" s="1" t="str">
        <f t="shared" si="183"/>
        <v>P</v>
      </c>
      <c r="R298" s="1" t="str">
        <f t="shared" si="184"/>
        <v>01</v>
      </c>
      <c r="S298" s="1" t="str">
        <f t="shared" si="185"/>
        <v>03</v>
      </c>
      <c r="T298" s="1" t="str">
        <f t="shared" si="186"/>
        <v>False</v>
      </c>
      <c r="U298" s="1" t="str">
        <f t="shared" si="187"/>
        <v>True</v>
      </c>
      <c r="V298" s="1" t="str">
        <f t="shared" si="204"/>
        <v>U0023945</v>
      </c>
      <c r="W298" s="1">
        <v>1</v>
      </c>
      <c r="Y298" s="1">
        <v>0</v>
      </c>
      <c r="Z298" s="1">
        <v>0</v>
      </c>
      <c r="AB298" s="1" t="str">
        <f t="shared" si="194"/>
        <v>ECOM</v>
      </c>
      <c r="AG298" s="1">
        <v>0</v>
      </c>
      <c r="AH298" s="1">
        <v>0</v>
      </c>
      <c r="AI298" s="1" t="str">
        <f t="shared" si="188"/>
        <v>F06</v>
      </c>
      <c r="AJ298" s="1" t="str">
        <f t="shared" si="205"/>
        <v>WOMAN</v>
      </c>
      <c r="AK298" s="1" t="str">
        <f t="shared" si="189"/>
        <v>PA</v>
      </c>
      <c r="AP298" s="1" t="str">
        <f t="shared" si="190"/>
        <v>False</v>
      </c>
      <c r="AR298" s="1" t="str">
        <f t="shared" si="206"/>
        <v>ELDEW</v>
      </c>
      <c r="AY298" s="1" t="str">
        <f t="shared" si="191"/>
        <v>PF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 t="str">
        <f t="shared" si="207"/>
        <v>MMA SINTETICO art.OLMO</v>
      </c>
      <c r="BF298" s="1" t="str">
        <f t="shared" si="192"/>
        <v>Bonis SpA</v>
      </c>
      <c r="BO298" s="1">
        <v>0</v>
      </c>
      <c r="BP298" s="1">
        <v>0</v>
      </c>
      <c r="BQ298" s="1">
        <v>0</v>
      </c>
    </row>
    <row r="299" spans="2:69" x14ac:dyDescent="0.25">
      <c r="B299" s="1">
        <v>1760</v>
      </c>
      <c r="C299" s="1" t="str">
        <f>"TABRY4145S7/MY1"</f>
        <v>TABRY4145S7/MY1</v>
      </c>
      <c r="E299" s="1" t="str">
        <f>"44"</f>
        <v>44</v>
      </c>
      <c r="F299" s="1" t="str">
        <f t="shared" si="177"/>
        <v>BONIS SPA</v>
      </c>
      <c r="G299" s="1" t="str">
        <f t="shared" si="178"/>
        <v>STOCK TERRA MP</v>
      </c>
      <c r="H299" s="1" t="str">
        <f>"RED"</f>
        <v>RED</v>
      </c>
      <c r="K299" s="1">
        <v>1</v>
      </c>
      <c r="L299" s="1" t="str">
        <f t="shared" si="179"/>
        <v>01</v>
      </c>
      <c r="M299" s="1" t="str">
        <f t="shared" ref="M299:M362" si="208">"102"</f>
        <v>102</v>
      </c>
      <c r="N299" s="1" t="str">
        <f t="shared" ref="N299:N330" si="209">"014"</f>
        <v>014</v>
      </c>
      <c r="O299" s="1" t="str">
        <f t="shared" si="181"/>
        <v>00</v>
      </c>
      <c r="P299" s="1" t="str">
        <f t="shared" si="182"/>
        <v>S</v>
      </c>
      <c r="Q299" s="1" t="str">
        <f t="shared" si="183"/>
        <v>P</v>
      </c>
      <c r="R299" s="1" t="str">
        <f t="shared" si="184"/>
        <v>01</v>
      </c>
      <c r="S299" s="1" t="str">
        <f t="shared" si="185"/>
        <v>03</v>
      </c>
      <c r="T299" s="1" t="str">
        <f t="shared" si="186"/>
        <v>False</v>
      </c>
      <c r="U299" s="1" t="str">
        <f t="shared" si="187"/>
        <v>True</v>
      </c>
      <c r="V299" s="1" t="str">
        <f>"U0032391"</f>
        <v>U0032391</v>
      </c>
      <c r="W299" s="1">
        <v>1</v>
      </c>
      <c r="Y299" s="1">
        <v>0</v>
      </c>
      <c r="Z299" s="1">
        <v>0</v>
      </c>
      <c r="AI299" s="1" t="str">
        <f t="shared" si="188"/>
        <v>F06</v>
      </c>
      <c r="AJ299" s="1" t="str">
        <f>"MAN"</f>
        <v>MAN</v>
      </c>
      <c r="AK299" s="1" t="str">
        <f t="shared" si="189"/>
        <v>PA</v>
      </c>
      <c r="AP299" s="1" t="str">
        <f t="shared" si="190"/>
        <v>False</v>
      </c>
      <c r="AR299" s="1" t="str">
        <f>"TABRY"</f>
        <v>TABRY</v>
      </c>
      <c r="AY299" s="1" t="str">
        <f t="shared" si="191"/>
        <v>PF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 t="str">
        <f>"GOMMA-EVA MESH+PU+REAL SUEDE"</f>
        <v>GOMMA-EVA MESH+PU+REAL SUEDE</v>
      </c>
      <c r="BF299" s="1" t="str">
        <f t="shared" si="192"/>
        <v>Bonis SpA</v>
      </c>
    </row>
    <row r="300" spans="2:69" x14ac:dyDescent="0.25">
      <c r="B300" s="1">
        <v>1760</v>
      </c>
      <c r="C300" s="1" t="str">
        <f>"TABRY4145S7/MY1"</f>
        <v>TABRY4145S7/MY1</v>
      </c>
      <c r="E300" s="1" t="str">
        <f>"43"</f>
        <v>43</v>
      </c>
      <c r="F300" s="1" t="str">
        <f t="shared" si="177"/>
        <v>BONIS SPA</v>
      </c>
      <c r="G300" s="1" t="str">
        <f t="shared" si="178"/>
        <v>STOCK TERRA MP</v>
      </c>
      <c r="H300" s="1" t="str">
        <f>"RED"</f>
        <v>RED</v>
      </c>
      <c r="K300" s="1">
        <v>1</v>
      </c>
      <c r="L300" s="1" t="str">
        <f t="shared" si="179"/>
        <v>01</v>
      </c>
      <c r="M300" s="1" t="str">
        <f t="shared" si="208"/>
        <v>102</v>
      </c>
      <c r="N300" s="1" t="str">
        <f t="shared" si="209"/>
        <v>014</v>
      </c>
      <c r="O300" s="1" t="str">
        <f t="shared" si="181"/>
        <v>00</v>
      </c>
      <c r="P300" s="1" t="str">
        <f t="shared" si="182"/>
        <v>S</v>
      </c>
      <c r="Q300" s="1" t="str">
        <f t="shared" si="183"/>
        <v>P</v>
      </c>
      <c r="R300" s="1" t="str">
        <f t="shared" si="184"/>
        <v>01</v>
      </c>
      <c r="S300" s="1" t="str">
        <f t="shared" si="185"/>
        <v>03</v>
      </c>
      <c r="T300" s="1" t="str">
        <f t="shared" si="186"/>
        <v>False</v>
      </c>
      <c r="U300" s="1" t="str">
        <f t="shared" si="187"/>
        <v>True</v>
      </c>
      <c r="V300" s="1" t="str">
        <f>"U0032391"</f>
        <v>U0032391</v>
      </c>
      <c r="W300" s="1">
        <v>1</v>
      </c>
      <c r="Y300" s="1">
        <v>0</v>
      </c>
      <c r="Z300" s="1">
        <v>0</v>
      </c>
      <c r="AI300" s="1" t="str">
        <f t="shared" si="188"/>
        <v>F06</v>
      </c>
      <c r="AJ300" s="1" t="str">
        <f>"MAN"</f>
        <v>MAN</v>
      </c>
      <c r="AK300" s="1" t="str">
        <f t="shared" si="189"/>
        <v>PA</v>
      </c>
      <c r="AP300" s="1" t="str">
        <f t="shared" si="190"/>
        <v>False</v>
      </c>
      <c r="AR300" s="1" t="str">
        <f>"TABRY"</f>
        <v>TABRY</v>
      </c>
      <c r="AY300" s="1" t="str">
        <f t="shared" si="191"/>
        <v>PF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 t="str">
        <f>"GOMMA-EVA MESH+PU+REAL SUEDE"</f>
        <v>GOMMA-EVA MESH+PU+REAL SUEDE</v>
      </c>
      <c r="BF300" s="1" t="str">
        <f t="shared" si="192"/>
        <v>Bonis SpA</v>
      </c>
    </row>
    <row r="301" spans="2:69" x14ac:dyDescent="0.25">
      <c r="B301" s="1">
        <v>1760</v>
      </c>
      <c r="C301" s="1" t="str">
        <f t="shared" ref="C301:C308" si="210">"TAREK4158S7/MH1"</f>
        <v>TAREK4158S7/MH1</v>
      </c>
      <c r="E301" s="1" t="str">
        <f>"28"</f>
        <v>28</v>
      </c>
      <c r="F301" s="1" t="str">
        <f t="shared" si="177"/>
        <v>BONIS SPA</v>
      </c>
      <c r="G301" s="1" t="str">
        <f t="shared" si="178"/>
        <v>STOCK TERRA MP</v>
      </c>
      <c r="H301" s="1" t="str">
        <f t="shared" ref="H301:H308" si="211">"LIBL"</f>
        <v>LIBL</v>
      </c>
      <c r="K301" s="1">
        <v>1</v>
      </c>
      <c r="L301" s="1" t="str">
        <f t="shared" si="179"/>
        <v>01</v>
      </c>
      <c r="M301" s="1" t="str">
        <f t="shared" si="208"/>
        <v>102</v>
      </c>
      <c r="N301" s="1" t="str">
        <f t="shared" si="209"/>
        <v>014</v>
      </c>
      <c r="O301" s="1" t="str">
        <f t="shared" si="181"/>
        <v>00</v>
      </c>
      <c r="P301" s="1" t="str">
        <f t="shared" si="182"/>
        <v>S</v>
      </c>
      <c r="Q301" s="1" t="str">
        <f t="shared" si="183"/>
        <v>P</v>
      </c>
      <c r="R301" s="1" t="str">
        <f t="shared" si="184"/>
        <v>01</v>
      </c>
      <c r="S301" s="1" t="str">
        <f t="shared" si="185"/>
        <v>03</v>
      </c>
      <c r="T301" s="1" t="str">
        <f t="shared" si="186"/>
        <v>False</v>
      </c>
      <c r="U301" s="1" t="str">
        <f t="shared" si="187"/>
        <v>True</v>
      </c>
      <c r="V301" s="1" t="str">
        <f t="shared" ref="V301:V308" si="212">"U0031357"</f>
        <v>U0031357</v>
      </c>
      <c r="W301" s="1">
        <v>1</v>
      </c>
      <c r="Y301" s="1">
        <v>0</v>
      </c>
      <c r="Z301" s="1">
        <v>0</v>
      </c>
      <c r="AI301" s="1" t="str">
        <f t="shared" si="188"/>
        <v>F06</v>
      </c>
      <c r="AJ301" s="1" t="str">
        <f t="shared" ref="AJ301:AJ308" si="213">"KID"</f>
        <v>KID</v>
      </c>
      <c r="AK301" s="1" t="str">
        <f t="shared" si="189"/>
        <v>PA</v>
      </c>
      <c r="AP301" s="1" t="str">
        <f t="shared" si="190"/>
        <v>False</v>
      </c>
      <c r="AR301" s="1" t="str">
        <f t="shared" ref="AR301:AR308" si="214">"TAREK"</f>
        <v>TAREK</v>
      </c>
      <c r="AY301" s="1" t="str">
        <f t="shared" si="191"/>
        <v>PF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 t="str">
        <f t="shared" ref="BE301:BE308" si="215">"GOMMA MESH+MICROSUE"</f>
        <v>GOMMA MESH+MICROSUE</v>
      </c>
      <c r="BF301" s="1" t="str">
        <f t="shared" si="192"/>
        <v>Bonis SpA</v>
      </c>
    </row>
    <row r="302" spans="2:69" x14ac:dyDescent="0.25">
      <c r="B302" s="1">
        <v>1760</v>
      </c>
      <c r="C302" s="1" t="str">
        <f t="shared" si="210"/>
        <v>TAREK4158S7/MH1</v>
      </c>
      <c r="E302" s="1" t="str">
        <f>"29"</f>
        <v>29</v>
      </c>
      <c r="F302" s="1" t="str">
        <f t="shared" si="177"/>
        <v>BONIS SPA</v>
      </c>
      <c r="G302" s="1" t="str">
        <f t="shared" si="178"/>
        <v>STOCK TERRA MP</v>
      </c>
      <c r="H302" s="1" t="str">
        <f t="shared" si="211"/>
        <v>LIBL</v>
      </c>
      <c r="K302" s="1">
        <v>1</v>
      </c>
      <c r="L302" s="1" t="str">
        <f t="shared" si="179"/>
        <v>01</v>
      </c>
      <c r="M302" s="1" t="str">
        <f t="shared" si="208"/>
        <v>102</v>
      </c>
      <c r="N302" s="1" t="str">
        <f t="shared" si="209"/>
        <v>014</v>
      </c>
      <c r="O302" s="1" t="str">
        <f t="shared" si="181"/>
        <v>00</v>
      </c>
      <c r="P302" s="1" t="str">
        <f t="shared" si="182"/>
        <v>S</v>
      </c>
      <c r="Q302" s="1" t="str">
        <f t="shared" si="183"/>
        <v>P</v>
      </c>
      <c r="R302" s="1" t="str">
        <f t="shared" si="184"/>
        <v>01</v>
      </c>
      <c r="S302" s="1" t="str">
        <f t="shared" si="185"/>
        <v>03</v>
      </c>
      <c r="T302" s="1" t="str">
        <f t="shared" si="186"/>
        <v>False</v>
      </c>
      <c r="U302" s="1" t="str">
        <f t="shared" si="187"/>
        <v>True</v>
      </c>
      <c r="V302" s="1" t="str">
        <f t="shared" si="212"/>
        <v>U0031357</v>
      </c>
      <c r="W302" s="1">
        <v>1</v>
      </c>
      <c r="Y302" s="1">
        <v>0</v>
      </c>
      <c r="Z302" s="1">
        <v>0</v>
      </c>
      <c r="AI302" s="1" t="str">
        <f t="shared" si="188"/>
        <v>F06</v>
      </c>
      <c r="AJ302" s="1" t="str">
        <f t="shared" si="213"/>
        <v>KID</v>
      </c>
      <c r="AK302" s="1" t="str">
        <f t="shared" si="189"/>
        <v>PA</v>
      </c>
      <c r="AP302" s="1" t="str">
        <f t="shared" si="190"/>
        <v>False</v>
      </c>
      <c r="AR302" s="1" t="str">
        <f t="shared" si="214"/>
        <v>TAREK</v>
      </c>
      <c r="AY302" s="1" t="str">
        <f t="shared" si="191"/>
        <v>PF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 t="str">
        <f t="shared" si="215"/>
        <v>GOMMA MESH+MICROSUE</v>
      </c>
      <c r="BF302" s="1" t="str">
        <f t="shared" si="192"/>
        <v>Bonis SpA</v>
      </c>
    </row>
    <row r="303" spans="2:69" x14ac:dyDescent="0.25">
      <c r="B303" s="1">
        <v>1760</v>
      </c>
      <c r="C303" s="1" t="str">
        <f t="shared" si="210"/>
        <v>TAREK4158S7/MH1</v>
      </c>
      <c r="E303" s="1" t="str">
        <f>"30"</f>
        <v>30</v>
      </c>
      <c r="F303" s="1" t="str">
        <f t="shared" si="177"/>
        <v>BONIS SPA</v>
      </c>
      <c r="G303" s="1" t="str">
        <f t="shared" si="178"/>
        <v>STOCK TERRA MP</v>
      </c>
      <c r="H303" s="1" t="str">
        <f t="shared" si="211"/>
        <v>LIBL</v>
      </c>
      <c r="K303" s="1">
        <v>1</v>
      </c>
      <c r="L303" s="1" t="str">
        <f t="shared" si="179"/>
        <v>01</v>
      </c>
      <c r="M303" s="1" t="str">
        <f t="shared" si="208"/>
        <v>102</v>
      </c>
      <c r="N303" s="1" t="str">
        <f t="shared" si="209"/>
        <v>014</v>
      </c>
      <c r="O303" s="1" t="str">
        <f t="shared" si="181"/>
        <v>00</v>
      </c>
      <c r="P303" s="1" t="str">
        <f t="shared" si="182"/>
        <v>S</v>
      </c>
      <c r="Q303" s="1" t="str">
        <f t="shared" si="183"/>
        <v>P</v>
      </c>
      <c r="R303" s="1" t="str">
        <f t="shared" si="184"/>
        <v>01</v>
      </c>
      <c r="S303" s="1" t="str">
        <f t="shared" si="185"/>
        <v>03</v>
      </c>
      <c r="T303" s="1" t="str">
        <f t="shared" si="186"/>
        <v>False</v>
      </c>
      <c r="U303" s="1" t="str">
        <f t="shared" si="187"/>
        <v>True</v>
      </c>
      <c r="V303" s="1" t="str">
        <f t="shared" si="212"/>
        <v>U0031357</v>
      </c>
      <c r="W303" s="1">
        <v>1</v>
      </c>
      <c r="Y303" s="1">
        <v>0</v>
      </c>
      <c r="Z303" s="1">
        <v>0</v>
      </c>
      <c r="AI303" s="1" t="str">
        <f t="shared" si="188"/>
        <v>F06</v>
      </c>
      <c r="AJ303" s="1" t="str">
        <f t="shared" si="213"/>
        <v>KID</v>
      </c>
      <c r="AK303" s="1" t="str">
        <f t="shared" si="189"/>
        <v>PA</v>
      </c>
      <c r="AP303" s="1" t="str">
        <f t="shared" si="190"/>
        <v>False</v>
      </c>
      <c r="AR303" s="1" t="str">
        <f t="shared" si="214"/>
        <v>TAREK</v>
      </c>
      <c r="AY303" s="1" t="str">
        <f t="shared" si="191"/>
        <v>PF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 t="str">
        <f t="shared" si="215"/>
        <v>GOMMA MESH+MICROSUE</v>
      </c>
      <c r="BF303" s="1" t="str">
        <f t="shared" si="192"/>
        <v>Bonis SpA</v>
      </c>
    </row>
    <row r="304" spans="2:69" x14ac:dyDescent="0.25">
      <c r="B304" s="1">
        <v>1760</v>
      </c>
      <c r="C304" s="1" t="str">
        <f t="shared" si="210"/>
        <v>TAREK4158S7/MH1</v>
      </c>
      <c r="E304" s="1" t="str">
        <f>"34"</f>
        <v>34</v>
      </c>
      <c r="F304" s="1" t="str">
        <f t="shared" si="177"/>
        <v>BONIS SPA</v>
      </c>
      <c r="G304" s="1" t="str">
        <f t="shared" si="178"/>
        <v>STOCK TERRA MP</v>
      </c>
      <c r="H304" s="1" t="str">
        <f t="shared" si="211"/>
        <v>LIBL</v>
      </c>
      <c r="K304" s="1">
        <v>1</v>
      </c>
      <c r="L304" s="1" t="str">
        <f t="shared" si="179"/>
        <v>01</v>
      </c>
      <c r="M304" s="1" t="str">
        <f t="shared" si="208"/>
        <v>102</v>
      </c>
      <c r="N304" s="1" t="str">
        <f t="shared" si="209"/>
        <v>014</v>
      </c>
      <c r="O304" s="1" t="str">
        <f t="shared" si="181"/>
        <v>00</v>
      </c>
      <c r="P304" s="1" t="str">
        <f t="shared" si="182"/>
        <v>S</v>
      </c>
      <c r="Q304" s="1" t="str">
        <f t="shared" si="183"/>
        <v>P</v>
      </c>
      <c r="R304" s="1" t="str">
        <f t="shared" si="184"/>
        <v>01</v>
      </c>
      <c r="S304" s="1" t="str">
        <f t="shared" si="185"/>
        <v>03</v>
      </c>
      <c r="T304" s="1" t="str">
        <f t="shared" si="186"/>
        <v>False</v>
      </c>
      <c r="U304" s="1" t="str">
        <f t="shared" si="187"/>
        <v>True</v>
      </c>
      <c r="V304" s="1" t="str">
        <f t="shared" si="212"/>
        <v>U0031357</v>
      </c>
      <c r="W304" s="1">
        <v>1</v>
      </c>
      <c r="Y304" s="1">
        <v>0</v>
      </c>
      <c r="Z304" s="1">
        <v>0</v>
      </c>
      <c r="AI304" s="1" t="str">
        <f t="shared" si="188"/>
        <v>F06</v>
      </c>
      <c r="AJ304" s="1" t="str">
        <f t="shared" si="213"/>
        <v>KID</v>
      </c>
      <c r="AK304" s="1" t="str">
        <f t="shared" si="189"/>
        <v>PA</v>
      </c>
      <c r="AP304" s="1" t="str">
        <f t="shared" si="190"/>
        <v>False</v>
      </c>
      <c r="AR304" s="1" t="str">
        <f t="shared" si="214"/>
        <v>TAREK</v>
      </c>
      <c r="AY304" s="1" t="str">
        <f t="shared" si="191"/>
        <v>PF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 t="str">
        <f t="shared" si="215"/>
        <v>GOMMA MESH+MICROSUE</v>
      </c>
      <c r="BF304" s="1" t="str">
        <f t="shared" si="192"/>
        <v>Bonis SpA</v>
      </c>
    </row>
    <row r="305" spans="2:58" x14ac:dyDescent="0.25">
      <c r="B305" s="1">
        <v>1760</v>
      </c>
      <c r="C305" s="1" t="str">
        <f t="shared" si="210"/>
        <v>TAREK4158S7/MH1</v>
      </c>
      <c r="E305" s="1" t="str">
        <f>"36"</f>
        <v>36</v>
      </c>
      <c r="F305" s="1" t="str">
        <f t="shared" si="177"/>
        <v>BONIS SPA</v>
      </c>
      <c r="G305" s="1" t="str">
        <f t="shared" si="178"/>
        <v>STOCK TERRA MP</v>
      </c>
      <c r="H305" s="1" t="str">
        <f t="shared" si="211"/>
        <v>LIBL</v>
      </c>
      <c r="K305" s="1">
        <v>1</v>
      </c>
      <c r="L305" s="1" t="str">
        <f t="shared" si="179"/>
        <v>01</v>
      </c>
      <c r="M305" s="1" t="str">
        <f t="shared" si="208"/>
        <v>102</v>
      </c>
      <c r="N305" s="1" t="str">
        <f t="shared" si="209"/>
        <v>014</v>
      </c>
      <c r="O305" s="1" t="str">
        <f t="shared" si="181"/>
        <v>00</v>
      </c>
      <c r="P305" s="1" t="str">
        <f t="shared" si="182"/>
        <v>S</v>
      </c>
      <c r="Q305" s="1" t="str">
        <f t="shared" si="183"/>
        <v>P</v>
      </c>
      <c r="R305" s="1" t="str">
        <f t="shared" si="184"/>
        <v>01</v>
      </c>
      <c r="S305" s="1" t="str">
        <f t="shared" si="185"/>
        <v>03</v>
      </c>
      <c r="T305" s="1" t="str">
        <f t="shared" si="186"/>
        <v>False</v>
      </c>
      <c r="U305" s="1" t="str">
        <f t="shared" si="187"/>
        <v>True</v>
      </c>
      <c r="V305" s="1" t="str">
        <f t="shared" si="212"/>
        <v>U0031357</v>
      </c>
      <c r="W305" s="1">
        <v>1</v>
      </c>
      <c r="Y305" s="1">
        <v>0</v>
      </c>
      <c r="Z305" s="1">
        <v>0</v>
      </c>
      <c r="AI305" s="1" t="str">
        <f t="shared" si="188"/>
        <v>F06</v>
      </c>
      <c r="AJ305" s="1" t="str">
        <f t="shared" si="213"/>
        <v>KID</v>
      </c>
      <c r="AK305" s="1" t="str">
        <f t="shared" si="189"/>
        <v>PA</v>
      </c>
      <c r="AP305" s="1" t="str">
        <f t="shared" si="190"/>
        <v>False</v>
      </c>
      <c r="AR305" s="1" t="str">
        <f t="shared" si="214"/>
        <v>TAREK</v>
      </c>
      <c r="AY305" s="1" t="str">
        <f t="shared" si="191"/>
        <v>PF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 t="str">
        <f t="shared" si="215"/>
        <v>GOMMA MESH+MICROSUE</v>
      </c>
      <c r="BF305" s="1" t="str">
        <f t="shared" si="192"/>
        <v>Bonis SpA</v>
      </c>
    </row>
    <row r="306" spans="2:58" x14ac:dyDescent="0.25">
      <c r="B306" s="1">
        <v>1760</v>
      </c>
      <c r="C306" s="1" t="str">
        <f t="shared" si="210"/>
        <v>TAREK4158S7/MH1</v>
      </c>
      <c r="E306" s="1" t="str">
        <f>"37"</f>
        <v>37</v>
      </c>
      <c r="F306" s="1" t="str">
        <f t="shared" si="177"/>
        <v>BONIS SPA</v>
      </c>
      <c r="G306" s="1" t="str">
        <f t="shared" si="178"/>
        <v>STOCK TERRA MP</v>
      </c>
      <c r="H306" s="1" t="str">
        <f t="shared" si="211"/>
        <v>LIBL</v>
      </c>
      <c r="K306" s="1">
        <v>1</v>
      </c>
      <c r="L306" s="1" t="str">
        <f t="shared" si="179"/>
        <v>01</v>
      </c>
      <c r="M306" s="1" t="str">
        <f t="shared" si="208"/>
        <v>102</v>
      </c>
      <c r="N306" s="1" t="str">
        <f t="shared" si="209"/>
        <v>014</v>
      </c>
      <c r="O306" s="1" t="str">
        <f t="shared" si="181"/>
        <v>00</v>
      </c>
      <c r="P306" s="1" t="str">
        <f t="shared" si="182"/>
        <v>S</v>
      </c>
      <c r="Q306" s="1" t="str">
        <f t="shared" si="183"/>
        <v>P</v>
      </c>
      <c r="R306" s="1" t="str">
        <f t="shared" si="184"/>
        <v>01</v>
      </c>
      <c r="S306" s="1" t="str">
        <f t="shared" si="185"/>
        <v>03</v>
      </c>
      <c r="T306" s="1" t="str">
        <f t="shared" si="186"/>
        <v>False</v>
      </c>
      <c r="U306" s="1" t="str">
        <f t="shared" si="187"/>
        <v>True</v>
      </c>
      <c r="V306" s="1" t="str">
        <f t="shared" si="212"/>
        <v>U0031357</v>
      </c>
      <c r="W306" s="1">
        <v>1</v>
      </c>
      <c r="Y306" s="1">
        <v>0</v>
      </c>
      <c r="Z306" s="1">
        <v>0</v>
      </c>
      <c r="AI306" s="1" t="str">
        <f t="shared" si="188"/>
        <v>F06</v>
      </c>
      <c r="AJ306" s="1" t="str">
        <f t="shared" si="213"/>
        <v>KID</v>
      </c>
      <c r="AK306" s="1" t="str">
        <f t="shared" si="189"/>
        <v>PA</v>
      </c>
      <c r="AP306" s="1" t="str">
        <f t="shared" si="190"/>
        <v>False</v>
      </c>
      <c r="AR306" s="1" t="str">
        <f t="shared" si="214"/>
        <v>TAREK</v>
      </c>
      <c r="AY306" s="1" t="str">
        <f t="shared" si="191"/>
        <v>PF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 t="str">
        <f t="shared" si="215"/>
        <v>GOMMA MESH+MICROSUE</v>
      </c>
      <c r="BF306" s="1" t="str">
        <f t="shared" si="192"/>
        <v>Bonis SpA</v>
      </c>
    </row>
    <row r="307" spans="2:58" x14ac:dyDescent="0.25">
      <c r="B307" s="1">
        <v>1760</v>
      </c>
      <c r="C307" s="1" t="str">
        <f t="shared" si="210"/>
        <v>TAREK4158S7/MH1</v>
      </c>
      <c r="E307" s="1" t="str">
        <f>"38"</f>
        <v>38</v>
      </c>
      <c r="F307" s="1" t="str">
        <f t="shared" si="177"/>
        <v>BONIS SPA</v>
      </c>
      <c r="G307" s="1" t="str">
        <f t="shared" si="178"/>
        <v>STOCK TERRA MP</v>
      </c>
      <c r="H307" s="1" t="str">
        <f t="shared" si="211"/>
        <v>LIBL</v>
      </c>
      <c r="K307" s="1">
        <v>1</v>
      </c>
      <c r="L307" s="1" t="str">
        <f t="shared" si="179"/>
        <v>01</v>
      </c>
      <c r="M307" s="1" t="str">
        <f t="shared" si="208"/>
        <v>102</v>
      </c>
      <c r="N307" s="1" t="str">
        <f t="shared" si="209"/>
        <v>014</v>
      </c>
      <c r="O307" s="1" t="str">
        <f t="shared" si="181"/>
        <v>00</v>
      </c>
      <c r="P307" s="1" t="str">
        <f t="shared" si="182"/>
        <v>S</v>
      </c>
      <c r="Q307" s="1" t="str">
        <f t="shared" si="183"/>
        <v>P</v>
      </c>
      <c r="R307" s="1" t="str">
        <f t="shared" si="184"/>
        <v>01</v>
      </c>
      <c r="S307" s="1" t="str">
        <f t="shared" si="185"/>
        <v>03</v>
      </c>
      <c r="T307" s="1" t="str">
        <f t="shared" si="186"/>
        <v>False</v>
      </c>
      <c r="U307" s="1" t="str">
        <f t="shared" si="187"/>
        <v>True</v>
      </c>
      <c r="V307" s="1" t="str">
        <f t="shared" si="212"/>
        <v>U0031357</v>
      </c>
      <c r="W307" s="1">
        <v>1</v>
      </c>
      <c r="Y307" s="1">
        <v>0</v>
      </c>
      <c r="Z307" s="1">
        <v>0</v>
      </c>
      <c r="AI307" s="1" t="str">
        <f t="shared" si="188"/>
        <v>F06</v>
      </c>
      <c r="AJ307" s="1" t="str">
        <f t="shared" si="213"/>
        <v>KID</v>
      </c>
      <c r="AK307" s="1" t="str">
        <f t="shared" si="189"/>
        <v>PA</v>
      </c>
      <c r="AP307" s="1" t="str">
        <f t="shared" si="190"/>
        <v>False</v>
      </c>
      <c r="AR307" s="1" t="str">
        <f t="shared" si="214"/>
        <v>TAREK</v>
      </c>
      <c r="AY307" s="1" t="str">
        <f t="shared" si="191"/>
        <v>PF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 t="str">
        <f t="shared" si="215"/>
        <v>GOMMA MESH+MICROSUE</v>
      </c>
      <c r="BF307" s="1" t="str">
        <f t="shared" si="192"/>
        <v>Bonis SpA</v>
      </c>
    </row>
    <row r="308" spans="2:58" x14ac:dyDescent="0.25">
      <c r="B308" s="1">
        <v>1760</v>
      </c>
      <c r="C308" s="1" t="str">
        <f t="shared" si="210"/>
        <v>TAREK4158S7/MH1</v>
      </c>
      <c r="E308" s="1" t="str">
        <f>"39"</f>
        <v>39</v>
      </c>
      <c r="F308" s="1" t="str">
        <f t="shared" si="177"/>
        <v>BONIS SPA</v>
      </c>
      <c r="G308" s="1" t="str">
        <f t="shared" si="178"/>
        <v>STOCK TERRA MP</v>
      </c>
      <c r="H308" s="1" t="str">
        <f t="shared" si="211"/>
        <v>LIBL</v>
      </c>
      <c r="K308" s="1">
        <v>1</v>
      </c>
      <c r="L308" s="1" t="str">
        <f t="shared" si="179"/>
        <v>01</v>
      </c>
      <c r="M308" s="1" t="str">
        <f t="shared" si="208"/>
        <v>102</v>
      </c>
      <c r="N308" s="1" t="str">
        <f t="shared" si="209"/>
        <v>014</v>
      </c>
      <c r="O308" s="1" t="str">
        <f t="shared" si="181"/>
        <v>00</v>
      </c>
      <c r="P308" s="1" t="str">
        <f t="shared" si="182"/>
        <v>S</v>
      </c>
      <c r="Q308" s="1" t="str">
        <f t="shared" si="183"/>
        <v>P</v>
      </c>
      <c r="R308" s="1" t="str">
        <f t="shared" si="184"/>
        <v>01</v>
      </c>
      <c r="S308" s="1" t="str">
        <f t="shared" si="185"/>
        <v>03</v>
      </c>
      <c r="T308" s="1" t="str">
        <f t="shared" si="186"/>
        <v>False</v>
      </c>
      <c r="U308" s="1" t="str">
        <f t="shared" si="187"/>
        <v>True</v>
      </c>
      <c r="V308" s="1" t="str">
        <f t="shared" si="212"/>
        <v>U0031357</v>
      </c>
      <c r="W308" s="1">
        <v>1</v>
      </c>
      <c r="Y308" s="1">
        <v>0</v>
      </c>
      <c r="Z308" s="1">
        <v>0</v>
      </c>
      <c r="AI308" s="1" t="str">
        <f t="shared" si="188"/>
        <v>F06</v>
      </c>
      <c r="AJ308" s="1" t="str">
        <f t="shared" si="213"/>
        <v>KID</v>
      </c>
      <c r="AK308" s="1" t="str">
        <f t="shared" si="189"/>
        <v>PA</v>
      </c>
      <c r="AP308" s="1" t="str">
        <f t="shared" si="190"/>
        <v>False</v>
      </c>
      <c r="AR308" s="1" t="str">
        <f t="shared" si="214"/>
        <v>TAREK</v>
      </c>
      <c r="AY308" s="1" t="str">
        <f t="shared" si="191"/>
        <v>PF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 t="str">
        <f t="shared" si="215"/>
        <v>GOMMA MESH+MICROSUE</v>
      </c>
      <c r="BF308" s="1" t="str">
        <f t="shared" si="192"/>
        <v>Bonis SpA</v>
      </c>
    </row>
    <row r="309" spans="2:58" x14ac:dyDescent="0.25">
      <c r="B309" s="1">
        <v>1760</v>
      </c>
      <c r="C309" s="1" t="str">
        <f>"EGEO4169S7/Y1"</f>
        <v>EGEO4169S7/Y1</v>
      </c>
      <c r="E309" s="1" t="str">
        <f>"36"</f>
        <v>36</v>
      </c>
      <c r="F309" s="1" t="str">
        <f t="shared" si="177"/>
        <v>BONIS SPA</v>
      </c>
      <c r="G309" s="1" t="str">
        <f t="shared" si="178"/>
        <v>STOCK TERRA MP</v>
      </c>
      <c r="H309" s="1" t="str">
        <f>"SIL"</f>
        <v>SIL</v>
      </c>
      <c r="K309" s="1">
        <v>2</v>
      </c>
      <c r="L309" s="1" t="str">
        <f t="shared" si="179"/>
        <v>01</v>
      </c>
      <c r="M309" s="1" t="str">
        <f t="shared" si="208"/>
        <v>102</v>
      </c>
      <c r="N309" s="1" t="str">
        <f t="shared" si="209"/>
        <v>014</v>
      </c>
      <c r="O309" s="1" t="str">
        <f t="shared" si="181"/>
        <v>00</v>
      </c>
      <c r="P309" s="1" t="str">
        <f t="shared" si="182"/>
        <v>S</v>
      </c>
      <c r="Q309" s="1" t="str">
        <f t="shared" si="183"/>
        <v>P</v>
      </c>
      <c r="R309" s="1" t="str">
        <f t="shared" si="184"/>
        <v>01</v>
      </c>
      <c r="S309" s="1" t="str">
        <f t="shared" si="185"/>
        <v>03</v>
      </c>
      <c r="T309" s="1" t="str">
        <f t="shared" si="186"/>
        <v>False</v>
      </c>
      <c r="U309" s="1" t="str">
        <f t="shared" si="187"/>
        <v>True</v>
      </c>
      <c r="V309" s="1" t="str">
        <f>"U0031331"</f>
        <v>U0031331</v>
      </c>
      <c r="W309" s="1">
        <v>1</v>
      </c>
      <c r="Y309" s="1">
        <v>0</v>
      </c>
      <c r="Z309" s="1">
        <v>0</v>
      </c>
      <c r="AI309" s="1" t="str">
        <f t="shared" si="188"/>
        <v>F06</v>
      </c>
      <c r="AJ309" s="1" t="str">
        <f>"WOMAN"</f>
        <v>WOMAN</v>
      </c>
      <c r="AK309" s="1" t="str">
        <f t="shared" si="189"/>
        <v>PA</v>
      </c>
      <c r="AP309" s="1" t="str">
        <f t="shared" si="190"/>
        <v>False</v>
      </c>
      <c r="AR309" s="1" t="str">
        <f>"EGEO"</f>
        <v>EGEO</v>
      </c>
      <c r="AY309" s="1" t="str">
        <f t="shared" si="191"/>
        <v>PF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 t="str">
        <f>"GEO TOMAIA SYNTHETIC"</f>
        <v>GEO TOMAIA SYNTHETIC</v>
      </c>
      <c r="BF309" s="1" t="str">
        <f t="shared" si="192"/>
        <v>Bonis SpA</v>
      </c>
    </row>
    <row r="310" spans="2:58" x14ac:dyDescent="0.25">
      <c r="B310" s="1">
        <v>1760</v>
      </c>
      <c r="C310" s="1" t="str">
        <f>"EGEO4169S7/Y1"</f>
        <v>EGEO4169S7/Y1</v>
      </c>
      <c r="E310" s="1" t="str">
        <f>"37"</f>
        <v>37</v>
      </c>
      <c r="F310" s="1" t="str">
        <f t="shared" si="177"/>
        <v>BONIS SPA</v>
      </c>
      <c r="G310" s="1" t="str">
        <f t="shared" si="178"/>
        <v>STOCK TERRA MP</v>
      </c>
      <c r="H310" s="1" t="str">
        <f>"SIL"</f>
        <v>SIL</v>
      </c>
      <c r="K310" s="1">
        <v>1</v>
      </c>
      <c r="L310" s="1" t="str">
        <f t="shared" si="179"/>
        <v>01</v>
      </c>
      <c r="M310" s="1" t="str">
        <f t="shared" si="208"/>
        <v>102</v>
      </c>
      <c r="N310" s="1" t="str">
        <f t="shared" si="209"/>
        <v>014</v>
      </c>
      <c r="O310" s="1" t="str">
        <f t="shared" si="181"/>
        <v>00</v>
      </c>
      <c r="P310" s="1" t="str">
        <f t="shared" si="182"/>
        <v>S</v>
      </c>
      <c r="Q310" s="1" t="str">
        <f t="shared" si="183"/>
        <v>P</v>
      </c>
      <c r="R310" s="1" t="str">
        <f t="shared" si="184"/>
        <v>01</v>
      </c>
      <c r="S310" s="1" t="str">
        <f t="shared" si="185"/>
        <v>03</v>
      </c>
      <c r="T310" s="1" t="str">
        <f t="shared" si="186"/>
        <v>False</v>
      </c>
      <c r="U310" s="1" t="str">
        <f t="shared" si="187"/>
        <v>True</v>
      </c>
      <c r="V310" s="1" t="str">
        <f>"U0031331"</f>
        <v>U0031331</v>
      </c>
      <c r="W310" s="1">
        <v>1</v>
      </c>
      <c r="Y310" s="1">
        <v>0</v>
      </c>
      <c r="Z310" s="1">
        <v>0</v>
      </c>
      <c r="AI310" s="1" t="str">
        <f t="shared" si="188"/>
        <v>F06</v>
      </c>
      <c r="AJ310" s="1" t="str">
        <f>"WOMAN"</f>
        <v>WOMAN</v>
      </c>
      <c r="AK310" s="1" t="str">
        <f t="shared" si="189"/>
        <v>PA</v>
      </c>
      <c r="AP310" s="1" t="str">
        <f t="shared" si="190"/>
        <v>False</v>
      </c>
      <c r="AR310" s="1" t="str">
        <f>"EGEO"</f>
        <v>EGEO</v>
      </c>
      <c r="AY310" s="1" t="str">
        <f t="shared" si="191"/>
        <v>PF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 t="str">
        <f>"GEO TOMAIA SYNTHETIC"</f>
        <v>GEO TOMAIA SYNTHETIC</v>
      </c>
      <c r="BF310" s="1" t="str">
        <f t="shared" si="192"/>
        <v>Bonis SpA</v>
      </c>
    </row>
    <row r="311" spans="2:58" x14ac:dyDescent="0.25">
      <c r="B311" s="1">
        <v>1760</v>
      </c>
      <c r="C311" s="1" t="str">
        <f>"SOLAN4189S7/C1"</f>
        <v>SOLAN4189S7/C1</v>
      </c>
      <c r="E311" s="1" t="str">
        <f>"40"</f>
        <v>40</v>
      </c>
      <c r="F311" s="1" t="str">
        <f t="shared" si="177"/>
        <v>BONIS SPA</v>
      </c>
      <c r="G311" s="1" t="str">
        <f t="shared" si="178"/>
        <v>STOCK TERRA MP</v>
      </c>
      <c r="H311" s="1" t="str">
        <f>"GREY"</f>
        <v>GREY</v>
      </c>
      <c r="K311" s="1">
        <v>1</v>
      </c>
      <c r="L311" s="1" t="str">
        <f t="shared" si="179"/>
        <v>01</v>
      </c>
      <c r="M311" s="1" t="str">
        <f t="shared" si="208"/>
        <v>102</v>
      </c>
      <c r="N311" s="1" t="str">
        <f t="shared" si="209"/>
        <v>014</v>
      </c>
      <c r="O311" s="1" t="str">
        <f t="shared" si="181"/>
        <v>00</v>
      </c>
      <c r="P311" s="1" t="str">
        <f t="shared" si="182"/>
        <v>S</v>
      </c>
      <c r="Q311" s="1" t="str">
        <f t="shared" si="183"/>
        <v>P</v>
      </c>
      <c r="R311" s="1" t="str">
        <f t="shared" si="184"/>
        <v>01</v>
      </c>
      <c r="S311" s="1" t="str">
        <f t="shared" si="185"/>
        <v>03</v>
      </c>
      <c r="T311" s="1" t="str">
        <f t="shared" si="186"/>
        <v>False</v>
      </c>
      <c r="U311" s="1" t="str">
        <f t="shared" si="187"/>
        <v>True</v>
      </c>
      <c r="V311" s="1" t="str">
        <f>"U0032392"</f>
        <v>U0032392</v>
      </c>
      <c r="W311" s="1">
        <v>1</v>
      </c>
      <c r="Y311" s="1">
        <v>0</v>
      </c>
      <c r="Z311" s="1">
        <v>0</v>
      </c>
      <c r="AB311" s="1" t="str">
        <f t="shared" ref="AB311:AB356" si="216">"SMU"</f>
        <v>SMU</v>
      </c>
      <c r="AI311" s="1" t="str">
        <f t="shared" si="188"/>
        <v>F06</v>
      </c>
      <c r="AJ311" s="1" t="str">
        <f t="shared" ref="AJ311:AJ338" si="217">"MAN"</f>
        <v>MAN</v>
      </c>
      <c r="AK311" s="1" t="str">
        <f t="shared" si="189"/>
        <v>PA</v>
      </c>
      <c r="AP311" s="1" t="str">
        <f t="shared" si="190"/>
        <v>False</v>
      </c>
      <c r="AR311" s="1" t="str">
        <f>"SOLAN"</f>
        <v>SOLAN</v>
      </c>
      <c r="AY311" s="1" t="str">
        <f t="shared" si="191"/>
        <v>PF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 t="str">
        <f>"S.CADET GOMMA  TWILL CANVAS"</f>
        <v>S.CADET GOMMA  TWILL CANVAS</v>
      </c>
      <c r="BF311" s="1" t="str">
        <f t="shared" si="192"/>
        <v>Bonis SpA</v>
      </c>
    </row>
    <row r="312" spans="2:58" x14ac:dyDescent="0.25">
      <c r="B312" s="1">
        <v>1760</v>
      </c>
      <c r="C312" s="1" t="str">
        <f>"SOLAN4189S7/C1"</f>
        <v>SOLAN4189S7/C1</v>
      </c>
      <c r="E312" s="1" t="str">
        <f>"41"</f>
        <v>41</v>
      </c>
      <c r="F312" s="1" t="str">
        <f t="shared" si="177"/>
        <v>BONIS SPA</v>
      </c>
      <c r="G312" s="1" t="str">
        <f t="shared" si="178"/>
        <v>STOCK TERRA MP</v>
      </c>
      <c r="H312" s="1" t="str">
        <f>"GREY"</f>
        <v>GREY</v>
      </c>
      <c r="K312" s="1">
        <v>2</v>
      </c>
      <c r="L312" s="1" t="str">
        <f t="shared" si="179"/>
        <v>01</v>
      </c>
      <c r="M312" s="1" t="str">
        <f t="shared" si="208"/>
        <v>102</v>
      </c>
      <c r="N312" s="1" t="str">
        <f t="shared" si="209"/>
        <v>014</v>
      </c>
      <c r="O312" s="1" t="str">
        <f t="shared" si="181"/>
        <v>00</v>
      </c>
      <c r="P312" s="1" t="str">
        <f t="shared" si="182"/>
        <v>S</v>
      </c>
      <c r="Q312" s="1" t="str">
        <f t="shared" si="183"/>
        <v>P</v>
      </c>
      <c r="R312" s="1" t="str">
        <f t="shared" si="184"/>
        <v>01</v>
      </c>
      <c r="S312" s="1" t="str">
        <f t="shared" si="185"/>
        <v>03</v>
      </c>
      <c r="T312" s="1" t="str">
        <f t="shared" si="186"/>
        <v>False</v>
      </c>
      <c r="U312" s="1" t="str">
        <f t="shared" si="187"/>
        <v>True</v>
      </c>
      <c r="V312" s="1" t="str">
        <f>"U0032392"</f>
        <v>U0032392</v>
      </c>
      <c r="W312" s="1">
        <v>1</v>
      </c>
      <c r="Y312" s="1">
        <v>0</v>
      </c>
      <c r="Z312" s="1">
        <v>0</v>
      </c>
      <c r="AB312" s="1" t="str">
        <f t="shared" si="216"/>
        <v>SMU</v>
      </c>
      <c r="AI312" s="1" t="str">
        <f t="shared" si="188"/>
        <v>F06</v>
      </c>
      <c r="AJ312" s="1" t="str">
        <f t="shared" si="217"/>
        <v>MAN</v>
      </c>
      <c r="AK312" s="1" t="str">
        <f t="shared" si="189"/>
        <v>PA</v>
      </c>
      <c r="AP312" s="1" t="str">
        <f t="shared" si="190"/>
        <v>False</v>
      </c>
      <c r="AR312" s="1" t="str">
        <f>"SOLAN"</f>
        <v>SOLAN</v>
      </c>
      <c r="AY312" s="1" t="str">
        <f t="shared" si="191"/>
        <v>PF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 t="str">
        <f>"S.CADET GOMMA  TWILL CANVAS"</f>
        <v>S.CADET GOMMA  TWILL CANVAS</v>
      </c>
      <c r="BF312" s="1" t="str">
        <f t="shared" si="192"/>
        <v>Bonis SpA</v>
      </c>
    </row>
    <row r="313" spans="2:58" x14ac:dyDescent="0.25">
      <c r="B313" s="1">
        <v>1760</v>
      </c>
      <c r="C313" s="1" t="str">
        <f>"SOLAN4189S7/C1"</f>
        <v>SOLAN4189S7/C1</v>
      </c>
      <c r="E313" s="1" t="str">
        <f>"42"</f>
        <v>42</v>
      </c>
      <c r="F313" s="1" t="str">
        <f t="shared" si="177"/>
        <v>BONIS SPA</v>
      </c>
      <c r="G313" s="1" t="str">
        <f t="shared" si="178"/>
        <v>STOCK TERRA MP</v>
      </c>
      <c r="H313" s="1" t="str">
        <f>"GREY"</f>
        <v>GREY</v>
      </c>
      <c r="K313" s="1">
        <v>1</v>
      </c>
      <c r="L313" s="1" t="str">
        <f t="shared" si="179"/>
        <v>01</v>
      </c>
      <c r="M313" s="1" t="str">
        <f t="shared" si="208"/>
        <v>102</v>
      </c>
      <c r="N313" s="1" t="str">
        <f t="shared" si="209"/>
        <v>014</v>
      </c>
      <c r="O313" s="1" t="str">
        <f t="shared" si="181"/>
        <v>00</v>
      </c>
      <c r="P313" s="1" t="str">
        <f t="shared" si="182"/>
        <v>S</v>
      </c>
      <c r="Q313" s="1" t="str">
        <f t="shared" si="183"/>
        <v>P</v>
      </c>
      <c r="R313" s="1" t="str">
        <f t="shared" si="184"/>
        <v>01</v>
      </c>
      <c r="S313" s="1" t="str">
        <f t="shared" si="185"/>
        <v>03</v>
      </c>
      <c r="T313" s="1" t="str">
        <f t="shared" si="186"/>
        <v>False</v>
      </c>
      <c r="U313" s="1" t="str">
        <f t="shared" si="187"/>
        <v>True</v>
      </c>
      <c r="V313" s="1" t="str">
        <f>"U0032392"</f>
        <v>U0032392</v>
      </c>
      <c r="W313" s="1">
        <v>1</v>
      </c>
      <c r="Y313" s="1">
        <v>0</v>
      </c>
      <c r="Z313" s="1">
        <v>0</v>
      </c>
      <c r="AB313" s="1" t="str">
        <f t="shared" si="216"/>
        <v>SMU</v>
      </c>
      <c r="AI313" s="1" t="str">
        <f t="shared" si="188"/>
        <v>F06</v>
      </c>
      <c r="AJ313" s="1" t="str">
        <f t="shared" si="217"/>
        <v>MAN</v>
      </c>
      <c r="AK313" s="1" t="str">
        <f t="shared" si="189"/>
        <v>PA</v>
      </c>
      <c r="AP313" s="1" t="str">
        <f t="shared" si="190"/>
        <v>False</v>
      </c>
      <c r="AR313" s="1" t="str">
        <f>"SOLAN"</f>
        <v>SOLAN</v>
      </c>
      <c r="AY313" s="1" t="str">
        <f t="shared" si="191"/>
        <v>PF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 t="str">
        <f>"S.CADET GOMMA  TWILL CANVAS"</f>
        <v>S.CADET GOMMA  TWILL CANVAS</v>
      </c>
      <c r="BF313" s="1" t="str">
        <f t="shared" si="192"/>
        <v>Bonis SpA</v>
      </c>
    </row>
    <row r="314" spans="2:58" x14ac:dyDescent="0.25">
      <c r="B314" s="1">
        <v>1760</v>
      </c>
      <c r="C314" s="1" t="str">
        <f t="shared" ref="C314:C320" si="218">"GALAN4182S7/CY1"</f>
        <v>GALAN4182S7/CY1</v>
      </c>
      <c r="E314" s="1" t="str">
        <f>"40"</f>
        <v>40</v>
      </c>
      <c r="F314" s="1" t="str">
        <f t="shared" si="177"/>
        <v>BONIS SPA</v>
      </c>
      <c r="G314" s="1" t="str">
        <f t="shared" si="178"/>
        <v>STOCK TERRA MP</v>
      </c>
      <c r="H314" s="1" t="str">
        <f>"DKBL"</f>
        <v>DKBL</v>
      </c>
      <c r="K314" s="1">
        <v>1</v>
      </c>
      <c r="L314" s="1" t="str">
        <f t="shared" si="179"/>
        <v>01</v>
      </c>
      <c r="M314" s="1" t="str">
        <f t="shared" si="208"/>
        <v>102</v>
      </c>
      <c r="N314" s="1" t="str">
        <f t="shared" si="209"/>
        <v>014</v>
      </c>
      <c r="O314" s="1" t="str">
        <f t="shared" si="181"/>
        <v>00</v>
      </c>
      <c r="P314" s="1" t="str">
        <f t="shared" si="182"/>
        <v>S</v>
      </c>
      <c r="Q314" s="1" t="str">
        <f t="shared" si="183"/>
        <v>P</v>
      </c>
      <c r="R314" s="1" t="str">
        <f t="shared" si="184"/>
        <v>01</v>
      </c>
      <c r="S314" s="1" t="str">
        <f t="shared" si="185"/>
        <v>03</v>
      </c>
      <c r="T314" s="1" t="str">
        <f t="shared" si="186"/>
        <v>False</v>
      </c>
      <c r="U314" s="1" t="str">
        <f t="shared" si="187"/>
        <v>True</v>
      </c>
      <c r="V314" s="1" t="str">
        <f>"U0032391"</f>
        <v>U0032391</v>
      </c>
      <c r="W314" s="1">
        <v>1</v>
      </c>
      <c r="Y314" s="1">
        <v>0</v>
      </c>
      <c r="Z314" s="1">
        <v>0</v>
      </c>
      <c r="AB314" s="1" t="str">
        <f t="shared" si="216"/>
        <v>SMU</v>
      </c>
      <c r="AI314" s="1" t="str">
        <f t="shared" si="188"/>
        <v>F06</v>
      </c>
      <c r="AJ314" s="1" t="str">
        <f t="shared" si="217"/>
        <v>MAN</v>
      </c>
      <c r="AK314" s="1" t="str">
        <f t="shared" si="189"/>
        <v>PA</v>
      </c>
      <c r="AP314" s="1" t="str">
        <f t="shared" si="190"/>
        <v>False</v>
      </c>
      <c r="AR314" s="1" t="str">
        <f t="shared" ref="AR314:AR320" si="219">"GALAN"</f>
        <v>GALAN</v>
      </c>
      <c r="AY314" s="1" t="str">
        <f t="shared" si="191"/>
        <v>PF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 t="str">
        <f t="shared" ref="BE314:BE320" si="220">"LAN+TWILL CANVAS + SIN.LEATHER"</f>
        <v>LAN+TWILL CANVAS + SIN.LEATHER</v>
      </c>
      <c r="BF314" s="1" t="str">
        <f t="shared" si="192"/>
        <v>Bonis SpA</v>
      </c>
    </row>
    <row r="315" spans="2:58" x14ac:dyDescent="0.25">
      <c r="B315" s="1">
        <v>1760</v>
      </c>
      <c r="C315" s="1" t="str">
        <f t="shared" si="218"/>
        <v>GALAN4182S7/CY1</v>
      </c>
      <c r="E315" s="1" t="str">
        <f>"42"</f>
        <v>42</v>
      </c>
      <c r="F315" s="1" t="str">
        <f t="shared" si="177"/>
        <v>BONIS SPA</v>
      </c>
      <c r="G315" s="1" t="str">
        <f t="shared" si="178"/>
        <v>STOCK TERRA MP</v>
      </c>
      <c r="H315" s="1" t="str">
        <f>"DKBL"</f>
        <v>DKBL</v>
      </c>
      <c r="K315" s="1">
        <v>2</v>
      </c>
      <c r="L315" s="1" t="str">
        <f t="shared" si="179"/>
        <v>01</v>
      </c>
      <c r="M315" s="1" t="str">
        <f t="shared" si="208"/>
        <v>102</v>
      </c>
      <c r="N315" s="1" t="str">
        <f t="shared" si="209"/>
        <v>014</v>
      </c>
      <c r="O315" s="1" t="str">
        <f t="shared" si="181"/>
        <v>00</v>
      </c>
      <c r="P315" s="1" t="str">
        <f t="shared" si="182"/>
        <v>S</v>
      </c>
      <c r="Q315" s="1" t="str">
        <f t="shared" si="183"/>
        <v>P</v>
      </c>
      <c r="R315" s="1" t="str">
        <f t="shared" si="184"/>
        <v>01</v>
      </c>
      <c r="S315" s="1" t="str">
        <f t="shared" si="185"/>
        <v>03</v>
      </c>
      <c r="T315" s="1" t="str">
        <f t="shared" si="186"/>
        <v>False</v>
      </c>
      <c r="U315" s="1" t="str">
        <f t="shared" si="187"/>
        <v>True</v>
      </c>
      <c r="V315" s="1" t="str">
        <f>"U0032391"</f>
        <v>U0032391</v>
      </c>
      <c r="W315" s="1">
        <v>1</v>
      </c>
      <c r="Y315" s="1">
        <v>0</v>
      </c>
      <c r="Z315" s="1">
        <v>0</v>
      </c>
      <c r="AB315" s="1" t="str">
        <f t="shared" si="216"/>
        <v>SMU</v>
      </c>
      <c r="AI315" s="1" t="str">
        <f t="shared" si="188"/>
        <v>F06</v>
      </c>
      <c r="AJ315" s="1" t="str">
        <f t="shared" si="217"/>
        <v>MAN</v>
      </c>
      <c r="AK315" s="1" t="str">
        <f t="shared" si="189"/>
        <v>PA</v>
      </c>
      <c r="AP315" s="1" t="str">
        <f t="shared" si="190"/>
        <v>False</v>
      </c>
      <c r="AR315" s="1" t="str">
        <f t="shared" si="219"/>
        <v>GALAN</v>
      </c>
      <c r="AY315" s="1" t="str">
        <f t="shared" si="191"/>
        <v>PF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 t="str">
        <f t="shared" si="220"/>
        <v>LAN+TWILL CANVAS + SIN.LEATHER</v>
      </c>
      <c r="BF315" s="1" t="str">
        <f t="shared" si="192"/>
        <v>Bonis SpA</v>
      </c>
    </row>
    <row r="316" spans="2:58" x14ac:dyDescent="0.25">
      <c r="B316" s="1">
        <v>1760</v>
      </c>
      <c r="C316" s="1" t="str">
        <f t="shared" si="218"/>
        <v>GALAN4182S7/CY1</v>
      </c>
      <c r="E316" s="1" t="str">
        <f>"44"</f>
        <v>44</v>
      </c>
      <c r="F316" s="1" t="str">
        <f t="shared" si="177"/>
        <v>BONIS SPA</v>
      </c>
      <c r="G316" s="1" t="str">
        <f t="shared" si="178"/>
        <v>STOCK TERRA MP</v>
      </c>
      <c r="H316" s="1" t="str">
        <f>"DKBL"</f>
        <v>DKBL</v>
      </c>
      <c r="K316" s="1">
        <v>1</v>
      </c>
      <c r="L316" s="1" t="str">
        <f t="shared" si="179"/>
        <v>01</v>
      </c>
      <c r="M316" s="1" t="str">
        <f t="shared" si="208"/>
        <v>102</v>
      </c>
      <c r="N316" s="1" t="str">
        <f t="shared" si="209"/>
        <v>014</v>
      </c>
      <c r="O316" s="1" t="str">
        <f t="shared" si="181"/>
        <v>00</v>
      </c>
      <c r="P316" s="1" t="str">
        <f t="shared" si="182"/>
        <v>S</v>
      </c>
      <c r="Q316" s="1" t="str">
        <f t="shared" si="183"/>
        <v>P</v>
      </c>
      <c r="R316" s="1" t="str">
        <f t="shared" si="184"/>
        <v>01</v>
      </c>
      <c r="S316" s="1" t="str">
        <f t="shared" si="185"/>
        <v>03</v>
      </c>
      <c r="T316" s="1" t="str">
        <f t="shared" si="186"/>
        <v>False</v>
      </c>
      <c r="U316" s="1" t="str">
        <f t="shared" si="187"/>
        <v>True</v>
      </c>
      <c r="V316" s="1" t="str">
        <f>"U0032391"</f>
        <v>U0032391</v>
      </c>
      <c r="W316" s="1">
        <v>1</v>
      </c>
      <c r="Y316" s="1">
        <v>0</v>
      </c>
      <c r="Z316" s="1">
        <v>0</v>
      </c>
      <c r="AB316" s="1" t="str">
        <f t="shared" si="216"/>
        <v>SMU</v>
      </c>
      <c r="AI316" s="1" t="str">
        <f t="shared" si="188"/>
        <v>F06</v>
      </c>
      <c r="AJ316" s="1" t="str">
        <f t="shared" si="217"/>
        <v>MAN</v>
      </c>
      <c r="AK316" s="1" t="str">
        <f t="shared" si="189"/>
        <v>PA</v>
      </c>
      <c r="AP316" s="1" t="str">
        <f t="shared" si="190"/>
        <v>False</v>
      </c>
      <c r="AR316" s="1" t="str">
        <f t="shared" si="219"/>
        <v>GALAN</v>
      </c>
      <c r="AY316" s="1" t="str">
        <f t="shared" si="191"/>
        <v>PF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 t="str">
        <f t="shared" si="220"/>
        <v>LAN+TWILL CANVAS + SIN.LEATHER</v>
      </c>
      <c r="BF316" s="1" t="str">
        <f t="shared" si="192"/>
        <v>Bonis SpA</v>
      </c>
    </row>
    <row r="317" spans="2:58" x14ac:dyDescent="0.25">
      <c r="B317" s="1">
        <v>1760</v>
      </c>
      <c r="C317" s="1" t="str">
        <f t="shared" si="218"/>
        <v>GALAN4182S7/CY1</v>
      </c>
      <c r="E317" s="1" t="str">
        <f>"40"</f>
        <v>40</v>
      </c>
      <c r="F317" s="1" t="str">
        <f t="shared" si="177"/>
        <v>BONIS SPA</v>
      </c>
      <c r="G317" s="1" t="str">
        <f t="shared" si="178"/>
        <v>STOCK TERRA MP</v>
      </c>
      <c r="H317" s="1" t="str">
        <f>"WHI"</f>
        <v>WHI</v>
      </c>
      <c r="K317" s="1">
        <v>1</v>
      </c>
      <c r="L317" s="1" t="str">
        <f t="shared" si="179"/>
        <v>01</v>
      </c>
      <c r="M317" s="1" t="str">
        <f t="shared" si="208"/>
        <v>102</v>
      </c>
      <c r="N317" s="1" t="str">
        <f t="shared" si="209"/>
        <v>014</v>
      </c>
      <c r="O317" s="1" t="str">
        <f t="shared" si="181"/>
        <v>00</v>
      </c>
      <c r="P317" s="1" t="str">
        <f t="shared" si="182"/>
        <v>S</v>
      </c>
      <c r="Q317" s="1" t="str">
        <f t="shared" si="183"/>
        <v>P</v>
      </c>
      <c r="R317" s="1" t="str">
        <f t="shared" si="184"/>
        <v>01</v>
      </c>
      <c r="S317" s="1" t="str">
        <f t="shared" si="185"/>
        <v>03</v>
      </c>
      <c r="T317" s="1" t="str">
        <f t="shared" si="186"/>
        <v>False</v>
      </c>
      <c r="U317" s="1" t="str">
        <f t="shared" si="187"/>
        <v>True</v>
      </c>
      <c r="V317" s="1" t="str">
        <f>"U0032389"</f>
        <v>U0032389</v>
      </c>
      <c r="W317" s="1">
        <v>1</v>
      </c>
      <c r="Y317" s="1">
        <v>0</v>
      </c>
      <c r="Z317" s="1">
        <v>0</v>
      </c>
      <c r="AB317" s="1" t="str">
        <f t="shared" si="216"/>
        <v>SMU</v>
      </c>
      <c r="AI317" s="1" t="str">
        <f t="shared" si="188"/>
        <v>F06</v>
      </c>
      <c r="AJ317" s="1" t="str">
        <f t="shared" si="217"/>
        <v>MAN</v>
      </c>
      <c r="AK317" s="1" t="str">
        <f t="shared" si="189"/>
        <v>PA</v>
      </c>
      <c r="AP317" s="1" t="str">
        <f t="shared" si="190"/>
        <v>False</v>
      </c>
      <c r="AR317" s="1" t="str">
        <f t="shared" si="219"/>
        <v>GALAN</v>
      </c>
      <c r="AY317" s="1" t="str">
        <f t="shared" si="191"/>
        <v>PF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 t="str">
        <f t="shared" si="220"/>
        <v>LAN+TWILL CANVAS + SIN.LEATHER</v>
      </c>
      <c r="BF317" s="1" t="str">
        <f t="shared" si="192"/>
        <v>Bonis SpA</v>
      </c>
    </row>
    <row r="318" spans="2:58" x14ac:dyDescent="0.25">
      <c r="B318" s="1">
        <v>1760</v>
      </c>
      <c r="C318" s="1" t="str">
        <f t="shared" si="218"/>
        <v>GALAN4182S7/CY1</v>
      </c>
      <c r="E318" s="1" t="str">
        <f>"41"</f>
        <v>41</v>
      </c>
      <c r="F318" s="1" t="str">
        <f t="shared" si="177"/>
        <v>BONIS SPA</v>
      </c>
      <c r="G318" s="1" t="str">
        <f t="shared" si="178"/>
        <v>STOCK TERRA MP</v>
      </c>
      <c r="H318" s="1" t="str">
        <f>"WHI"</f>
        <v>WHI</v>
      </c>
      <c r="K318" s="1">
        <v>2</v>
      </c>
      <c r="L318" s="1" t="str">
        <f t="shared" si="179"/>
        <v>01</v>
      </c>
      <c r="M318" s="1" t="str">
        <f t="shared" si="208"/>
        <v>102</v>
      </c>
      <c r="N318" s="1" t="str">
        <f t="shared" si="209"/>
        <v>014</v>
      </c>
      <c r="O318" s="1" t="str">
        <f t="shared" si="181"/>
        <v>00</v>
      </c>
      <c r="P318" s="1" t="str">
        <f t="shared" si="182"/>
        <v>S</v>
      </c>
      <c r="Q318" s="1" t="str">
        <f t="shared" si="183"/>
        <v>P</v>
      </c>
      <c r="R318" s="1" t="str">
        <f t="shared" si="184"/>
        <v>01</v>
      </c>
      <c r="S318" s="1" t="str">
        <f t="shared" si="185"/>
        <v>03</v>
      </c>
      <c r="T318" s="1" t="str">
        <f t="shared" si="186"/>
        <v>False</v>
      </c>
      <c r="U318" s="1" t="str">
        <f t="shared" si="187"/>
        <v>True</v>
      </c>
      <c r="V318" s="1" t="str">
        <f>"U0032389"</f>
        <v>U0032389</v>
      </c>
      <c r="W318" s="1">
        <v>1</v>
      </c>
      <c r="Y318" s="1">
        <v>0</v>
      </c>
      <c r="Z318" s="1">
        <v>0</v>
      </c>
      <c r="AB318" s="1" t="str">
        <f t="shared" si="216"/>
        <v>SMU</v>
      </c>
      <c r="AI318" s="1" t="str">
        <f t="shared" si="188"/>
        <v>F06</v>
      </c>
      <c r="AJ318" s="1" t="str">
        <f t="shared" si="217"/>
        <v>MAN</v>
      </c>
      <c r="AK318" s="1" t="str">
        <f t="shared" si="189"/>
        <v>PA</v>
      </c>
      <c r="AP318" s="1" t="str">
        <f t="shared" si="190"/>
        <v>False</v>
      </c>
      <c r="AR318" s="1" t="str">
        <f t="shared" si="219"/>
        <v>GALAN</v>
      </c>
      <c r="AY318" s="1" t="str">
        <f t="shared" si="191"/>
        <v>PF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 t="str">
        <f t="shared" si="220"/>
        <v>LAN+TWILL CANVAS + SIN.LEATHER</v>
      </c>
      <c r="BF318" s="1" t="str">
        <f t="shared" si="192"/>
        <v>Bonis SpA</v>
      </c>
    </row>
    <row r="319" spans="2:58" x14ac:dyDescent="0.25">
      <c r="B319" s="1">
        <v>1760</v>
      </c>
      <c r="C319" s="1" t="str">
        <f t="shared" si="218"/>
        <v>GALAN4182S7/CY1</v>
      </c>
      <c r="E319" s="1" t="str">
        <f>"42"</f>
        <v>42</v>
      </c>
      <c r="F319" s="1" t="str">
        <f t="shared" si="177"/>
        <v>BONIS SPA</v>
      </c>
      <c r="G319" s="1" t="str">
        <f t="shared" si="178"/>
        <v>STOCK TERRA MP</v>
      </c>
      <c r="H319" s="1" t="str">
        <f>"WHI"</f>
        <v>WHI</v>
      </c>
      <c r="K319" s="1">
        <v>2</v>
      </c>
      <c r="L319" s="1" t="str">
        <f t="shared" si="179"/>
        <v>01</v>
      </c>
      <c r="M319" s="1" t="str">
        <f t="shared" si="208"/>
        <v>102</v>
      </c>
      <c r="N319" s="1" t="str">
        <f t="shared" si="209"/>
        <v>014</v>
      </c>
      <c r="O319" s="1" t="str">
        <f t="shared" si="181"/>
        <v>00</v>
      </c>
      <c r="P319" s="1" t="str">
        <f t="shared" si="182"/>
        <v>S</v>
      </c>
      <c r="Q319" s="1" t="str">
        <f t="shared" si="183"/>
        <v>P</v>
      </c>
      <c r="R319" s="1" t="str">
        <f t="shared" si="184"/>
        <v>01</v>
      </c>
      <c r="S319" s="1" t="str">
        <f t="shared" si="185"/>
        <v>03</v>
      </c>
      <c r="T319" s="1" t="str">
        <f t="shared" si="186"/>
        <v>False</v>
      </c>
      <c r="U319" s="1" t="str">
        <f t="shared" si="187"/>
        <v>True</v>
      </c>
      <c r="V319" s="1" t="str">
        <f>"U0032389"</f>
        <v>U0032389</v>
      </c>
      <c r="W319" s="1">
        <v>1</v>
      </c>
      <c r="Y319" s="1">
        <v>0</v>
      </c>
      <c r="Z319" s="1">
        <v>0</v>
      </c>
      <c r="AB319" s="1" t="str">
        <f t="shared" si="216"/>
        <v>SMU</v>
      </c>
      <c r="AI319" s="1" t="str">
        <f t="shared" si="188"/>
        <v>F06</v>
      </c>
      <c r="AJ319" s="1" t="str">
        <f t="shared" si="217"/>
        <v>MAN</v>
      </c>
      <c r="AK319" s="1" t="str">
        <f t="shared" si="189"/>
        <v>PA</v>
      </c>
      <c r="AP319" s="1" t="str">
        <f t="shared" si="190"/>
        <v>False</v>
      </c>
      <c r="AR319" s="1" t="str">
        <f t="shared" si="219"/>
        <v>GALAN</v>
      </c>
      <c r="AY319" s="1" t="str">
        <f t="shared" si="191"/>
        <v>PF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 t="str">
        <f t="shared" si="220"/>
        <v>LAN+TWILL CANVAS + SIN.LEATHER</v>
      </c>
      <c r="BF319" s="1" t="str">
        <f t="shared" si="192"/>
        <v>Bonis SpA</v>
      </c>
    </row>
    <row r="320" spans="2:58" x14ac:dyDescent="0.25">
      <c r="B320" s="1">
        <v>1760</v>
      </c>
      <c r="C320" s="1" t="str">
        <f t="shared" si="218"/>
        <v>GALAN4182S7/CY1</v>
      </c>
      <c r="E320" s="1" t="str">
        <f>"44"</f>
        <v>44</v>
      </c>
      <c r="F320" s="1" t="str">
        <f t="shared" si="177"/>
        <v>BONIS SPA</v>
      </c>
      <c r="G320" s="1" t="str">
        <f t="shared" si="178"/>
        <v>STOCK TERRA MP</v>
      </c>
      <c r="H320" s="1" t="str">
        <f>"WHI"</f>
        <v>WHI</v>
      </c>
      <c r="K320" s="1">
        <v>1</v>
      </c>
      <c r="L320" s="1" t="str">
        <f t="shared" si="179"/>
        <v>01</v>
      </c>
      <c r="M320" s="1" t="str">
        <f t="shared" si="208"/>
        <v>102</v>
      </c>
      <c r="N320" s="1" t="str">
        <f t="shared" si="209"/>
        <v>014</v>
      </c>
      <c r="O320" s="1" t="str">
        <f t="shared" si="181"/>
        <v>00</v>
      </c>
      <c r="P320" s="1" t="str">
        <f t="shared" si="182"/>
        <v>S</v>
      </c>
      <c r="Q320" s="1" t="str">
        <f t="shared" si="183"/>
        <v>P</v>
      </c>
      <c r="R320" s="1" t="str">
        <f t="shared" si="184"/>
        <v>01</v>
      </c>
      <c r="S320" s="1" t="str">
        <f t="shared" si="185"/>
        <v>03</v>
      </c>
      <c r="T320" s="1" t="str">
        <f t="shared" si="186"/>
        <v>False</v>
      </c>
      <c r="U320" s="1" t="str">
        <f t="shared" si="187"/>
        <v>True</v>
      </c>
      <c r="V320" s="1" t="str">
        <f>"U0032389"</f>
        <v>U0032389</v>
      </c>
      <c r="W320" s="1">
        <v>1</v>
      </c>
      <c r="Y320" s="1">
        <v>0</v>
      </c>
      <c r="Z320" s="1">
        <v>0</v>
      </c>
      <c r="AB320" s="1" t="str">
        <f t="shared" si="216"/>
        <v>SMU</v>
      </c>
      <c r="AI320" s="1" t="str">
        <f t="shared" si="188"/>
        <v>F06</v>
      </c>
      <c r="AJ320" s="1" t="str">
        <f t="shared" si="217"/>
        <v>MAN</v>
      </c>
      <c r="AK320" s="1" t="str">
        <f t="shared" si="189"/>
        <v>PA</v>
      </c>
      <c r="AP320" s="1" t="str">
        <f t="shared" si="190"/>
        <v>False</v>
      </c>
      <c r="AR320" s="1" t="str">
        <f t="shared" si="219"/>
        <v>GALAN</v>
      </c>
      <c r="AY320" s="1" t="str">
        <f t="shared" si="191"/>
        <v>PF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 t="str">
        <f t="shared" si="220"/>
        <v>LAN+TWILL CANVAS + SIN.LEATHER</v>
      </c>
      <c r="BF320" s="1" t="str">
        <f t="shared" si="192"/>
        <v>Bonis SpA</v>
      </c>
    </row>
    <row r="321" spans="2:58" x14ac:dyDescent="0.25">
      <c r="B321" s="1">
        <v>1760</v>
      </c>
      <c r="C321" s="1" t="str">
        <f>"SOLAN4189S7/C1"</f>
        <v>SOLAN4189S7/C1</v>
      </c>
      <c r="E321" s="1" t="str">
        <f>"40"</f>
        <v>40</v>
      </c>
      <c r="F321" s="1" t="str">
        <f t="shared" si="177"/>
        <v>BONIS SPA</v>
      </c>
      <c r="G321" s="1" t="str">
        <f t="shared" si="178"/>
        <v>STOCK TERRA MP</v>
      </c>
      <c r="H321" s="1" t="str">
        <f>"BEI"</f>
        <v>BEI</v>
      </c>
      <c r="K321" s="1">
        <v>1</v>
      </c>
      <c r="L321" s="1" t="str">
        <f t="shared" si="179"/>
        <v>01</v>
      </c>
      <c r="M321" s="1" t="str">
        <f t="shared" si="208"/>
        <v>102</v>
      </c>
      <c r="N321" s="1" t="str">
        <f t="shared" si="209"/>
        <v>014</v>
      </c>
      <c r="O321" s="1" t="str">
        <f t="shared" si="181"/>
        <v>00</v>
      </c>
      <c r="P321" s="1" t="str">
        <f t="shared" si="182"/>
        <v>S</v>
      </c>
      <c r="Q321" s="1" t="str">
        <f t="shared" si="183"/>
        <v>P</v>
      </c>
      <c r="R321" s="1" t="str">
        <f t="shared" si="184"/>
        <v>01</v>
      </c>
      <c r="S321" s="1" t="str">
        <f t="shared" si="185"/>
        <v>03</v>
      </c>
      <c r="T321" s="1" t="str">
        <f t="shared" si="186"/>
        <v>False</v>
      </c>
      <c r="U321" s="1" t="str">
        <f t="shared" si="187"/>
        <v>True</v>
      </c>
      <c r="V321" s="1" t="str">
        <f>"U0032386"</f>
        <v>U0032386</v>
      </c>
      <c r="W321" s="1">
        <v>1</v>
      </c>
      <c r="Y321" s="1">
        <v>0</v>
      </c>
      <c r="Z321" s="1">
        <v>0</v>
      </c>
      <c r="AB321" s="1" t="str">
        <f t="shared" si="216"/>
        <v>SMU</v>
      </c>
      <c r="AI321" s="1" t="str">
        <f t="shared" si="188"/>
        <v>F06</v>
      </c>
      <c r="AJ321" s="1" t="str">
        <f t="shared" si="217"/>
        <v>MAN</v>
      </c>
      <c r="AK321" s="1" t="str">
        <f t="shared" si="189"/>
        <v>PA</v>
      </c>
      <c r="AP321" s="1" t="str">
        <f t="shared" si="190"/>
        <v>False</v>
      </c>
      <c r="AR321" s="1" t="str">
        <f>"SOLAN"</f>
        <v>SOLAN</v>
      </c>
      <c r="AY321" s="1" t="str">
        <f t="shared" si="191"/>
        <v>PF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 t="str">
        <f>"S.CADET GOMMA  TWILL CANVAS"</f>
        <v>S.CADET GOMMA  TWILL CANVAS</v>
      </c>
      <c r="BF321" s="1" t="str">
        <f t="shared" si="192"/>
        <v>Bonis SpA</v>
      </c>
    </row>
    <row r="322" spans="2:58" x14ac:dyDescent="0.25">
      <c r="B322" s="1">
        <v>1760</v>
      </c>
      <c r="C322" s="1" t="str">
        <f>"SOLAN4189S7/C1"</f>
        <v>SOLAN4189S7/C1</v>
      </c>
      <c r="E322" s="1" t="str">
        <f>"41"</f>
        <v>41</v>
      </c>
      <c r="F322" s="1" t="str">
        <f t="shared" ref="F322:F385" si="221">"BONIS SPA"</f>
        <v>BONIS SPA</v>
      </c>
      <c r="G322" s="1" t="str">
        <f t="shared" ref="G322:G385" si="222">"STOCK TERRA MP"</f>
        <v>STOCK TERRA MP</v>
      </c>
      <c r="H322" s="1" t="str">
        <f>"BEI"</f>
        <v>BEI</v>
      </c>
      <c r="K322" s="1">
        <v>1</v>
      </c>
      <c r="L322" s="1" t="str">
        <f t="shared" ref="L322:L385" si="223">"01"</f>
        <v>01</v>
      </c>
      <c r="M322" s="1" t="str">
        <f t="shared" si="208"/>
        <v>102</v>
      </c>
      <c r="N322" s="1" t="str">
        <f t="shared" si="209"/>
        <v>014</v>
      </c>
      <c r="O322" s="1" t="str">
        <f t="shared" ref="O322:O385" si="224">"00"</f>
        <v>00</v>
      </c>
      <c r="P322" s="1" t="str">
        <f t="shared" ref="P322:P385" si="225">"S"</f>
        <v>S</v>
      </c>
      <c r="Q322" s="1" t="str">
        <f t="shared" ref="Q322:Q385" si="226">"P"</f>
        <v>P</v>
      </c>
      <c r="R322" s="1" t="str">
        <f t="shared" ref="R322:R385" si="227">"01"</f>
        <v>01</v>
      </c>
      <c r="S322" s="1" t="str">
        <f t="shared" ref="S322:S385" si="228">"03"</f>
        <v>03</v>
      </c>
      <c r="T322" s="1" t="str">
        <f t="shared" ref="T322:T385" si="229">"False"</f>
        <v>False</v>
      </c>
      <c r="U322" s="1" t="str">
        <f t="shared" ref="U322:U385" si="230">"True"</f>
        <v>True</v>
      </c>
      <c r="V322" s="1" t="str">
        <f>"U0032386"</f>
        <v>U0032386</v>
      </c>
      <c r="W322" s="1">
        <v>1</v>
      </c>
      <c r="Y322" s="1">
        <v>0</v>
      </c>
      <c r="Z322" s="1">
        <v>0</v>
      </c>
      <c r="AB322" s="1" t="str">
        <f t="shared" si="216"/>
        <v>SMU</v>
      </c>
      <c r="AI322" s="1" t="str">
        <f t="shared" ref="AI322:AI376" si="231">"F06"</f>
        <v>F06</v>
      </c>
      <c r="AJ322" s="1" t="str">
        <f t="shared" si="217"/>
        <v>MAN</v>
      </c>
      <c r="AK322" s="1" t="str">
        <f t="shared" ref="AK322:AK385" si="232">"PA"</f>
        <v>PA</v>
      </c>
      <c r="AP322" s="1" t="str">
        <f t="shared" ref="AP322:AP385" si="233">"False"</f>
        <v>False</v>
      </c>
      <c r="AR322" s="1" t="str">
        <f>"SOLAN"</f>
        <v>SOLAN</v>
      </c>
      <c r="AY322" s="1" t="str">
        <f t="shared" ref="AY322:AY385" si="234">"PF"</f>
        <v>PF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 t="str">
        <f>"S.CADET GOMMA  TWILL CANVAS"</f>
        <v>S.CADET GOMMA  TWILL CANVAS</v>
      </c>
      <c r="BF322" s="1" t="str">
        <f t="shared" ref="BF322:BF385" si="235">"Bonis SpA"</f>
        <v>Bonis SpA</v>
      </c>
    </row>
    <row r="323" spans="2:58" x14ac:dyDescent="0.25">
      <c r="B323" s="1">
        <v>1760</v>
      </c>
      <c r="C323" s="1" t="str">
        <f>"SOLAN4189S7/C1"</f>
        <v>SOLAN4189S7/C1</v>
      </c>
      <c r="E323" s="1" t="str">
        <f>"42"</f>
        <v>42</v>
      </c>
      <c r="F323" s="1" t="str">
        <f t="shared" si="221"/>
        <v>BONIS SPA</v>
      </c>
      <c r="G323" s="1" t="str">
        <f t="shared" si="222"/>
        <v>STOCK TERRA MP</v>
      </c>
      <c r="H323" s="1" t="str">
        <f>"BEI"</f>
        <v>BEI</v>
      </c>
      <c r="K323" s="1">
        <v>3</v>
      </c>
      <c r="L323" s="1" t="str">
        <f t="shared" si="223"/>
        <v>01</v>
      </c>
      <c r="M323" s="1" t="str">
        <f t="shared" si="208"/>
        <v>102</v>
      </c>
      <c r="N323" s="1" t="str">
        <f t="shared" si="209"/>
        <v>014</v>
      </c>
      <c r="O323" s="1" t="str">
        <f t="shared" si="224"/>
        <v>00</v>
      </c>
      <c r="P323" s="1" t="str">
        <f t="shared" si="225"/>
        <v>S</v>
      </c>
      <c r="Q323" s="1" t="str">
        <f t="shared" si="226"/>
        <v>P</v>
      </c>
      <c r="R323" s="1" t="str">
        <f t="shared" si="227"/>
        <v>01</v>
      </c>
      <c r="S323" s="1" t="str">
        <f t="shared" si="228"/>
        <v>03</v>
      </c>
      <c r="T323" s="1" t="str">
        <f t="shared" si="229"/>
        <v>False</v>
      </c>
      <c r="U323" s="1" t="str">
        <f t="shared" si="230"/>
        <v>True</v>
      </c>
      <c r="V323" s="1" t="str">
        <f>"U0032386"</f>
        <v>U0032386</v>
      </c>
      <c r="W323" s="1">
        <v>1</v>
      </c>
      <c r="Y323" s="1">
        <v>0</v>
      </c>
      <c r="Z323" s="1">
        <v>0</v>
      </c>
      <c r="AB323" s="1" t="str">
        <f t="shared" si="216"/>
        <v>SMU</v>
      </c>
      <c r="AI323" s="1" t="str">
        <f t="shared" si="231"/>
        <v>F06</v>
      </c>
      <c r="AJ323" s="1" t="str">
        <f t="shared" si="217"/>
        <v>MAN</v>
      </c>
      <c r="AK323" s="1" t="str">
        <f t="shared" si="232"/>
        <v>PA</v>
      </c>
      <c r="AP323" s="1" t="str">
        <f t="shared" si="233"/>
        <v>False</v>
      </c>
      <c r="AR323" s="1" t="str">
        <f>"SOLAN"</f>
        <v>SOLAN</v>
      </c>
      <c r="AY323" s="1" t="str">
        <f t="shared" si="234"/>
        <v>PF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 t="str">
        <f>"S.CADET GOMMA  TWILL CANVAS"</f>
        <v>S.CADET GOMMA  TWILL CANVAS</v>
      </c>
      <c r="BF323" s="1" t="str">
        <f t="shared" si="235"/>
        <v>Bonis SpA</v>
      </c>
    </row>
    <row r="324" spans="2:58" x14ac:dyDescent="0.25">
      <c r="B324" s="1">
        <v>1760</v>
      </c>
      <c r="C324" s="1" t="str">
        <f>"SOLAN4189S7/C1"</f>
        <v>SOLAN4189S7/C1</v>
      </c>
      <c r="E324" s="1" t="str">
        <f>"43"</f>
        <v>43</v>
      </c>
      <c r="F324" s="1" t="str">
        <f t="shared" si="221"/>
        <v>BONIS SPA</v>
      </c>
      <c r="G324" s="1" t="str">
        <f t="shared" si="222"/>
        <v>STOCK TERRA MP</v>
      </c>
      <c r="H324" s="1" t="str">
        <f>"BEI"</f>
        <v>BEI</v>
      </c>
      <c r="K324" s="1">
        <v>3</v>
      </c>
      <c r="L324" s="1" t="str">
        <f t="shared" si="223"/>
        <v>01</v>
      </c>
      <c r="M324" s="1" t="str">
        <f t="shared" si="208"/>
        <v>102</v>
      </c>
      <c r="N324" s="1" t="str">
        <f t="shared" si="209"/>
        <v>014</v>
      </c>
      <c r="O324" s="1" t="str">
        <f t="shared" si="224"/>
        <v>00</v>
      </c>
      <c r="P324" s="1" t="str">
        <f t="shared" si="225"/>
        <v>S</v>
      </c>
      <c r="Q324" s="1" t="str">
        <f t="shared" si="226"/>
        <v>P</v>
      </c>
      <c r="R324" s="1" t="str">
        <f t="shared" si="227"/>
        <v>01</v>
      </c>
      <c r="S324" s="1" t="str">
        <f t="shared" si="228"/>
        <v>03</v>
      </c>
      <c r="T324" s="1" t="str">
        <f t="shared" si="229"/>
        <v>False</v>
      </c>
      <c r="U324" s="1" t="str">
        <f t="shared" si="230"/>
        <v>True</v>
      </c>
      <c r="V324" s="1" t="str">
        <f>"U0032386"</f>
        <v>U0032386</v>
      </c>
      <c r="W324" s="1">
        <v>1</v>
      </c>
      <c r="Y324" s="1">
        <v>0</v>
      </c>
      <c r="Z324" s="1">
        <v>0</v>
      </c>
      <c r="AB324" s="1" t="str">
        <f t="shared" si="216"/>
        <v>SMU</v>
      </c>
      <c r="AI324" s="1" t="str">
        <f t="shared" si="231"/>
        <v>F06</v>
      </c>
      <c r="AJ324" s="1" t="str">
        <f t="shared" si="217"/>
        <v>MAN</v>
      </c>
      <c r="AK324" s="1" t="str">
        <f t="shared" si="232"/>
        <v>PA</v>
      </c>
      <c r="AP324" s="1" t="str">
        <f t="shared" si="233"/>
        <v>False</v>
      </c>
      <c r="AR324" s="1" t="str">
        <f>"SOLAN"</f>
        <v>SOLAN</v>
      </c>
      <c r="AY324" s="1" t="str">
        <f t="shared" si="234"/>
        <v>PF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 t="str">
        <f>"S.CADET GOMMA  TWILL CANVAS"</f>
        <v>S.CADET GOMMA  TWILL CANVAS</v>
      </c>
      <c r="BF324" s="1" t="str">
        <f t="shared" si="235"/>
        <v>Bonis SpA</v>
      </c>
    </row>
    <row r="325" spans="2:58" x14ac:dyDescent="0.25">
      <c r="B325" s="1">
        <v>1760</v>
      </c>
      <c r="C325" s="1" t="str">
        <f>"SOLAN4189S7/C1"</f>
        <v>SOLAN4189S7/C1</v>
      </c>
      <c r="E325" s="1" t="str">
        <f>"44"</f>
        <v>44</v>
      </c>
      <c r="F325" s="1" t="str">
        <f t="shared" si="221"/>
        <v>BONIS SPA</v>
      </c>
      <c r="G325" s="1" t="str">
        <f t="shared" si="222"/>
        <v>STOCK TERRA MP</v>
      </c>
      <c r="H325" s="1" t="str">
        <f>"BEI"</f>
        <v>BEI</v>
      </c>
      <c r="K325" s="1">
        <v>2</v>
      </c>
      <c r="L325" s="1" t="str">
        <f t="shared" si="223"/>
        <v>01</v>
      </c>
      <c r="M325" s="1" t="str">
        <f t="shared" si="208"/>
        <v>102</v>
      </c>
      <c r="N325" s="1" t="str">
        <f t="shared" si="209"/>
        <v>014</v>
      </c>
      <c r="O325" s="1" t="str">
        <f t="shared" si="224"/>
        <v>00</v>
      </c>
      <c r="P325" s="1" t="str">
        <f t="shared" si="225"/>
        <v>S</v>
      </c>
      <c r="Q325" s="1" t="str">
        <f t="shared" si="226"/>
        <v>P</v>
      </c>
      <c r="R325" s="1" t="str">
        <f t="shared" si="227"/>
        <v>01</v>
      </c>
      <c r="S325" s="1" t="str">
        <f t="shared" si="228"/>
        <v>03</v>
      </c>
      <c r="T325" s="1" t="str">
        <f t="shared" si="229"/>
        <v>False</v>
      </c>
      <c r="U325" s="1" t="str">
        <f t="shared" si="230"/>
        <v>True</v>
      </c>
      <c r="V325" s="1" t="str">
        <f>"U0032386"</f>
        <v>U0032386</v>
      </c>
      <c r="W325" s="1">
        <v>1</v>
      </c>
      <c r="Y325" s="1">
        <v>0</v>
      </c>
      <c r="Z325" s="1">
        <v>0</v>
      </c>
      <c r="AB325" s="1" t="str">
        <f t="shared" si="216"/>
        <v>SMU</v>
      </c>
      <c r="AI325" s="1" t="str">
        <f t="shared" si="231"/>
        <v>F06</v>
      </c>
      <c r="AJ325" s="1" t="str">
        <f t="shared" si="217"/>
        <v>MAN</v>
      </c>
      <c r="AK325" s="1" t="str">
        <f t="shared" si="232"/>
        <v>PA</v>
      </c>
      <c r="AP325" s="1" t="str">
        <f t="shared" si="233"/>
        <v>False</v>
      </c>
      <c r="AR325" s="1" t="str">
        <f>"SOLAN"</f>
        <v>SOLAN</v>
      </c>
      <c r="AY325" s="1" t="str">
        <f t="shared" si="234"/>
        <v>PF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 t="str">
        <f>"S.CADET GOMMA  TWILL CANVAS"</f>
        <v>S.CADET GOMMA  TWILL CANVAS</v>
      </c>
      <c r="BF325" s="1" t="str">
        <f t="shared" si="235"/>
        <v>Bonis SpA</v>
      </c>
    </row>
    <row r="326" spans="2:58" x14ac:dyDescent="0.25">
      <c r="B326" s="1">
        <v>1760</v>
      </c>
      <c r="C326" s="1" t="str">
        <f t="shared" ref="C326:C334" si="236">"GALAN4183S7/CY1"</f>
        <v>GALAN4183S7/CY1</v>
      </c>
      <c r="E326" s="1" t="str">
        <f>"40"</f>
        <v>40</v>
      </c>
      <c r="F326" s="1" t="str">
        <f t="shared" si="221"/>
        <v>BONIS SPA</v>
      </c>
      <c r="G326" s="1" t="str">
        <f t="shared" si="222"/>
        <v>STOCK TERRA MP</v>
      </c>
      <c r="H326" s="1" t="str">
        <f t="shared" ref="H326:H336" si="237">"GREY"</f>
        <v>GREY</v>
      </c>
      <c r="K326" s="1">
        <v>1</v>
      </c>
      <c r="L326" s="1" t="str">
        <f t="shared" si="223"/>
        <v>01</v>
      </c>
      <c r="M326" s="1" t="str">
        <f t="shared" si="208"/>
        <v>102</v>
      </c>
      <c r="N326" s="1" t="str">
        <f t="shared" si="209"/>
        <v>014</v>
      </c>
      <c r="O326" s="1" t="str">
        <f t="shared" si="224"/>
        <v>00</v>
      </c>
      <c r="P326" s="1" t="str">
        <f t="shared" si="225"/>
        <v>S</v>
      </c>
      <c r="Q326" s="1" t="str">
        <f t="shared" si="226"/>
        <v>P</v>
      </c>
      <c r="R326" s="1" t="str">
        <f t="shared" si="227"/>
        <v>01</v>
      </c>
      <c r="S326" s="1" t="str">
        <f t="shared" si="228"/>
        <v>03</v>
      </c>
      <c r="T326" s="1" t="str">
        <f t="shared" si="229"/>
        <v>False</v>
      </c>
      <c r="U326" s="1" t="str">
        <f t="shared" si="230"/>
        <v>True</v>
      </c>
      <c r="V326" s="1" t="str">
        <f>"U0032417"</f>
        <v>U0032417</v>
      </c>
      <c r="W326" s="1">
        <v>1</v>
      </c>
      <c r="Y326" s="1">
        <v>0</v>
      </c>
      <c r="Z326" s="1">
        <v>0</v>
      </c>
      <c r="AB326" s="1" t="str">
        <f t="shared" si="216"/>
        <v>SMU</v>
      </c>
      <c r="AI326" s="1" t="str">
        <f t="shared" si="231"/>
        <v>F06</v>
      </c>
      <c r="AJ326" s="1" t="str">
        <f t="shared" si="217"/>
        <v>MAN</v>
      </c>
      <c r="AK326" s="1" t="str">
        <f t="shared" si="232"/>
        <v>PA</v>
      </c>
      <c r="AP326" s="1" t="str">
        <f t="shared" si="233"/>
        <v>False</v>
      </c>
      <c r="AR326" s="1" t="str">
        <f t="shared" ref="AR326:AR334" si="238">"GALAN"</f>
        <v>GALAN</v>
      </c>
      <c r="AY326" s="1" t="str">
        <f t="shared" si="234"/>
        <v>PF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 t="str">
        <f t="shared" ref="BE326:BE334" si="239">"LAN+TWILL CANVAS + SIN.LEATHER"</f>
        <v>LAN+TWILL CANVAS + SIN.LEATHER</v>
      </c>
      <c r="BF326" s="1" t="str">
        <f t="shared" si="235"/>
        <v>Bonis SpA</v>
      </c>
    </row>
    <row r="327" spans="2:58" x14ac:dyDescent="0.25">
      <c r="B327" s="1">
        <v>1760</v>
      </c>
      <c r="C327" s="1" t="str">
        <f t="shared" si="236"/>
        <v>GALAN4183S7/CY1</v>
      </c>
      <c r="E327" s="1" t="str">
        <f>"41"</f>
        <v>41</v>
      </c>
      <c r="F327" s="1" t="str">
        <f t="shared" si="221"/>
        <v>BONIS SPA</v>
      </c>
      <c r="G327" s="1" t="str">
        <f t="shared" si="222"/>
        <v>STOCK TERRA MP</v>
      </c>
      <c r="H327" s="1" t="str">
        <f t="shared" si="237"/>
        <v>GREY</v>
      </c>
      <c r="K327" s="1">
        <v>2</v>
      </c>
      <c r="L327" s="1" t="str">
        <f t="shared" si="223"/>
        <v>01</v>
      </c>
      <c r="M327" s="1" t="str">
        <f t="shared" si="208"/>
        <v>102</v>
      </c>
      <c r="N327" s="1" t="str">
        <f t="shared" si="209"/>
        <v>014</v>
      </c>
      <c r="O327" s="1" t="str">
        <f t="shared" si="224"/>
        <v>00</v>
      </c>
      <c r="P327" s="1" t="str">
        <f t="shared" si="225"/>
        <v>S</v>
      </c>
      <c r="Q327" s="1" t="str">
        <f t="shared" si="226"/>
        <v>P</v>
      </c>
      <c r="R327" s="1" t="str">
        <f t="shared" si="227"/>
        <v>01</v>
      </c>
      <c r="S327" s="1" t="str">
        <f t="shared" si="228"/>
        <v>03</v>
      </c>
      <c r="T327" s="1" t="str">
        <f t="shared" si="229"/>
        <v>False</v>
      </c>
      <c r="U327" s="1" t="str">
        <f t="shared" si="230"/>
        <v>True</v>
      </c>
      <c r="V327" s="1" t="str">
        <f>"U0032417"</f>
        <v>U0032417</v>
      </c>
      <c r="W327" s="1">
        <v>1</v>
      </c>
      <c r="Y327" s="1">
        <v>0</v>
      </c>
      <c r="Z327" s="1">
        <v>0</v>
      </c>
      <c r="AB327" s="1" t="str">
        <f t="shared" si="216"/>
        <v>SMU</v>
      </c>
      <c r="AI327" s="1" t="str">
        <f t="shared" si="231"/>
        <v>F06</v>
      </c>
      <c r="AJ327" s="1" t="str">
        <f t="shared" si="217"/>
        <v>MAN</v>
      </c>
      <c r="AK327" s="1" t="str">
        <f t="shared" si="232"/>
        <v>PA</v>
      </c>
      <c r="AP327" s="1" t="str">
        <f t="shared" si="233"/>
        <v>False</v>
      </c>
      <c r="AR327" s="1" t="str">
        <f t="shared" si="238"/>
        <v>GALAN</v>
      </c>
      <c r="AY327" s="1" t="str">
        <f t="shared" si="234"/>
        <v>PF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 t="str">
        <f t="shared" si="239"/>
        <v>LAN+TWILL CANVAS + SIN.LEATHER</v>
      </c>
      <c r="BF327" s="1" t="str">
        <f t="shared" si="235"/>
        <v>Bonis SpA</v>
      </c>
    </row>
    <row r="328" spans="2:58" x14ac:dyDescent="0.25">
      <c r="B328" s="1">
        <v>1760</v>
      </c>
      <c r="C328" s="1" t="str">
        <f t="shared" si="236"/>
        <v>GALAN4183S7/CY1</v>
      </c>
      <c r="E328" s="1" t="str">
        <f>"42"</f>
        <v>42</v>
      </c>
      <c r="F328" s="1" t="str">
        <f t="shared" si="221"/>
        <v>BONIS SPA</v>
      </c>
      <c r="G328" s="1" t="str">
        <f t="shared" si="222"/>
        <v>STOCK TERRA MP</v>
      </c>
      <c r="H328" s="1" t="str">
        <f t="shared" si="237"/>
        <v>GREY</v>
      </c>
      <c r="K328" s="1">
        <v>2</v>
      </c>
      <c r="L328" s="1" t="str">
        <f t="shared" si="223"/>
        <v>01</v>
      </c>
      <c r="M328" s="1" t="str">
        <f t="shared" si="208"/>
        <v>102</v>
      </c>
      <c r="N328" s="1" t="str">
        <f t="shared" si="209"/>
        <v>014</v>
      </c>
      <c r="O328" s="1" t="str">
        <f t="shared" si="224"/>
        <v>00</v>
      </c>
      <c r="P328" s="1" t="str">
        <f t="shared" si="225"/>
        <v>S</v>
      </c>
      <c r="Q328" s="1" t="str">
        <f t="shared" si="226"/>
        <v>P</v>
      </c>
      <c r="R328" s="1" t="str">
        <f t="shared" si="227"/>
        <v>01</v>
      </c>
      <c r="S328" s="1" t="str">
        <f t="shared" si="228"/>
        <v>03</v>
      </c>
      <c r="T328" s="1" t="str">
        <f t="shared" si="229"/>
        <v>False</v>
      </c>
      <c r="U328" s="1" t="str">
        <f t="shared" si="230"/>
        <v>True</v>
      </c>
      <c r="V328" s="1" t="str">
        <f>"U0032417"</f>
        <v>U0032417</v>
      </c>
      <c r="W328" s="1">
        <v>1</v>
      </c>
      <c r="Y328" s="1">
        <v>0</v>
      </c>
      <c r="Z328" s="1">
        <v>0</v>
      </c>
      <c r="AB328" s="1" t="str">
        <f t="shared" si="216"/>
        <v>SMU</v>
      </c>
      <c r="AI328" s="1" t="str">
        <f t="shared" si="231"/>
        <v>F06</v>
      </c>
      <c r="AJ328" s="1" t="str">
        <f t="shared" si="217"/>
        <v>MAN</v>
      </c>
      <c r="AK328" s="1" t="str">
        <f t="shared" si="232"/>
        <v>PA</v>
      </c>
      <c r="AP328" s="1" t="str">
        <f t="shared" si="233"/>
        <v>False</v>
      </c>
      <c r="AR328" s="1" t="str">
        <f t="shared" si="238"/>
        <v>GALAN</v>
      </c>
      <c r="AY328" s="1" t="str">
        <f t="shared" si="234"/>
        <v>PF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 t="str">
        <f t="shared" si="239"/>
        <v>LAN+TWILL CANVAS + SIN.LEATHER</v>
      </c>
      <c r="BF328" s="1" t="str">
        <f t="shared" si="235"/>
        <v>Bonis SpA</v>
      </c>
    </row>
    <row r="329" spans="2:58" x14ac:dyDescent="0.25">
      <c r="B329" s="1">
        <v>1760</v>
      </c>
      <c r="C329" s="1" t="str">
        <f t="shared" si="236"/>
        <v>GALAN4183S7/CY1</v>
      </c>
      <c r="E329" s="1" t="str">
        <f>"43"</f>
        <v>43</v>
      </c>
      <c r="F329" s="1" t="str">
        <f t="shared" si="221"/>
        <v>BONIS SPA</v>
      </c>
      <c r="G329" s="1" t="str">
        <f t="shared" si="222"/>
        <v>STOCK TERRA MP</v>
      </c>
      <c r="H329" s="1" t="str">
        <f t="shared" si="237"/>
        <v>GREY</v>
      </c>
      <c r="K329" s="1">
        <v>1</v>
      </c>
      <c r="L329" s="1" t="str">
        <f t="shared" si="223"/>
        <v>01</v>
      </c>
      <c r="M329" s="1" t="str">
        <f t="shared" si="208"/>
        <v>102</v>
      </c>
      <c r="N329" s="1" t="str">
        <f t="shared" si="209"/>
        <v>014</v>
      </c>
      <c r="O329" s="1" t="str">
        <f t="shared" si="224"/>
        <v>00</v>
      </c>
      <c r="P329" s="1" t="str">
        <f t="shared" si="225"/>
        <v>S</v>
      </c>
      <c r="Q329" s="1" t="str">
        <f t="shared" si="226"/>
        <v>P</v>
      </c>
      <c r="R329" s="1" t="str">
        <f t="shared" si="227"/>
        <v>01</v>
      </c>
      <c r="S329" s="1" t="str">
        <f t="shared" si="228"/>
        <v>03</v>
      </c>
      <c r="T329" s="1" t="str">
        <f t="shared" si="229"/>
        <v>False</v>
      </c>
      <c r="U329" s="1" t="str">
        <f t="shared" si="230"/>
        <v>True</v>
      </c>
      <c r="V329" s="1" t="str">
        <f>"U0032417"</f>
        <v>U0032417</v>
      </c>
      <c r="W329" s="1">
        <v>1</v>
      </c>
      <c r="Y329" s="1">
        <v>0</v>
      </c>
      <c r="Z329" s="1">
        <v>0</v>
      </c>
      <c r="AB329" s="1" t="str">
        <f t="shared" si="216"/>
        <v>SMU</v>
      </c>
      <c r="AI329" s="1" t="str">
        <f t="shared" si="231"/>
        <v>F06</v>
      </c>
      <c r="AJ329" s="1" t="str">
        <f t="shared" si="217"/>
        <v>MAN</v>
      </c>
      <c r="AK329" s="1" t="str">
        <f t="shared" si="232"/>
        <v>PA</v>
      </c>
      <c r="AP329" s="1" t="str">
        <f t="shared" si="233"/>
        <v>False</v>
      </c>
      <c r="AR329" s="1" t="str">
        <f t="shared" si="238"/>
        <v>GALAN</v>
      </c>
      <c r="AY329" s="1" t="str">
        <f t="shared" si="234"/>
        <v>PF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 t="str">
        <f t="shared" si="239"/>
        <v>LAN+TWILL CANVAS + SIN.LEATHER</v>
      </c>
      <c r="BF329" s="1" t="str">
        <f t="shared" si="235"/>
        <v>Bonis SpA</v>
      </c>
    </row>
    <row r="330" spans="2:58" x14ac:dyDescent="0.25">
      <c r="B330" s="1">
        <v>1760</v>
      </c>
      <c r="C330" s="1" t="str">
        <f t="shared" si="236"/>
        <v>GALAN4183S7/CY1</v>
      </c>
      <c r="E330" s="1" t="str">
        <f>"45"</f>
        <v>45</v>
      </c>
      <c r="F330" s="1" t="str">
        <f t="shared" si="221"/>
        <v>BONIS SPA</v>
      </c>
      <c r="G330" s="1" t="str">
        <f t="shared" si="222"/>
        <v>STOCK TERRA MP</v>
      </c>
      <c r="H330" s="1" t="str">
        <f t="shared" si="237"/>
        <v>GREY</v>
      </c>
      <c r="K330" s="1">
        <v>1</v>
      </c>
      <c r="L330" s="1" t="str">
        <f t="shared" si="223"/>
        <v>01</v>
      </c>
      <c r="M330" s="1" t="str">
        <f t="shared" si="208"/>
        <v>102</v>
      </c>
      <c r="N330" s="1" t="str">
        <f t="shared" si="209"/>
        <v>014</v>
      </c>
      <c r="O330" s="1" t="str">
        <f t="shared" si="224"/>
        <v>00</v>
      </c>
      <c r="P330" s="1" t="str">
        <f t="shared" si="225"/>
        <v>S</v>
      </c>
      <c r="Q330" s="1" t="str">
        <f t="shared" si="226"/>
        <v>P</v>
      </c>
      <c r="R330" s="1" t="str">
        <f t="shared" si="227"/>
        <v>01</v>
      </c>
      <c r="S330" s="1" t="str">
        <f t="shared" si="228"/>
        <v>03</v>
      </c>
      <c r="T330" s="1" t="str">
        <f t="shared" si="229"/>
        <v>False</v>
      </c>
      <c r="U330" s="1" t="str">
        <f t="shared" si="230"/>
        <v>True</v>
      </c>
      <c r="V330" s="1" t="str">
        <f>"U0031355"</f>
        <v>U0031355</v>
      </c>
      <c r="W330" s="1">
        <v>1</v>
      </c>
      <c r="Y330" s="1">
        <v>0</v>
      </c>
      <c r="Z330" s="1">
        <v>0</v>
      </c>
      <c r="AB330" s="1" t="str">
        <f t="shared" si="216"/>
        <v>SMU</v>
      </c>
      <c r="AI330" s="1" t="str">
        <f t="shared" si="231"/>
        <v>F06</v>
      </c>
      <c r="AJ330" s="1" t="str">
        <f t="shared" si="217"/>
        <v>MAN</v>
      </c>
      <c r="AK330" s="1" t="str">
        <f t="shared" si="232"/>
        <v>PA</v>
      </c>
      <c r="AP330" s="1" t="str">
        <f t="shared" si="233"/>
        <v>False</v>
      </c>
      <c r="AR330" s="1" t="str">
        <f t="shared" si="238"/>
        <v>GALAN</v>
      </c>
      <c r="AY330" s="1" t="str">
        <f t="shared" si="234"/>
        <v>PF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 t="str">
        <f t="shared" si="239"/>
        <v>LAN+TWILL CANVAS + SIN.LEATHER</v>
      </c>
      <c r="BF330" s="1" t="str">
        <f t="shared" si="235"/>
        <v>Bonis SpA</v>
      </c>
    </row>
    <row r="331" spans="2:58" x14ac:dyDescent="0.25">
      <c r="B331" s="1">
        <v>1760</v>
      </c>
      <c r="C331" s="1" t="str">
        <f t="shared" si="236"/>
        <v>GALAN4183S7/CY1</v>
      </c>
      <c r="E331" s="1" t="str">
        <f>"41"</f>
        <v>41</v>
      </c>
      <c r="F331" s="1" t="str">
        <f t="shared" si="221"/>
        <v>BONIS SPA</v>
      </c>
      <c r="G331" s="1" t="str">
        <f t="shared" si="222"/>
        <v>STOCK TERRA MP</v>
      </c>
      <c r="H331" s="1" t="str">
        <f t="shared" si="237"/>
        <v>GREY</v>
      </c>
      <c r="K331" s="1">
        <v>1</v>
      </c>
      <c r="L331" s="1" t="str">
        <f t="shared" si="223"/>
        <v>01</v>
      </c>
      <c r="M331" s="1" t="str">
        <f t="shared" si="208"/>
        <v>102</v>
      </c>
      <c r="N331" s="1" t="str">
        <f t="shared" ref="N331:N362" si="240">"014"</f>
        <v>014</v>
      </c>
      <c r="O331" s="1" t="str">
        <f t="shared" si="224"/>
        <v>00</v>
      </c>
      <c r="P331" s="1" t="str">
        <f t="shared" si="225"/>
        <v>S</v>
      </c>
      <c r="Q331" s="1" t="str">
        <f t="shared" si="226"/>
        <v>P</v>
      </c>
      <c r="R331" s="1" t="str">
        <f t="shared" si="227"/>
        <v>01</v>
      </c>
      <c r="S331" s="1" t="str">
        <f t="shared" si="228"/>
        <v>03</v>
      </c>
      <c r="T331" s="1" t="str">
        <f t="shared" si="229"/>
        <v>False</v>
      </c>
      <c r="U331" s="1" t="str">
        <f t="shared" si="230"/>
        <v>True</v>
      </c>
      <c r="V331" s="1" t="str">
        <f>"U0032415"</f>
        <v>U0032415</v>
      </c>
      <c r="W331" s="1">
        <v>1</v>
      </c>
      <c r="Y331" s="1">
        <v>0</v>
      </c>
      <c r="Z331" s="1">
        <v>0</v>
      </c>
      <c r="AB331" s="1" t="str">
        <f t="shared" si="216"/>
        <v>SMU</v>
      </c>
      <c r="AI331" s="1" t="str">
        <f t="shared" si="231"/>
        <v>F06</v>
      </c>
      <c r="AJ331" s="1" t="str">
        <f t="shared" si="217"/>
        <v>MAN</v>
      </c>
      <c r="AK331" s="1" t="str">
        <f t="shared" si="232"/>
        <v>PA</v>
      </c>
      <c r="AP331" s="1" t="str">
        <f t="shared" si="233"/>
        <v>False</v>
      </c>
      <c r="AR331" s="1" t="str">
        <f t="shared" si="238"/>
        <v>GALAN</v>
      </c>
      <c r="AY331" s="1" t="str">
        <f t="shared" si="234"/>
        <v>PF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 t="str">
        <f t="shared" si="239"/>
        <v>LAN+TWILL CANVAS + SIN.LEATHER</v>
      </c>
      <c r="BF331" s="1" t="str">
        <f t="shared" si="235"/>
        <v>Bonis SpA</v>
      </c>
    </row>
    <row r="332" spans="2:58" x14ac:dyDescent="0.25">
      <c r="B332" s="1">
        <v>1760</v>
      </c>
      <c r="C332" s="1" t="str">
        <f t="shared" si="236"/>
        <v>GALAN4183S7/CY1</v>
      </c>
      <c r="E332" s="1" t="str">
        <f>"42"</f>
        <v>42</v>
      </c>
      <c r="F332" s="1" t="str">
        <f t="shared" si="221"/>
        <v>BONIS SPA</v>
      </c>
      <c r="G332" s="1" t="str">
        <f t="shared" si="222"/>
        <v>STOCK TERRA MP</v>
      </c>
      <c r="H332" s="1" t="str">
        <f t="shared" si="237"/>
        <v>GREY</v>
      </c>
      <c r="K332" s="1">
        <v>3</v>
      </c>
      <c r="L332" s="1" t="str">
        <f t="shared" si="223"/>
        <v>01</v>
      </c>
      <c r="M332" s="1" t="str">
        <f t="shared" si="208"/>
        <v>102</v>
      </c>
      <c r="N332" s="1" t="str">
        <f t="shared" si="240"/>
        <v>014</v>
      </c>
      <c r="O332" s="1" t="str">
        <f t="shared" si="224"/>
        <v>00</v>
      </c>
      <c r="P332" s="1" t="str">
        <f t="shared" si="225"/>
        <v>S</v>
      </c>
      <c r="Q332" s="1" t="str">
        <f t="shared" si="226"/>
        <v>P</v>
      </c>
      <c r="R332" s="1" t="str">
        <f t="shared" si="227"/>
        <v>01</v>
      </c>
      <c r="S332" s="1" t="str">
        <f t="shared" si="228"/>
        <v>03</v>
      </c>
      <c r="T332" s="1" t="str">
        <f t="shared" si="229"/>
        <v>False</v>
      </c>
      <c r="U332" s="1" t="str">
        <f t="shared" si="230"/>
        <v>True</v>
      </c>
      <c r="V332" s="1" t="str">
        <f>"U0032415"</f>
        <v>U0032415</v>
      </c>
      <c r="W332" s="1">
        <v>1</v>
      </c>
      <c r="Y332" s="1">
        <v>0</v>
      </c>
      <c r="Z332" s="1">
        <v>0</v>
      </c>
      <c r="AB332" s="1" t="str">
        <f t="shared" si="216"/>
        <v>SMU</v>
      </c>
      <c r="AI332" s="1" t="str">
        <f t="shared" si="231"/>
        <v>F06</v>
      </c>
      <c r="AJ332" s="1" t="str">
        <f t="shared" si="217"/>
        <v>MAN</v>
      </c>
      <c r="AK332" s="1" t="str">
        <f t="shared" si="232"/>
        <v>PA</v>
      </c>
      <c r="AP332" s="1" t="str">
        <f t="shared" si="233"/>
        <v>False</v>
      </c>
      <c r="AR332" s="1" t="str">
        <f t="shared" si="238"/>
        <v>GALAN</v>
      </c>
      <c r="AY332" s="1" t="str">
        <f t="shared" si="234"/>
        <v>PF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 t="str">
        <f t="shared" si="239"/>
        <v>LAN+TWILL CANVAS + SIN.LEATHER</v>
      </c>
      <c r="BF332" s="1" t="str">
        <f t="shared" si="235"/>
        <v>Bonis SpA</v>
      </c>
    </row>
    <row r="333" spans="2:58" x14ac:dyDescent="0.25">
      <c r="B333" s="1">
        <v>1760</v>
      </c>
      <c r="C333" s="1" t="str">
        <f t="shared" si="236"/>
        <v>GALAN4183S7/CY1</v>
      </c>
      <c r="E333" s="1" t="str">
        <f>"43"</f>
        <v>43</v>
      </c>
      <c r="F333" s="1" t="str">
        <f t="shared" si="221"/>
        <v>BONIS SPA</v>
      </c>
      <c r="G333" s="1" t="str">
        <f t="shared" si="222"/>
        <v>STOCK TERRA MP</v>
      </c>
      <c r="H333" s="1" t="str">
        <f t="shared" si="237"/>
        <v>GREY</v>
      </c>
      <c r="K333" s="1">
        <v>2</v>
      </c>
      <c r="L333" s="1" t="str">
        <f t="shared" si="223"/>
        <v>01</v>
      </c>
      <c r="M333" s="1" t="str">
        <f t="shared" si="208"/>
        <v>102</v>
      </c>
      <c r="N333" s="1" t="str">
        <f t="shared" si="240"/>
        <v>014</v>
      </c>
      <c r="O333" s="1" t="str">
        <f t="shared" si="224"/>
        <v>00</v>
      </c>
      <c r="P333" s="1" t="str">
        <f t="shared" si="225"/>
        <v>S</v>
      </c>
      <c r="Q333" s="1" t="str">
        <f t="shared" si="226"/>
        <v>P</v>
      </c>
      <c r="R333" s="1" t="str">
        <f t="shared" si="227"/>
        <v>01</v>
      </c>
      <c r="S333" s="1" t="str">
        <f t="shared" si="228"/>
        <v>03</v>
      </c>
      <c r="T333" s="1" t="str">
        <f t="shared" si="229"/>
        <v>False</v>
      </c>
      <c r="U333" s="1" t="str">
        <f t="shared" si="230"/>
        <v>True</v>
      </c>
      <c r="V333" s="1" t="str">
        <f>"U0032415"</f>
        <v>U0032415</v>
      </c>
      <c r="W333" s="1">
        <v>1</v>
      </c>
      <c r="Y333" s="1">
        <v>0</v>
      </c>
      <c r="Z333" s="1">
        <v>0</v>
      </c>
      <c r="AB333" s="1" t="str">
        <f t="shared" si="216"/>
        <v>SMU</v>
      </c>
      <c r="AI333" s="1" t="str">
        <f t="shared" si="231"/>
        <v>F06</v>
      </c>
      <c r="AJ333" s="1" t="str">
        <f t="shared" si="217"/>
        <v>MAN</v>
      </c>
      <c r="AK333" s="1" t="str">
        <f t="shared" si="232"/>
        <v>PA</v>
      </c>
      <c r="AP333" s="1" t="str">
        <f t="shared" si="233"/>
        <v>False</v>
      </c>
      <c r="AR333" s="1" t="str">
        <f t="shared" si="238"/>
        <v>GALAN</v>
      </c>
      <c r="AY333" s="1" t="str">
        <f t="shared" si="234"/>
        <v>PF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 t="str">
        <f t="shared" si="239"/>
        <v>LAN+TWILL CANVAS + SIN.LEATHER</v>
      </c>
      <c r="BF333" s="1" t="str">
        <f t="shared" si="235"/>
        <v>Bonis SpA</v>
      </c>
    </row>
    <row r="334" spans="2:58" x14ac:dyDescent="0.25">
      <c r="B334" s="1">
        <v>1760</v>
      </c>
      <c r="C334" s="1" t="str">
        <f t="shared" si="236"/>
        <v>GALAN4183S7/CY1</v>
      </c>
      <c r="E334" s="1" t="str">
        <f>"45"</f>
        <v>45</v>
      </c>
      <c r="F334" s="1" t="str">
        <f t="shared" si="221"/>
        <v>BONIS SPA</v>
      </c>
      <c r="G334" s="1" t="str">
        <f t="shared" si="222"/>
        <v>STOCK TERRA MP</v>
      </c>
      <c r="H334" s="1" t="str">
        <f t="shared" si="237"/>
        <v>GREY</v>
      </c>
      <c r="K334" s="1">
        <v>1</v>
      </c>
      <c r="L334" s="1" t="str">
        <f t="shared" si="223"/>
        <v>01</v>
      </c>
      <c r="M334" s="1" t="str">
        <f t="shared" si="208"/>
        <v>102</v>
      </c>
      <c r="N334" s="1" t="str">
        <f t="shared" si="240"/>
        <v>014</v>
      </c>
      <c r="O334" s="1" t="str">
        <f t="shared" si="224"/>
        <v>00</v>
      </c>
      <c r="P334" s="1" t="str">
        <f t="shared" si="225"/>
        <v>S</v>
      </c>
      <c r="Q334" s="1" t="str">
        <f t="shared" si="226"/>
        <v>P</v>
      </c>
      <c r="R334" s="1" t="str">
        <f t="shared" si="227"/>
        <v>01</v>
      </c>
      <c r="S334" s="1" t="str">
        <f t="shared" si="228"/>
        <v>03</v>
      </c>
      <c r="T334" s="1" t="str">
        <f t="shared" si="229"/>
        <v>False</v>
      </c>
      <c r="U334" s="1" t="str">
        <f t="shared" si="230"/>
        <v>True</v>
      </c>
      <c r="V334" s="1" t="str">
        <f>"U0032415"</f>
        <v>U0032415</v>
      </c>
      <c r="W334" s="1">
        <v>1</v>
      </c>
      <c r="Y334" s="1">
        <v>0</v>
      </c>
      <c r="Z334" s="1">
        <v>0</v>
      </c>
      <c r="AB334" s="1" t="str">
        <f t="shared" si="216"/>
        <v>SMU</v>
      </c>
      <c r="AI334" s="1" t="str">
        <f t="shared" si="231"/>
        <v>F06</v>
      </c>
      <c r="AJ334" s="1" t="str">
        <f t="shared" si="217"/>
        <v>MAN</v>
      </c>
      <c r="AK334" s="1" t="str">
        <f t="shared" si="232"/>
        <v>PA</v>
      </c>
      <c r="AP334" s="1" t="str">
        <f t="shared" si="233"/>
        <v>False</v>
      </c>
      <c r="AR334" s="1" t="str">
        <f t="shared" si="238"/>
        <v>GALAN</v>
      </c>
      <c r="AY334" s="1" t="str">
        <f t="shared" si="234"/>
        <v>PF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 t="str">
        <f t="shared" si="239"/>
        <v>LAN+TWILL CANVAS + SIN.LEATHER</v>
      </c>
      <c r="BF334" s="1" t="str">
        <f t="shared" si="235"/>
        <v>Bonis SpA</v>
      </c>
    </row>
    <row r="335" spans="2:58" x14ac:dyDescent="0.25">
      <c r="B335" s="1">
        <v>1760</v>
      </c>
      <c r="C335" s="1" t="str">
        <f>"SOLAN4189S7/C1"</f>
        <v>SOLAN4189S7/C1</v>
      </c>
      <c r="E335" s="1" t="str">
        <f>"43"</f>
        <v>43</v>
      </c>
      <c r="F335" s="1" t="str">
        <f t="shared" si="221"/>
        <v>BONIS SPA</v>
      </c>
      <c r="G335" s="1" t="str">
        <f t="shared" si="222"/>
        <v>STOCK TERRA MP</v>
      </c>
      <c r="H335" s="1" t="str">
        <f t="shared" si="237"/>
        <v>GREY</v>
      </c>
      <c r="K335" s="1">
        <v>1</v>
      </c>
      <c r="L335" s="1" t="str">
        <f t="shared" si="223"/>
        <v>01</v>
      </c>
      <c r="M335" s="1" t="str">
        <f t="shared" si="208"/>
        <v>102</v>
      </c>
      <c r="N335" s="1" t="str">
        <f t="shared" si="240"/>
        <v>014</v>
      </c>
      <c r="O335" s="1" t="str">
        <f t="shared" si="224"/>
        <v>00</v>
      </c>
      <c r="P335" s="1" t="str">
        <f t="shared" si="225"/>
        <v>S</v>
      </c>
      <c r="Q335" s="1" t="str">
        <f t="shared" si="226"/>
        <v>P</v>
      </c>
      <c r="R335" s="1" t="str">
        <f t="shared" si="227"/>
        <v>01</v>
      </c>
      <c r="S335" s="1" t="str">
        <f t="shared" si="228"/>
        <v>03</v>
      </c>
      <c r="T335" s="1" t="str">
        <f t="shared" si="229"/>
        <v>False</v>
      </c>
      <c r="U335" s="1" t="str">
        <f t="shared" si="230"/>
        <v>True</v>
      </c>
      <c r="V335" s="1" t="str">
        <f>"U0032392"</f>
        <v>U0032392</v>
      </c>
      <c r="W335" s="1">
        <v>1</v>
      </c>
      <c r="Y335" s="1">
        <v>0</v>
      </c>
      <c r="Z335" s="1">
        <v>0</v>
      </c>
      <c r="AB335" s="1" t="str">
        <f t="shared" si="216"/>
        <v>SMU</v>
      </c>
      <c r="AI335" s="1" t="str">
        <f t="shared" si="231"/>
        <v>F06</v>
      </c>
      <c r="AJ335" s="1" t="str">
        <f t="shared" si="217"/>
        <v>MAN</v>
      </c>
      <c r="AK335" s="1" t="str">
        <f t="shared" si="232"/>
        <v>PA</v>
      </c>
      <c r="AP335" s="1" t="str">
        <f t="shared" si="233"/>
        <v>False</v>
      </c>
      <c r="AR335" s="1" t="str">
        <f>"SOLAN"</f>
        <v>SOLAN</v>
      </c>
      <c r="AY335" s="1" t="str">
        <f t="shared" si="234"/>
        <v>PF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 t="str">
        <f>"S.CADET GOMMA  TWILL CANVAS"</f>
        <v>S.CADET GOMMA  TWILL CANVAS</v>
      </c>
      <c r="BF335" s="1" t="str">
        <f t="shared" si="235"/>
        <v>Bonis SpA</v>
      </c>
    </row>
    <row r="336" spans="2:58" x14ac:dyDescent="0.25">
      <c r="B336" s="1">
        <v>1760</v>
      </c>
      <c r="C336" s="1" t="str">
        <f>"SOLAN4189S7/C1"</f>
        <v>SOLAN4189S7/C1</v>
      </c>
      <c r="E336" s="1" t="str">
        <f>"44"</f>
        <v>44</v>
      </c>
      <c r="F336" s="1" t="str">
        <f t="shared" si="221"/>
        <v>BONIS SPA</v>
      </c>
      <c r="G336" s="1" t="str">
        <f t="shared" si="222"/>
        <v>STOCK TERRA MP</v>
      </c>
      <c r="H336" s="1" t="str">
        <f t="shared" si="237"/>
        <v>GREY</v>
      </c>
      <c r="K336" s="1">
        <v>1</v>
      </c>
      <c r="L336" s="1" t="str">
        <f t="shared" si="223"/>
        <v>01</v>
      </c>
      <c r="M336" s="1" t="str">
        <f t="shared" si="208"/>
        <v>102</v>
      </c>
      <c r="N336" s="1" t="str">
        <f t="shared" si="240"/>
        <v>014</v>
      </c>
      <c r="O336" s="1" t="str">
        <f t="shared" si="224"/>
        <v>00</v>
      </c>
      <c r="P336" s="1" t="str">
        <f t="shared" si="225"/>
        <v>S</v>
      </c>
      <c r="Q336" s="1" t="str">
        <f t="shared" si="226"/>
        <v>P</v>
      </c>
      <c r="R336" s="1" t="str">
        <f t="shared" si="227"/>
        <v>01</v>
      </c>
      <c r="S336" s="1" t="str">
        <f t="shared" si="228"/>
        <v>03</v>
      </c>
      <c r="T336" s="1" t="str">
        <f t="shared" si="229"/>
        <v>False</v>
      </c>
      <c r="U336" s="1" t="str">
        <f t="shared" si="230"/>
        <v>True</v>
      </c>
      <c r="V336" s="1" t="str">
        <f>"U0032392"</f>
        <v>U0032392</v>
      </c>
      <c r="W336" s="1">
        <v>1</v>
      </c>
      <c r="Y336" s="1">
        <v>0</v>
      </c>
      <c r="Z336" s="1">
        <v>0</v>
      </c>
      <c r="AB336" s="1" t="str">
        <f t="shared" si="216"/>
        <v>SMU</v>
      </c>
      <c r="AI336" s="1" t="str">
        <f t="shared" si="231"/>
        <v>F06</v>
      </c>
      <c r="AJ336" s="1" t="str">
        <f t="shared" si="217"/>
        <v>MAN</v>
      </c>
      <c r="AK336" s="1" t="str">
        <f t="shared" si="232"/>
        <v>PA</v>
      </c>
      <c r="AP336" s="1" t="str">
        <f t="shared" si="233"/>
        <v>False</v>
      </c>
      <c r="AR336" s="1" t="str">
        <f>"SOLAN"</f>
        <v>SOLAN</v>
      </c>
      <c r="AY336" s="1" t="str">
        <f t="shared" si="234"/>
        <v>PF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 t="str">
        <f>"S.CADET GOMMA  TWILL CANVAS"</f>
        <v>S.CADET GOMMA  TWILL CANVAS</v>
      </c>
      <c r="BF336" s="1" t="str">
        <f t="shared" si="235"/>
        <v>Bonis SpA</v>
      </c>
    </row>
    <row r="337" spans="2:58" x14ac:dyDescent="0.25">
      <c r="B337" s="1">
        <v>1760</v>
      </c>
      <c r="C337" s="1" t="str">
        <f>"GALAN4182S7/CY1"</f>
        <v>GALAN4182S7/CY1</v>
      </c>
      <c r="E337" s="1" t="str">
        <f>"43"</f>
        <v>43</v>
      </c>
      <c r="F337" s="1" t="str">
        <f t="shared" si="221"/>
        <v>BONIS SPA</v>
      </c>
      <c r="G337" s="1" t="str">
        <f t="shared" si="222"/>
        <v>STOCK TERRA MP</v>
      </c>
      <c r="H337" s="1" t="str">
        <f>"RED"</f>
        <v>RED</v>
      </c>
      <c r="K337" s="1">
        <v>1</v>
      </c>
      <c r="L337" s="1" t="str">
        <f t="shared" si="223"/>
        <v>01</v>
      </c>
      <c r="M337" s="1" t="str">
        <f t="shared" si="208"/>
        <v>102</v>
      </c>
      <c r="N337" s="1" t="str">
        <f t="shared" si="240"/>
        <v>014</v>
      </c>
      <c r="O337" s="1" t="str">
        <f t="shared" si="224"/>
        <v>00</v>
      </c>
      <c r="P337" s="1" t="str">
        <f t="shared" si="225"/>
        <v>S</v>
      </c>
      <c r="Q337" s="1" t="str">
        <f t="shared" si="226"/>
        <v>P</v>
      </c>
      <c r="R337" s="1" t="str">
        <f t="shared" si="227"/>
        <v>01</v>
      </c>
      <c r="S337" s="1" t="str">
        <f t="shared" si="228"/>
        <v>03</v>
      </c>
      <c r="T337" s="1" t="str">
        <f t="shared" si="229"/>
        <v>False</v>
      </c>
      <c r="U337" s="1" t="str">
        <f t="shared" si="230"/>
        <v>True</v>
      </c>
      <c r="V337" s="1" t="str">
        <f>"U0031355"</f>
        <v>U0031355</v>
      </c>
      <c r="W337" s="1">
        <v>1</v>
      </c>
      <c r="Y337" s="1">
        <v>0</v>
      </c>
      <c r="Z337" s="1">
        <v>0</v>
      </c>
      <c r="AB337" s="1" t="str">
        <f t="shared" si="216"/>
        <v>SMU</v>
      </c>
      <c r="AI337" s="1" t="str">
        <f t="shared" si="231"/>
        <v>F06</v>
      </c>
      <c r="AJ337" s="1" t="str">
        <f t="shared" si="217"/>
        <v>MAN</v>
      </c>
      <c r="AK337" s="1" t="str">
        <f t="shared" si="232"/>
        <v>PA</v>
      </c>
      <c r="AP337" s="1" t="str">
        <f t="shared" si="233"/>
        <v>False</v>
      </c>
      <c r="AR337" s="1" t="str">
        <f>"GALAN"</f>
        <v>GALAN</v>
      </c>
      <c r="AY337" s="1" t="str">
        <f t="shared" si="234"/>
        <v>PF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 t="str">
        <f>"LAN+TWILL CANVAS + SIN.LEATHER"</f>
        <v>LAN+TWILL CANVAS + SIN.LEATHER</v>
      </c>
      <c r="BF337" s="1" t="str">
        <f t="shared" si="235"/>
        <v>Bonis SpA</v>
      </c>
    </row>
    <row r="338" spans="2:58" x14ac:dyDescent="0.25">
      <c r="B338" s="1">
        <v>1760</v>
      </c>
      <c r="C338" s="1" t="str">
        <f>"GALAN4183S7/CY1"</f>
        <v>GALAN4183S7/CY1</v>
      </c>
      <c r="E338" s="1" t="str">
        <f>"40"</f>
        <v>40</v>
      </c>
      <c r="F338" s="1" t="str">
        <f t="shared" si="221"/>
        <v>BONIS SPA</v>
      </c>
      <c r="G338" s="1" t="str">
        <f t="shared" si="222"/>
        <v>STOCK TERRA MP</v>
      </c>
      <c r="H338" s="1" t="str">
        <f>"WHI"</f>
        <v>WHI</v>
      </c>
      <c r="K338" s="1">
        <v>1</v>
      </c>
      <c r="L338" s="1" t="str">
        <f t="shared" si="223"/>
        <v>01</v>
      </c>
      <c r="M338" s="1" t="str">
        <f t="shared" si="208"/>
        <v>102</v>
      </c>
      <c r="N338" s="1" t="str">
        <f t="shared" si="240"/>
        <v>014</v>
      </c>
      <c r="O338" s="1" t="str">
        <f t="shared" si="224"/>
        <v>00</v>
      </c>
      <c r="P338" s="1" t="str">
        <f t="shared" si="225"/>
        <v>S</v>
      </c>
      <c r="Q338" s="1" t="str">
        <f t="shared" si="226"/>
        <v>P</v>
      </c>
      <c r="R338" s="1" t="str">
        <f t="shared" si="227"/>
        <v>01</v>
      </c>
      <c r="S338" s="1" t="str">
        <f t="shared" si="228"/>
        <v>03</v>
      </c>
      <c r="T338" s="1" t="str">
        <f t="shared" si="229"/>
        <v>False</v>
      </c>
      <c r="U338" s="1" t="str">
        <f t="shared" si="230"/>
        <v>True</v>
      </c>
      <c r="V338" s="1" t="str">
        <f>"U0031355"</f>
        <v>U0031355</v>
      </c>
      <c r="W338" s="1">
        <v>1</v>
      </c>
      <c r="Y338" s="1">
        <v>0</v>
      </c>
      <c r="Z338" s="1">
        <v>0</v>
      </c>
      <c r="AB338" s="1" t="str">
        <f t="shared" si="216"/>
        <v>SMU</v>
      </c>
      <c r="AI338" s="1" t="str">
        <f t="shared" si="231"/>
        <v>F06</v>
      </c>
      <c r="AJ338" s="1" t="str">
        <f t="shared" si="217"/>
        <v>MAN</v>
      </c>
      <c r="AK338" s="1" t="str">
        <f t="shared" si="232"/>
        <v>PA</v>
      </c>
      <c r="AP338" s="1" t="str">
        <f t="shared" si="233"/>
        <v>False</v>
      </c>
      <c r="AR338" s="1" t="str">
        <f>"GALAN"</f>
        <v>GALAN</v>
      </c>
      <c r="AY338" s="1" t="str">
        <f t="shared" si="234"/>
        <v>PF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 t="str">
        <f>"LAN+TWILL CANVAS + SIN.LEATHER"</f>
        <v>LAN+TWILL CANVAS + SIN.LEATHER</v>
      </c>
      <c r="BF338" s="1" t="str">
        <f t="shared" si="235"/>
        <v>Bonis SpA</v>
      </c>
    </row>
    <row r="339" spans="2:58" x14ac:dyDescent="0.25">
      <c r="B339" s="1">
        <v>1760</v>
      </c>
      <c r="C339" s="1" t="str">
        <f>"SOLAD4188S7/C1"</f>
        <v>SOLAD4188S7/C1</v>
      </c>
      <c r="E339" s="1" t="str">
        <f>"37"</f>
        <v>37</v>
      </c>
      <c r="F339" s="1" t="str">
        <f t="shared" si="221"/>
        <v>BONIS SPA</v>
      </c>
      <c r="G339" s="1" t="str">
        <f t="shared" si="222"/>
        <v>STOCK TERRA MP</v>
      </c>
      <c r="H339" s="1" t="str">
        <f>"RED"</f>
        <v>RED</v>
      </c>
      <c r="K339" s="1">
        <v>1</v>
      </c>
      <c r="L339" s="1" t="str">
        <f t="shared" si="223"/>
        <v>01</v>
      </c>
      <c r="M339" s="1" t="str">
        <f t="shared" si="208"/>
        <v>102</v>
      </c>
      <c r="N339" s="1" t="str">
        <f t="shared" si="240"/>
        <v>014</v>
      </c>
      <c r="O339" s="1" t="str">
        <f t="shared" si="224"/>
        <v>00</v>
      </c>
      <c r="P339" s="1" t="str">
        <f t="shared" si="225"/>
        <v>S</v>
      </c>
      <c r="Q339" s="1" t="str">
        <f t="shared" si="226"/>
        <v>P</v>
      </c>
      <c r="R339" s="1" t="str">
        <f t="shared" si="227"/>
        <v>01</v>
      </c>
      <c r="S339" s="1" t="str">
        <f t="shared" si="228"/>
        <v>03</v>
      </c>
      <c r="T339" s="1" t="str">
        <f t="shared" si="229"/>
        <v>False</v>
      </c>
      <c r="U339" s="1" t="str">
        <f t="shared" si="230"/>
        <v>True</v>
      </c>
      <c r="V339" s="1" t="str">
        <f>"U0032389"</f>
        <v>U0032389</v>
      </c>
      <c r="W339" s="1">
        <v>1</v>
      </c>
      <c r="Y339" s="1">
        <v>0</v>
      </c>
      <c r="Z339" s="1">
        <v>0</v>
      </c>
      <c r="AB339" s="1" t="str">
        <f t="shared" si="216"/>
        <v>SMU</v>
      </c>
      <c r="AI339" s="1" t="str">
        <f t="shared" si="231"/>
        <v>F06</v>
      </c>
      <c r="AJ339" s="1" t="str">
        <f>"WOMAN"</f>
        <v>WOMAN</v>
      </c>
      <c r="AK339" s="1" t="str">
        <f t="shared" si="232"/>
        <v>PA</v>
      </c>
      <c r="AP339" s="1" t="str">
        <f t="shared" si="233"/>
        <v>False</v>
      </c>
      <c r="AR339" s="1" t="str">
        <f>"SOLAD"</f>
        <v>SOLAD</v>
      </c>
      <c r="AY339" s="1" t="str">
        <f t="shared" si="234"/>
        <v>PF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 t="str">
        <f>"S.CADEW  TWILL CANVAS"</f>
        <v>S.CADEW  TWILL CANVAS</v>
      </c>
      <c r="BF339" s="1" t="str">
        <f t="shared" si="235"/>
        <v>Bonis SpA</v>
      </c>
    </row>
    <row r="340" spans="2:58" x14ac:dyDescent="0.25">
      <c r="B340" s="1">
        <v>1760</v>
      </c>
      <c r="C340" s="1" t="str">
        <f>"SOLAD4188S7/C1"</f>
        <v>SOLAD4188S7/C1</v>
      </c>
      <c r="E340" s="1" t="str">
        <f>"40"</f>
        <v>40</v>
      </c>
      <c r="F340" s="1" t="str">
        <f t="shared" si="221"/>
        <v>BONIS SPA</v>
      </c>
      <c r="G340" s="1" t="str">
        <f t="shared" si="222"/>
        <v>STOCK TERRA MP</v>
      </c>
      <c r="H340" s="1" t="str">
        <f>"DKBL"</f>
        <v>DKBL</v>
      </c>
      <c r="K340" s="1">
        <v>1</v>
      </c>
      <c r="L340" s="1" t="str">
        <f t="shared" si="223"/>
        <v>01</v>
      </c>
      <c r="M340" s="1" t="str">
        <f t="shared" si="208"/>
        <v>102</v>
      </c>
      <c r="N340" s="1" t="str">
        <f t="shared" si="240"/>
        <v>014</v>
      </c>
      <c r="O340" s="1" t="str">
        <f t="shared" si="224"/>
        <v>00</v>
      </c>
      <c r="P340" s="1" t="str">
        <f t="shared" si="225"/>
        <v>S</v>
      </c>
      <c r="Q340" s="1" t="str">
        <f t="shared" si="226"/>
        <v>P</v>
      </c>
      <c r="R340" s="1" t="str">
        <f t="shared" si="227"/>
        <v>01</v>
      </c>
      <c r="S340" s="1" t="str">
        <f t="shared" si="228"/>
        <v>03</v>
      </c>
      <c r="T340" s="1" t="str">
        <f t="shared" si="229"/>
        <v>False</v>
      </c>
      <c r="U340" s="1" t="str">
        <f t="shared" si="230"/>
        <v>True</v>
      </c>
      <c r="V340" s="1" t="str">
        <f>"U0031355"</f>
        <v>U0031355</v>
      </c>
      <c r="W340" s="1">
        <v>1</v>
      </c>
      <c r="Y340" s="1">
        <v>0</v>
      </c>
      <c r="Z340" s="1">
        <v>0</v>
      </c>
      <c r="AB340" s="1" t="str">
        <f t="shared" si="216"/>
        <v>SMU</v>
      </c>
      <c r="AI340" s="1" t="str">
        <f t="shared" si="231"/>
        <v>F06</v>
      </c>
      <c r="AJ340" s="1" t="str">
        <f>"WOMAN"</f>
        <v>WOMAN</v>
      </c>
      <c r="AK340" s="1" t="str">
        <f t="shared" si="232"/>
        <v>PA</v>
      </c>
      <c r="AP340" s="1" t="str">
        <f t="shared" si="233"/>
        <v>False</v>
      </c>
      <c r="AR340" s="1" t="str">
        <f>"SOLAD"</f>
        <v>SOLAD</v>
      </c>
      <c r="AY340" s="1" t="str">
        <f t="shared" si="234"/>
        <v>PF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 t="str">
        <f>"S.CADEW  TWILL CANVAS"</f>
        <v>S.CADEW  TWILL CANVAS</v>
      </c>
      <c r="BF340" s="1" t="str">
        <f t="shared" si="235"/>
        <v>Bonis SpA</v>
      </c>
    </row>
    <row r="341" spans="2:58" x14ac:dyDescent="0.25">
      <c r="B341" s="1">
        <v>1760</v>
      </c>
      <c r="C341" s="1" t="str">
        <f>"SOLAN4189S7/C1"</f>
        <v>SOLAN4189S7/C1</v>
      </c>
      <c r="E341" s="1" t="str">
        <f>"42"</f>
        <v>42</v>
      </c>
      <c r="F341" s="1" t="str">
        <f t="shared" si="221"/>
        <v>BONIS SPA</v>
      </c>
      <c r="G341" s="1" t="str">
        <f t="shared" si="222"/>
        <v>STOCK TERRA MP</v>
      </c>
      <c r="H341" s="1" t="str">
        <f>"BLK"</f>
        <v>BLK</v>
      </c>
      <c r="K341" s="1">
        <v>1</v>
      </c>
      <c r="L341" s="1" t="str">
        <f t="shared" si="223"/>
        <v>01</v>
      </c>
      <c r="M341" s="1" t="str">
        <f t="shared" si="208"/>
        <v>102</v>
      </c>
      <c r="N341" s="1" t="str">
        <f t="shared" si="240"/>
        <v>014</v>
      </c>
      <c r="O341" s="1" t="str">
        <f t="shared" si="224"/>
        <v>00</v>
      </c>
      <c r="P341" s="1" t="str">
        <f t="shared" si="225"/>
        <v>S</v>
      </c>
      <c r="Q341" s="1" t="str">
        <f t="shared" si="226"/>
        <v>P</v>
      </c>
      <c r="R341" s="1" t="str">
        <f t="shared" si="227"/>
        <v>01</v>
      </c>
      <c r="S341" s="1" t="str">
        <f t="shared" si="228"/>
        <v>03</v>
      </c>
      <c r="T341" s="1" t="str">
        <f t="shared" si="229"/>
        <v>False</v>
      </c>
      <c r="U341" s="1" t="str">
        <f t="shared" si="230"/>
        <v>True</v>
      </c>
      <c r="V341" s="1" t="str">
        <f>"U0032406"</f>
        <v>U0032406</v>
      </c>
      <c r="W341" s="1">
        <v>1</v>
      </c>
      <c r="Y341" s="1">
        <v>0</v>
      </c>
      <c r="Z341" s="1">
        <v>0</v>
      </c>
      <c r="AB341" s="1" t="str">
        <f t="shared" si="216"/>
        <v>SMU</v>
      </c>
      <c r="AI341" s="1" t="str">
        <f t="shared" si="231"/>
        <v>F06</v>
      </c>
      <c r="AJ341" s="1" t="str">
        <f>"MAN"</f>
        <v>MAN</v>
      </c>
      <c r="AK341" s="1" t="str">
        <f t="shared" si="232"/>
        <v>PA</v>
      </c>
      <c r="AP341" s="1" t="str">
        <f t="shared" si="233"/>
        <v>False</v>
      </c>
      <c r="AR341" s="1" t="str">
        <f>"SOLAN"</f>
        <v>SOLAN</v>
      </c>
      <c r="AY341" s="1" t="str">
        <f t="shared" si="234"/>
        <v>PF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 t="str">
        <f>"S.CADET GOMMA  TWILL CANVAS"</f>
        <v>S.CADET GOMMA  TWILL CANVAS</v>
      </c>
      <c r="BF341" s="1" t="str">
        <f t="shared" si="235"/>
        <v>Bonis SpA</v>
      </c>
    </row>
    <row r="342" spans="2:58" x14ac:dyDescent="0.25">
      <c r="B342" s="1">
        <v>1760</v>
      </c>
      <c r="C342" s="1" t="str">
        <f>"SOLAN4189S7/C1"</f>
        <v>SOLAN4189S7/C1</v>
      </c>
      <c r="E342" s="1" t="str">
        <f>"44"</f>
        <v>44</v>
      </c>
      <c r="F342" s="1" t="str">
        <f t="shared" si="221"/>
        <v>BONIS SPA</v>
      </c>
      <c r="G342" s="1" t="str">
        <f t="shared" si="222"/>
        <v>STOCK TERRA MP</v>
      </c>
      <c r="H342" s="1" t="str">
        <f>"BLK"</f>
        <v>BLK</v>
      </c>
      <c r="K342" s="1">
        <v>1</v>
      </c>
      <c r="L342" s="1" t="str">
        <f t="shared" si="223"/>
        <v>01</v>
      </c>
      <c r="M342" s="1" t="str">
        <f t="shared" si="208"/>
        <v>102</v>
      </c>
      <c r="N342" s="1" t="str">
        <f t="shared" si="240"/>
        <v>014</v>
      </c>
      <c r="O342" s="1" t="str">
        <f t="shared" si="224"/>
        <v>00</v>
      </c>
      <c r="P342" s="1" t="str">
        <f t="shared" si="225"/>
        <v>S</v>
      </c>
      <c r="Q342" s="1" t="str">
        <f t="shared" si="226"/>
        <v>P</v>
      </c>
      <c r="R342" s="1" t="str">
        <f t="shared" si="227"/>
        <v>01</v>
      </c>
      <c r="S342" s="1" t="str">
        <f t="shared" si="228"/>
        <v>03</v>
      </c>
      <c r="T342" s="1" t="str">
        <f t="shared" si="229"/>
        <v>False</v>
      </c>
      <c r="U342" s="1" t="str">
        <f t="shared" si="230"/>
        <v>True</v>
      </c>
      <c r="V342" s="1" t="str">
        <f>"U0032406"</f>
        <v>U0032406</v>
      </c>
      <c r="W342" s="1">
        <v>1</v>
      </c>
      <c r="Y342" s="1">
        <v>0</v>
      </c>
      <c r="Z342" s="1">
        <v>0</v>
      </c>
      <c r="AB342" s="1" t="str">
        <f t="shared" si="216"/>
        <v>SMU</v>
      </c>
      <c r="AI342" s="1" t="str">
        <f t="shared" si="231"/>
        <v>F06</v>
      </c>
      <c r="AJ342" s="1" t="str">
        <f>"MAN"</f>
        <v>MAN</v>
      </c>
      <c r="AK342" s="1" t="str">
        <f t="shared" si="232"/>
        <v>PA</v>
      </c>
      <c r="AP342" s="1" t="str">
        <f t="shared" si="233"/>
        <v>False</v>
      </c>
      <c r="AR342" s="1" t="str">
        <f>"SOLAN"</f>
        <v>SOLAN</v>
      </c>
      <c r="AY342" s="1" t="str">
        <f t="shared" si="234"/>
        <v>PF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 t="str">
        <f>"S.CADET GOMMA  TWILL CANVAS"</f>
        <v>S.CADET GOMMA  TWILL CANVAS</v>
      </c>
      <c r="BF342" s="1" t="str">
        <f t="shared" si="235"/>
        <v>Bonis SpA</v>
      </c>
    </row>
    <row r="343" spans="2:58" x14ac:dyDescent="0.25">
      <c r="B343" s="1">
        <v>1760</v>
      </c>
      <c r="C343" s="1" t="str">
        <f>"SOLAN4189S7/C1"</f>
        <v>SOLAN4189S7/C1</v>
      </c>
      <c r="E343" s="1" t="str">
        <f>"43"</f>
        <v>43</v>
      </c>
      <c r="F343" s="1" t="str">
        <f t="shared" si="221"/>
        <v>BONIS SPA</v>
      </c>
      <c r="G343" s="1" t="str">
        <f t="shared" si="222"/>
        <v>STOCK TERRA MP</v>
      </c>
      <c r="H343" s="1" t="str">
        <f>"BLK"</f>
        <v>BLK</v>
      </c>
      <c r="K343" s="1">
        <v>5</v>
      </c>
      <c r="L343" s="1" t="str">
        <f t="shared" si="223"/>
        <v>01</v>
      </c>
      <c r="M343" s="1" t="str">
        <f t="shared" si="208"/>
        <v>102</v>
      </c>
      <c r="N343" s="1" t="str">
        <f t="shared" si="240"/>
        <v>014</v>
      </c>
      <c r="O343" s="1" t="str">
        <f t="shared" si="224"/>
        <v>00</v>
      </c>
      <c r="P343" s="1" t="str">
        <f t="shared" si="225"/>
        <v>S</v>
      </c>
      <c r="Q343" s="1" t="str">
        <f t="shared" si="226"/>
        <v>P</v>
      </c>
      <c r="R343" s="1" t="str">
        <f t="shared" si="227"/>
        <v>01</v>
      </c>
      <c r="S343" s="1" t="str">
        <f t="shared" si="228"/>
        <v>03</v>
      </c>
      <c r="T343" s="1" t="str">
        <f t="shared" si="229"/>
        <v>False</v>
      </c>
      <c r="U343" s="1" t="str">
        <f t="shared" si="230"/>
        <v>True</v>
      </c>
      <c r="V343" s="1" t="str">
        <f>"U0032406"</f>
        <v>U0032406</v>
      </c>
      <c r="W343" s="1">
        <v>1</v>
      </c>
      <c r="Y343" s="1">
        <v>0</v>
      </c>
      <c r="Z343" s="1">
        <v>0</v>
      </c>
      <c r="AB343" s="1" t="str">
        <f t="shared" si="216"/>
        <v>SMU</v>
      </c>
      <c r="AI343" s="1" t="str">
        <f t="shared" si="231"/>
        <v>F06</v>
      </c>
      <c r="AJ343" s="1" t="str">
        <f>"MAN"</f>
        <v>MAN</v>
      </c>
      <c r="AK343" s="1" t="str">
        <f t="shared" si="232"/>
        <v>PA</v>
      </c>
      <c r="AP343" s="1" t="str">
        <f t="shared" si="233"/>
        <v>False</v>
      </c>
      <c r="AR343" s="1" t="str">
        <f>"SOLAN"</f>
        <v>SOLAN</v>
      </c>
      <c r="AY343" s="1" t="str">
        <f t="shared" si="234"/>
        <v>PF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 t="str">
        <f>"S.CADET GOMMA  TWILL CANVAS"</f>
        <v>S.CADET GOMMA  TWILL CANVAS</v>
      </c>
      <c r="BF343" s="1" t="str">
        <f t="shared" si="235"/>
        <v>Bonis SpA</v>
      </c>
    </row>
    <row r="344" spans="2:58" x14ac:dyDescent="0.25">
      <c r="B344" s="1">
        <v>1760</v>
      </c>
      <c r="C344" s="1" t="str">
        <f>"GALAN4182S7/CY1"</f>
        <v>GALAN4182S7/CY1</v>
      </c>
      <c r="E344" s="1" t="str">
        <f>"43"</f>
        <v>43</v>
      </c>
      <c r="F344" s="1" t="str">
        <f t="shared" si="221"/>
        <v>BONIS SPA</v>
      </c>
      <c r="G344" s="1" t="str">
        <f t="shared" si="222"/>
        <v>STOCK TERRA MP</v>
      </c>
      <c r="H344" s="1" t="str">
        <f>"BEI"</f>
        <v>BEI</v>
      </c>
      <c r="K344" s="1">
        <v>2</v>
      </c>
      <c r="L344" s="1" t="str">
        <f t="shared" si="223"/>
        <v>01</v>
      </c>
      <c r="M344" s="1" t="str">
        <f t="shared" si="208"/>
        <v>102</v>
      </c>
      <c r="N344" s="1" t="str">
        <f t="shared" si="240"/>
        <v>014</v>
      </c>
      <c r="O344" s="1" t="str">
        <f t="shared" si="224"/>
        <v>00</v>
      </c>
      <c r="P344" s="1" t="str">
        <f t="shared" si="225"/>
        <v>S</v>
      </c>
      <c r="Q344" s="1" t="str">
        <f t="shared" si="226"/>
        <v>P</v>
      </c>
      <c r="R344" s="1" t="str">
        <f t="shared" si="227"/>
        <v>01</v>
      </c>
      <c r="S344" s="1" t="str">
        <f t="shared" si="228"/>
        <v>03</v>
      </c>
      <c r="T344" s="1" t="str">
        <f t="shared" si="229"/>
        <v>False</v>
      </c>
      <c r="U344" s="1" t="str">
        <f t="shared" si="230"/>
        <v>True</v>
      </c>
      <c r="V344" s="1" t="str">
        <f>"U0032424"</f>
        <v>U0032424</v>
      </c>
      <c r="W344" s="1">
        <v>1</v>
      </c>
      <c r="Y344" s="1">
        <v>0</v>
      </c>
      <c r="Z344" s="1">
        <v>0</v>
      </c>
      <c r="AB344" s="1" t="str">
        <f t="shared" si="216"/>
        <v>SMU</v>
      </c>
      <c r="AI344" s="1" t="str">
        <f t="shared" si="231"/>
        <v>F06</v>
      </c>
      <c r="AJ344" s="1" t="str">
        <f>"MAN"</f>
        <v>MAN</v>
      </c>
      <c r="AK344" s="1" t="str">
        <f t="shared" si="232"/>
        <v>PA</v>
      </c>
      <c r="AP344" s="1" t="str">
        <f t="shared" si="233"/>
        <v>False</v>
      </c>
      <c r="AR344" s="1" t="str">
        <f>"GALAN"</f>
        <v>GALAN</v>
      </c>
      <c r="AY344" s="1" t="str">
        <f t="shared" si="234"/>
        <v>PF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 t="str">
        <f>"LAN+TWILL CANVAS + SIN.LEATHER"</f>
        <v>LAN+TWILL CANVAS + SIN.LEATHER</v>
      </c>
      <c r="BF344" s="1" t="str">
        <f t="shared" si="235"/>
        <v>Bonis SpA</v>
      </c>
    </row>
    <row r="345" spans="2:58" x14ac:dyDescent="0.25">
      <c r="B345" s="1">
        <v>1760</v>
      </c>
      <c r="C345" s="1" t="str">
        <f>"GALAN4182S7/CY1"</f>
        <v>GALAN4182S7/CY1</v>
      </c>
      <c r="E345" s="1" t="str">
        <f>"42"</f>
        <v>42</v>
      </c>
      <c r="F345" s="1" t="str">
        <f t="shared" si="221"/>
        <v>BONIS SPA</v>
      </c>
      <c r="G345" s="1" t="str">
        <f t="shared" si="222"/>
        <v>STOCK TERRA MP</v>
      </c>
      <c r="H345" s="1" t="str">
        <f>"BEI"</f>
        <v>BEI</v>
      </c>
      <c r="K345" s="1">
        <v>1</v>
      </c>
      <c r="L345" s="1" t="str">
        <f t="shared" si="223"/>
        <v>01</v>
      </c>
      <c r="M345" s="1" t="str">
        <f t="shared" si="208"/>
        <v>102</v>
      </c>
      <c r="N345" s="1" t="str">
        <f t="shared" si="240"/>
        <v>014</v>
      </c>
      <c r="O345" s="1" t="str">
        <f t="shared" si="224"/>
        <v>00</v>
      </c>
      <c r="P345" s="1" t="str">
        <f t="shared" si="225"/>
        <v>S</v>
      </c>
      <c r="Q345" s="1" t="str">
        <f t="shared" si="226"/>
        <v>P</v>
      </c>
      <c r="R345" s="1" t="str">
        <f t="shared" si="227"/>
        <v>01</v>
      </c>
      <c r="S345" s="1" t="str">
        <f t="shared" si="228"/>
        <v>03</v>
      </c>
      <c r="T345" s="1" t="str">
        <f t="shared" si="229"/>
        <v>False</v>
      </c>
      <c r="U345" s="1" t="str">
        <f t="shared" si="230"/>
        <v>True</v>
      </c>
      <c r="V345" s="1" t="str">
        <f>"U0032424"</f>
        <v>U0032424</v>
      </c>
      <c r="W345" s="1">
        <v>1</v>
      </c>
      <c r="Y345" s="1">
        <v>0</v>
      </c>
      <c r="Z345" s="1">
        <v>0</v>
      </c>
      <c r="AB345" s="1" t="str">
        <f t="shared" si="216"/>
        <v>SMU</v>
      </c>
      <c r="AI345" s="1" t="str">
        <f t="shared" si="231"/>
        <v>F06</v>
      </c>
      <c r="AJ345" s="1" t="str">
        <f>"MAN"</f>
        <v>MAN</v>
      </c>
      <c r="AK345" s="1" t="str">
        <f t="shared" si="232"/>
        <v>PA</v>
      </c>
      <c r="AP345" s="1" t="str">
        <f t="shared" si="233"/>
        <v>False</v>
      </c>
      <c r="AR345" s="1" t="str">
        <f>"GALAN"</f>
        <v>GALAN</v>
      </c>
      <c r="AY345" s="1" t="str">
        <f t="shared" si="234"/>
        <v>PF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 t="str">
        <f>"LAN+TWILL CANVAS + SIN.LEATHER"</f>
        <v>LAN+TWILL CANVAS + SIN.LEATHER</v>
      </c>
      <c r="BF345" s="1" t="str">
        <f t="shared" si="235"/>
        <v>Bonis SpA</v>
      </c>
    </row>
    <row r="346" spans="2:58" x14ac:dyDescent="0.25">
      <c r="B346" s="1">
        <v>1760</v>
      </c>
      <c r="C346" s="1" t="str">
        <f>"DYON4191S7/C1"</f>
        <v>DYON4191S7/C1</v>
      </c>
      <c r="E346" s="1" t="str">
        <f>"39"</f>
        <v>39</v>
      </c>
      <c r="F346" s="1" t="str">
        <f t="shared" si="221"/>
        <v>BONIS SPA</v>
      </c>
      <c r="G346" s="1" t="str">
        <f t="shared" si="222"/>
        <v>STOCK TERRA MP</v>
      </c>
      <c r="H346" s="1" t="str">
        <f>"AVIO"</f>
        <v>AVIO</v>
      </c>
      <c r="K346" s="1">
        <v>1</v>
      </c>
      <c r="L346" s="1" t="str">
        <f t="shared" si="223"/>
        <v>01</v>
      </c>
      <c r="M346" s="1" t="str">
        <f t="shared" si="208"/>
        <v>102</v>
      </c>
      <c r="N346" s="1" t="str">
        <f t="shared" si="240"/>
        <v>014</v>
      </c>
      <c r="O346" s="1" t="str">
        <f t="shared" si="224"/>
        <v>00</v>
      </c>
      <c r="P346" s="1" t="str">
        <f t="shared" si="225"/>
        <v>S</v>
      </c>
      <c r="Q346" s="1" t="str">
        <f t="shared" si="226"/>
        <v>P</v>
      </c>
      <c r="R346" s="1" t="str">
        <f t="shared" si="227"/>
        <v>01</v>
      </c>
      <c r="S346" s="1" t="str">
        <f t="shared" si="228"/>
        <v>03</v>
      </c>
      <c r="T346" s="1" t="str">
        <f t="shared" si="229"/>
        <v>False</v>
      </c>
      <c r="U346" s="1" t="str">
        <f t="shared" si="230"/>
        <v>True</v>
      </c>
      <c r="V346" s="1" t="str">
        <f>"U0032425"</f>
        <v>U0032425</v>
      </c>
      <c r="W346" s="1">
        <v>1</v>
      </c>
      <c r="Y346" s="1">
        <v>0</v>
      </c>
      <c r="Z346" s="1">
        <v>0</v>
      </c>
      <c r="AB346" s="1" t="str">
        <f t="shared" si="216"/>
        <v>SMU</v>
      </c>
      <c r="AI346" s="1" t="str">
        <f t="shared" si="231"/>
        <v>F06</v>
      </c>
      <c r="AJ346" s="1" t="str">
        <f>"WOMAN"</f>
        <v>WOMAN</v>
      </c>
      <c r="AK346" s="1" t="str">
        <f t="shared" si="232"/>
        <v>PA</v>
      </c>
      <c r="AP346" s="1" t="str">
        <f t="shared" si="233"/>
        <v>False</v>
      </c>
      <c r="AR346" s="1" t="str">
        <f>"DYON"</f>
        <v>DYON</v>
      </c>
      <c r="AY346" s="1" t="str">
        <f t="shared" si="234"/>
        <v>PF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 t="str">
        <f>"YON GOMMA TWILL CANVAS"</f>
        <v>YON GOMMA TWILL CANVAS</v>
      </c>
      <c r="BF346" s="1" t="str">
        <f t="shared" si="235"/>
        <v>Bonis SpA</v>
      </c>
    </row>
    <row r="347" spans="2:58" x14ac:dyDescent="0.25">
      <c r="B347" s="1">
        <v>1760</v>
      </c>
      <c r="C347" s="1" t="str">
        <f>"GALAD4185S7/CY1"</f>
        <v>GALAD4185S7/CY1</v>
      </c>
      <c r="E347" s="1" t="str">
        <f>"38"</f>
        <v>38</v>
      </c>
      <c r="F347" s="1" t="str">
        <f t="shared" si="221"/>
        <v>BONIS SPA</v>
      </c>
      <c r="G347" s="1" t="str">
        <f t="shared" si="222"/>
        <v>STOCK TERRA MP</v>
      </c>
      <c r="H347" s="1" t="str">
        <f>"BLUE"</f>
        <v>BLUE</v>
      </c>
      <c r="K347" s="1">
        <v>1</v>
      </c>
      <c r="L347" s="1" t="str">
        <f t="shared" si="223"/>
        <v>01</v>
      </c>
      <c r="M347" s="1" t="str">
        <f t="shared" si="208"/>
        <v>102</v>
      </c>
      <c r="N347" s="1" t="str">
        <f t="shared" si="240"/>
        <v>014</v>
      </c>
      <c r="O347" s="1" t="str">
        <f t="shared" si="224"/>
        <v>00</v>
      </c>
      <c r="P347" s="1" t="str">
        <f t="shared" si="225"/>
        <v>S</v>
      </c>
      <c r="Q347" s="1" t="str">
        <f t="shared" si="226"/>
        <v>P</v>
      </c>
      <c r="R347" s="1" t="str">
        <f t="shared" si="227"/>
        <v>01</v>
      </c>
      <c r="S347" s="1" t="str">
        <f t="shared" si="228"/>
        <v>03</v>
      </c>
      <c r="T347" s="1" t="str">
        <f t="shared" si="229"/>
        <v>False</v>
      </c>
      <c r="U347" s="1" t="str">
        <f t="shared" si="230"/>
        <v>True</v>
      </c>
      <c r="V347" s="1" t="str">
        <f>"U0031355"</f>
        <v>U0031355</v>
      </c>
      <c r="W347" s="1">
        <v>1</v>
      </c>
      <c r="Y347" s="1">
        <v>0</v>
      </c>
      <c r="Z347" s="1">
        <v>0</v>
      </c>
      <c r="AB347" s="1" t="str">
        <f t="shared" si="216"/>
        <v>SMU</v>
      </c>
      <c r="AI347" s="1" t="str">
        <f t="shared" si="231"/>
        <v>F06</v>
      </c>
      <c r="AJ347" s="1" t="str">
        <f>"WOMAN"</f>
        <v>WOMAN</v>
      </c>
      <c r="AK347" s="1" t="str">
        <f t="shared" si="232"/>
        <v>PA</v>
      </c>
      <c r="AP347" s="1" t="str">
        <f t="shared" si="233"/>
        <v>False</v>
      </c>
      <c r="AR347" s="1" t="str">
        <f>"GALAD"</f>
        <v>GALAD</v>
      </c>
      <c r="AY347" s="1" t="str">
        <f t="shared" si="234"/>
        <v>PF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 t="str">
        <f>"D GOMMA D.H.TWILL CANVAS+SINT."</f>
        <v>D GOMMA D.H.TWILL CANVAS+SINT.</v>
      </c>
      <c r="BF347" s="1" t="str">
        <f t="shared" si="235"/>
        <v>Bonis SpA</v>
      </c>
    </row>
    <row r="348" spans="2:58" x14ac:dyDescent="0.25">
      <c r="B348" s="1">
        <v>1760</v>
      </c>
      <c r="C348" s="1" t="str">
        <f>"DYON4190S7/C1"</f>
        <v>DYON4190S7/C1</v>
      </c>
      <c r="E348" s="1" t="str">
        <f>"41"</f>
        <v>41</v>
      </c>
      <c r="F348" s="1" t="str">
        <f t="shared" si="221"/>
        <v>BONIS SPA</v>
      </c>
      <c r="G348" s="1" t="str">
        <f t="shared" si="222"/>
        <v>STOCK TERRA MP</v>
      </c>
      <c r="H348" s="1" t="str">
        <f>"FUX"</f>
        <v>FUX</v>
      </c>
      <c r="K348" s="1">
        <v>1</v>
      </c>
      <c r="L348" s="1" t="str">
        <f t="shared" si="223"/>
        <v>01</v>
      </c>
      <c r="M348" s="1" t="str">
        <f t="shared" si="208"/>
        <v>102</v>
      </c>
      <c r="N348" s="1" t="str">
        <f t="shared" si="240"/>
        <v>014</v>
      </c>
      <c r="O348" s="1" t="str">
        <f t="shared" si="224"/>
        <v>00</v>
      </c>
      <c r="P348" s="1" t="str">
        <f t="shared" si="225"/>
        <v>S</v>
      </c>
      <c r="Q348" s="1" t="str">
        <f t="shared" si="226"/>
        <v>P</v>
      </c>
      <c r="R348" s="1" t="str">
        <f t="shared" si="227"/>
        <v>01</v>
      </c>
      <c r="S348" s="1" t="str">
        <f t="shared" si="228"/>
        <v>03</v>
      </c>
      <c r="T348" s="1" t="str">
        <f t="shared" si="229"/>
        <v>False</v>
      </c>
      <c r="U348" s="1" t="str">
        <f t="shared" si="230"/>
        <v>True</v>
      </c>
      <c r="V348" s="1" t="str">
        <f>"U0032425"</f>
        <v>U0032425</v>
      </c>
      <c r="W348" s="1">
        <v>1</v>
      </c>
      <c r="Y348" s="1">
        <v>0</v>
      </c>
      <c r="Z348" s="1">
        <v>0</v>
      </c>
      <c r="AB348" s="1" t="str">
        <f t="shared" si="216"/>
        <v>SMU</v>
      </c>
      <c r="AI348" s="1" t="str">
        <f t="shared" si="231"/>
        <v>F06</v>
      </c>
      <c r="AJ348" s="1" t="str">
        <f>"WOMAN"</f>
        <v>WOMAN</v>
      </c>
      <c r="AK348" s="1" t="str">
        <f t="shared" si="232"/>
        <v>PA</v>
      </c>
      <c r="AP348" s="1" t="str">
        <f t="shared" si="233"/>
        <v>False</v>
      </c>
      <c r="AR348" s="1" t="str">
        <f>"DYON"</f>
        <v>DYON</v>
      </c>
      <c r="AY348" s="1" t="str">
        <f t="shared" si="234"/>
        <v>PF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 t="str">
        <f>"ION GOMMA TWILL CANVAS"</f>
        <v>ION GOMMA TWILL CANVAS</v>
      </c>
      <c r="BF348" s="1" t="str">
        <f t="shared" si="235"/>
        <v>Bonis SpA</v>
      </c>
    </row>
    <row r="349" spans="2:58" x14ac:dyDescent="0.25">
      <c r="B349" s="1">
        <v>1760</v>
      </c>
      <c r="C349" s="1" t="str">
        <f>"GALAN4182S7/CY1"</f>
        <v>GALAN4182S7/CY1</v>
      </c>
      <c r="E349" s="1" t="str">
        <f>"41"</f>
        <v>41</v>
      </c>
      <c r="F349" s="1" t="str">
        <f t="shared" si="221"/>
        <v>BONIS SPA</v>
      </c>
      <c r="G349" s="1" t="str">
        <f t="shared" si="222"/>
        <v>STOCK TERRA MP</v>
      </c>
      <c r="H349" s="1" t="str">
        <f>"BLK"</f>
        <v>BLK</v>
      </c>
      <c r="K349" s="1">
        <v>1</v>
      </c>
      <c r="L349" s="1" t="str">
        <f t="shared" si="223"/>
        <v>01</v>
      </c>
      <c r="M349" s="1" t="str">
        <f t="shared" si="208"/>
        <v>102</v>
      </c>
      <c r="N349" s="1" t="str">
        <f t="shared" si="240"/>
        <v>014</v>
      </c>
      <c r="O349" s="1" t="str">
        <f t="shared" si="224"/>
        <v>00</v>
      </c>
      <c r="P349" s="1" t="str">
        <f t="shared" si="225"/>
        <v>S</v>
      </c>
      <c r="Q349" s="1" t="str">
        <f t="shared" si="226"/>
        <v>P</v>
      </c>
      <c r="R349" s="1" t="str">
        <f t="shared" si="227"/>
        <v>01</v>
      </c>
      <c r="S349" s="1" t="str">
        <f t="shared" si="228"/>
        <v>03</v>
      </c>
      <c r="T349" s="1" t="str">
        <f t="shared" si="229"/>
        <v>False</v>
      </c>
      <c r="U349" s="1" t="str">
        <f t="shared" si="230"/>
        <v>True</v>
      </c>
      <c r="V349" s="1" t="str">
        <f>"U0032389"</f>
        <v>U0032389</v>
      </c>
      <c r="W349" s="1">
        <v>1</v>
      </c>
      <c r="Y349" s="1">
        <v>0</v>
      </c>
      <c r="Z349" s="1">
        <v>0</v>
      </c>
      <c r="AB349" s="1" t="str">
        <f t="shared" si="216"/>
        <v>SMU</v>
      </c>
      <c r="AI349" s="1" t="str">
        <f t="shared" si="231"/>
        <v>F06</v>
      </c>
      <c r="AJ349" s="1" t="str">
        <f>"MAN"</f>
        <v>MAN</v>
      </c>
      <c r="AK349" s="1" t="str">
        <f t="shared" si="232"/>
        <v>PA</v>
      </c>
      <c r="AP349" s="1" t="str">
        <f t="shared" si="233"/>
        <v>False</v>
      </c>
      <c r="AR349" s="1" t="str">
        <f>"GALAN"</f>
        <v>GALAN</v>
      </c>
      <c r="AY349" s="1" t="str">
        <f t="shared" si="234"/>
        <v>PF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 t="str">
        <f>"LAN+TWILL CANVAS + SIN.LEATHER"</f>
        <v>LAN+TWILL CANVAS + SIN.LEATHER</v>
      </c>
      <c r="BF349" s="1" t="str">
        <f t="shared" si="235"/>
        <v>Bonis SpA</v>
      </c>
    </row>
    <row r="350" spans="2:58" x14ac:dyDescent="0.25">
      <c r="B350" s="1">
        <v>1760</v>
      </c>
      <c r="C350" s="1" t="str">
        <f>"SOLAD4188S7/C1"</f>
        <v>SOLAD4188S7/C1</v>
      </c>
      <c r="E350" s="1" t="str">
        <f>"40"</f>
        <v>40</v>
      </c>
      <c r="F350" s="1" t="str">
        <f t="shared" si="221"/>
        <v>BONIS SPA</v>
      </c>
      <c r="G350" s="1" t="str">
        <f t="shared" si="222"/>
        <v>STOCK TERRA MP</v>
      </c>
      <c r="H350" s="1" t="str">
        <f>"BLK"</f>
        <v>BLK</v>
      </c>
      <c r="K350" s="1">
        <v>2</v>
      </c>
      <c r="L350" s="1" t="str">
        <f t="shared" si="223"/>
        <v>01</v>
      </c>
      <c r="M350" s="1" t="str">
        <f t="shared" si="208"/>
        <v>102</v>
      </c>
      <c r="N350" s="1" t="str">
        <f t="shared" si="240"/>
        <v>014</v>
      </c>
      <c r="O350" s="1" t="str">
        <f t="shared" si="224"/>
        <v>00</v>
      </c>
      <c r="P350" s="1" t="str">
        <f t="shared" si="225"/>
        <v>S</v>
      </c>
      <c r="Q350" s="1" t="str">
        <f t="shared" si="226"/>
        <v>P</v>
      </c>
      <c r="R350" s="1" t="str">
        <f t="shared" si="227"/>
        <v>01</v>
      </c>
      <c r="S350" s="1" t="str">
        <f t="shared" si="228"/>
        <v>03</v>
      </c>
      <c r="T350" s="1" t="str">
        <f t="shared" si="229"/>
        <v>False</v>
      </c>
      <c r="U350" s="1" t="str">
        <f t="shared" si="230"/>
        <v>True</v>
      </c>
      <c r="V350" s="1" t="str">
        <f>"U0032389"</f>
        <v>U0032389</v>
      </c>
      <c r="W350" s="1">
        <v>1</v>
      </c>
      <c r="Y350" s="1">
        <v>0</v>
      </c>
      <c r="Z350" s="1">
        <v>0</v>
      </c>
      <c r="AB350" s="1" t="str">
        <f t="shared" si="216"/>
        <v>SMU</v>
      </c>
      <c r="AI350" s="1" t="str">
        <f t="shared" si="231"/>
        <v>F06</v>
      </c>
      <c r="AJ350" s="1" t="str">
        <f t="shared" ref="AJ350:AJ355" si="241">"WOMAN"</f>
        <v>WOMAN</v>
      </c>
      <c r="AK350" s="1" t="str">
        <f t="shared" si="232"/>
        <v>PA</v>
      </c>
      <c r="AP350" s="1" t="str">
        <f t="shared" si="233"/>
        <v>False</v>
      </c>
      <c r="AR350" s="1" t="str">
        <f>"SOLAD"</f>
        <v>SOLAD</v>
      </c>
      <c r="AY350" s="1" t="str">
        <f t="shared" si="234"/>
        <v>PF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 t="str">
        <f>"S.CADEW  TWILL CANVAS"</f>
        <v>S.CADEW  TWILL CANVAS</v>
      </c>
      <c r="BF350" s="1" t="str">
        <f t="shared" si="235"/>
        <v>Bonis SpA</v>
      </c>
    </row>
    <row r="351" spans="2:58" x14ac:dyDescent="0.25">
      <c r="B351" s="1">
        <v>1760</v>
      </c>
      <c r="C351" s="1" t="str">
        <f>"NOBIW4193S7/CH1"</f>
        <v>NOBIW4193S7/CH1</v>
      </c>
      <c r="E351" s="1" t="str">
        <f>"36"</f>
        <v>36</v>
      </c>
      <c r="F351" s="1" t="str">
        <f t="shared" si="221"/>
        <v>BONIS SPA</v>
      </c>
      <c r="G351" s="1" t="str">
        <f t="shared" si="222"/>
        <v>STOCK TERRA MP</v>
      </c>
      <c r="H351" s="1" t="str">
        <f>"AVIO"</f>
        <v>AVIO</v>
      </c>
      <c r="K351" s="1">
        <v>1</v>
      </c>
      <c r="L351" s="1" t="str">
        <f t="shared" si="223"/>
        <v>01</v>
      </c>
      <c r="M351" s="1" t="str">
        <f t="shared" si="208"/>
        <v>102</v>
      </c>
      <c r="N351" s="1" t="str">
        <f t="shared" si="240"/>
        <v>014</v>
      </c>
      <c r="O351" s="1" t="str">
        <f t="shared" si="224"/>
        <v>00</v>
      </c>
      <c r="P351" s="1" t="str">
        <f t="shared" si="225"/>
        <v>S</v>
      </c>
      <c r="Q351" s="1" t="str">
        <f t="shared" si="226"/>
        <v>P</v>
      </c>
      <c r="R351" s="1" t="str">
        <f t="shared" si="227"/>
        <v>01</v>
      </c>
      <c r="S351" s="1" t="str">
        <f t="shared" si="228"/>
        <v>03</v>
      </c>
      <c r="T351" s="1" t="str">
        <f t="shared" si="229"/>
        <v>False</v>
      </c>
      <c r="U351" s="1" t="str">
        <f t="shared" si="230"/>
        <v>True</v>
      </c>
      <c r="V351" s="1" t="str">
        <f>"U0032393"</f>
        <v>U0032393</v>
      </c>
      <c r="W351" s="1">
        <v>1</v>
      </c>
      <c r="Y351" s="1">
        <v>0</v>
      </c>
      <c r="Z351" s="1">
        <v>0</v>
      </c>
      <c r="AB351" s="1" t="str">
        <f t="shared" si="216"/>
        <v>SMU</v>
      </c>
      <c r="AI351" s="1" t="str">
        <f t="shared" si="231"/>
        <v>F06</v>
      </c>
      <c r="AJ351" s="1" t="str">
        <f t="shared" si="241"/>
        <v>WOMAN</v>
      </c>
      <c r="AK351" s="1" t="str">
        <f t="shared" si="232"/>
        <v>PA</v>
      </c>
      <c r="AP351" s="1" t="str">
        <f t="shared" si="233"/>
        <v>False</v>
      </c>
      <c r="AR351" s="1" t="str">
        <f>"NOBIW"</f>
        <v>NOBIW</v>
      </c>
      <c r="AY351" s="1" t="str">
        <f t="shared" si="234"/>
        <v>PF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 t="str">
        <f>"UBBER FLAT MOL.CANVAS+MICROSUE"</f>
        <v>UBBER FLAT MOL.CANVAS+MICROSUE</v>
      </c>
      <c r="BF351" s="1" t="str">
        <f t="shared" si="235"/>
        <v>Bonis SpA</v>
      </c>
    </row>
    <row r="352" spans="2:58" x14ac:dyDescent="0.25">
      <c r="B352" s="1">
        <v>1760</v>
      </c>
      <c r="C352" s="1" t="str">
        <f>"NOBIW4193S7/CH1"</f>
        <v>NOBIW4193S7/CH1</v>
      </c>
      <c r="E352" s="1" t="str">
        <f>"37"</f>
        <v>37</v>
      </c>
      <c r="F352" s="1" t="str">
        <f t="shared" si="221"/>
        <v>BONIS SPA</v>
      </c>
      <c r="G352" s="1" t="str">
        <f t="shared" si="222"/>
        <v>STOCK TERRA MP</v>
      </c>
      <c r="H352" s="1" t="str">
        <f>"AVIO"</f>
        <v>AVIO</v>
      </c>
      <c r="K352" s="1">
        <v>2</v>
      </c>
      <c r="L352" s="1" t="str">
        <f t="shared" si="223"/>
        <v>01</v>
      </c>
      <c r="M352" s="1" t="str">
        <f t="shared" si="208"/>
        <v>102</v>
      </c>
      <c r="N352" s="1" t="str">
        <f t="shared" si="240"/>
        <v>014</v>
      </c>
      <c r="O352" s="1" t="str">
        <f t="shared" si="224"/>
        <v>00</v>
      </c>
      <c r="P352" s="1" t="str">
        <f t="shared" si="225"/>
        <v>S</v>
      </c>
      <c r="Q352" s="1" t="str">
        <f t="shared" si="226"/>
        <v>P</v>
      </c>
      <c r="R352" s="1" t="str">
        <f t="shared" si="227"/>
        <v>01</v>
      </c>
      <c r="S352" s="1" t="str">
        <f t="shared" si="228"/>
        <v>03</v>
      </c>
      <c r="T352" s="1" t="str">
        <f t="shared" si="229"/>
        <v>False</v>
      </c>
      <c r="U352" s="1" t="str">
        <f t="shared" si="230"/>
        <v>True</v>
      </c>
      <c r="V352" s="1" t="str">
        <f>"U0032393"</f>
        <v>U0032393</v>
      </c>
      <c r="W352" s="1">
        <v>1</v>
      </c>
      <c r="Y352" s="1">
        <v>0</v>
      </c>
      <c r="Z352" s="1">
        <v>0</v>
      </c>
      <c r="AB352" s="1" t="str">
        <f t="shared" si="216"/>
        <v>SMU</v>
      </c>
      <c r="AI352" s="1" t="str">
        <f t="shared" si="231"/>
        <v>F06</v>
      </c>
      <c r="AJ352" s="1" t="str">
        <f t="shared" si="241"/>
        <v>WOMAN</v>
      </c>
      <c r="AK352" s="1" t="str">
        <f t="shared" si="232"/>
        <v>PA</v>
      </c>
      <c r="AP352" s="1" t="str">
        <f t="shared" si="233"/>
        <v>False</v>
      </c>
      <c r="AR352" s="1" t="str">
        <f>"NOBIW"</f>
        <v>NOBIW</v>
      </c>
      <c r="AY352" s="1" t="str">
        <f t="shared" si="234"/>
        <v>PF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 t="str">
        <f>"UBBER FLAT MOL.CANVAS+MICROSUE"</f>
        <v>UBBER FLAT MOL.CANVAS+MICROSUE</v>
      </c>
      <c r="BF352" s="1" t="str">
        <f t="shared" si="235"/>
        <v>Bonis SpA</v>
      </c>
    </row>
    <row r="353" spans="2:58" x14ac:dyDescent="0.25">
      <c r="B353" s="1">
        <v>1760</v>
      </c>
      <c r="C353" s="1" t="str">
        <f>"NOBIW4193S7/CH1"</f>
        <v>NOBIW4193S7/CH1</v>
      </c>
      <c r="E353" s="1" t="str">
        <f>"38"</f>
        <v>38</v>
      </c>
      <c r="F353" s="1" t="str">
        <f t="shared" si="221"/>
        <v>BONIS SPA</v>
      </c>
      <c r="G353" s="1" t="str">
        <f t="shared" si="222"/>
        <v>STOCK TERRA MP</v>
      </c>
      <c r="H353" s="1" t="str">
        <f>"AVIO"</f>
        <v>AVIO</v>
      </c>
      <c r="K353" s="1">
        <v>1</v>
      </c>
      <c r="L353" s="1" t="str">
        <f t="shared" si="223"/>
        <v>01</v>
      </c>
      <c r="M353" s="1" t="str">
        <f t="shared" si="208"/>
        <v>102</v>
      </c>
      <c r="N353" s="1" t="str">
        <f t="shared" si="240"/>
        <v>014</v>
      </c>
      <c r="O353" s="1" t="str">
        <f t="shared" si="224"/>
        <v>00</v>
      </c>
      <c r="P353" s="1" t="str">
        <f t="shared" si="225"/>
        <v>S</v>
      </c>
      <c r="Q353" s="1" t="str">
        <f t="shared" si="226"/>
        <v>P</v>
      </c>
      <c r="R353" s="1" t="str">
        <f t="shared" si="227"/>
        <v>01</v>
      </c>
      <c r="S353" s="1" t="str">
        <f t="shared" si="228"/>
        <v>03</v>
      </c>
      <c r="T353" s="1" t="str">
        <f t="shared" si="229"/>
        <v>False</v>
      </c>
      <c r="U353" s="1" t="str">
        <f t="shared" si="230"/>
        <v>True</v>
      </c>
      <c r="V353" s="1" t="str">
        <f>"U0032393"</f>
        <v>U0032393</v>
      </c>
      <c r="W353" s="1">
        <v>1</v>
      </c>
      <c r="Y353" s="1">
        <v>0</v>
      </c>
      <c r="Z353" s="1">
        <v>0</v>
      </c>
      <c r="AB353" s="1" t="str">
        <f t="shared" si="216"/>
        <v>SMU</v>
      </c>
      <c r="AI353" s="1" t="str">
        <f t="shared" si="231"/>
        <v>F06</v>
      </c>
      <c r="AJ353" s="1" t="str">
        <f t="shared" si="241"/>
        <v>WOMAN</v>
      </c>
      <c r="AK353" s="1" t="str">
        <f t="shared" si="232"/>
        <v>PA</v>
      </c>
      <c r="AP353" s="1" t="str">
        <f t="shared" si="233"/>
        <v>False</v>
      </c>
      <c r="AR353" s="1" t="str">
        <f>"NOBIW"</f>
        <v>NOBIW</v>
      </c>
      <c r="AY353" s="1" t="str">
        <f t="shared" si="234"/>
        <v>PF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 t="str">
        <f>"UBBER FLAT MOL.CANVAS+MICROSUE"</f>
        <v>UBBER FLAT MOL.CANVAS+MICROSUE</v>
      </c>
      <c r="BF353" s="1" t="str">
        <f t="shared" si="235"/>
        <v>Bonis SpA</v>
      </c>
    </row>
    <row r="354" spans="2:58" x14ac:dyDescent="0.25">
      <c r="B354" s="1">
        <v>1760</v>
      </c>
      <c r="C354" s="1" t="str">
        <f>"NOBIW4193S7/CH1"</f>
        <v>NOBIW4193S7/CH1</v>
      </c>
      <c r="E354" s="1" t="str">
        <f>"39"</f>
        <v>39</v>
      </c>
      <c r="F354" s="1" t="str">
        <f t="shared" si="221"/>
        <v>BONIS SPA</v>
      </c>
      <c r="G354" s="1" t="str">
        <f t="shared" si="222"/>
        <v>STOCK TERRA MP</v>
      </c>
      <c r="H354" s="1" t="str">
        <f>"AVIO"</f>
        <v>AVIO</v>
      </c>
      <c r="K354" s="1">
        <v>1</v>
      </c>
      <c r="L354" s="1" t="str">
        <f t="shared" si="223"/>
        <v>01</v>
      </c>
      <c r="M354" s="1" t="str">
        <f t="shared" si="208"/>
        <v>102</v>
      </c>
      <c r="N354" s="1" t="str">
        <f t="shared" si="240"/>
        <v>014</v>
      </c>
      <c r="O354" s="1" t="str">
        <f t="shared" si="224"/>
        <v>00</v>
      </c>
      <c r="P354" s="1" t="str">
        <f t="shared" si="225"/>
        <v>S</v>
      </c>
      <c r="Q354" s="1" t="str">
        <f t="shared" si="226"/>
        <v>P</v>
      </c>
      <c r="R354" s="1" t="str">
        <f t="shared" si="227"/>
        <v>01</v>
      </c>
      <c r="S354" s="1" t="str">
        <f t="shared" si="228"/>
        <v>03</v>
      </c>
      <c r="T354" s="1" t="str">
        <f t="shared" si="229"/>
        <v>False</v>
      </c>
      <c r="U354" s="1" t="str">
        <f t="shared" si="230"/>
        <v>True</v>
      </c>
      <c r="V354" s="1" t="str">
        <f>"U0032393"</f>
        <v>U0032393</v>
      </c>
      <c r="W354" s="1">
        <v>1</v>
      </c>
      <c r="Y354" s="1">
        <v>0</v>
      </c>
      <c r="Z354" s="1">
        <v>0</v>
      </c>
      <c r="AB354" s="1" t="str">
        <f t="shared" si="216"/>
        <v>SMU</v>
      </c>
      <c r="AI354" s="1" t="str">
        <f t="shared" si="231"/>
        <v>F06</v>
      </c>
      <c r="AJ354" s="1" t="str">
        <f t="shared" si="241"/>
        <v>WOMAN</v>
      </c>
      <c r="AK354" s="1" t="str">
        <f t="shared" si="232"/>
        <v>PA</v>
      </c>
      <c r="AP354" s="1" t="str">
        <f t="shared" si="233"/>
        <v>False</v>
      </c>
      <c r="AR354" s="1" t="str">
        <f>"NOBIW"</f>
        <v>NOBIW</v>
      </c>
      <c r="AY354" s="1" t="str">
        <f t="shared" si="234"/>
        <v>PF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 t="str">
        <f>"UBBER FLAT MOL.CANVAS+MICROSUE"</f>
        <v>UBBER FLAT MOL.CANVAS+MICROSUE</v>
      </c>
      <c r="BF354" s="1" t="str">
        <f t="shared" si="235"/>
        <v>Bonis SpA</v>
      </c>
    </row>
    <row r="355" spans="2:58" x14ac:dyDescent="0.25">
      <c r="B355" s="1">
        <v>1760</v>
      </c>
      <c r="C355" s="1" t="str">
        <f>"NOBIW4193S7/CH1"</f>
        <v>NOBIW4193S7/CH1</v>
      </c>
      <c r="E355" s="1" t="str">
        <f>"40"</f>
        <v>40</v>
      </c>
      <c r="F355" s="1" t="str">
        <f t="shared" si="221"/>
        <v>BONIS SPA</v>
      </c>
      <c r="G355" s="1" t="str">
        <f t="shared" si="222"/>
        <v>STOCK TERRA MP</v>
      </c>
      <c r="H355" s="1" t="str">
        <f>"AVIO"</f>
        <v>AVIO</v>
      </c>
      <c r="K355" s="1">
        <v>1</v>
      </c>
      <c r="L355" s="1" t="str">
        <f t="shared" si="223"/>
        <v>01</v>
      </c>
      <c r="M355" s="1" t="str">
        <f t="shared" si="208"/>
        <v>102</v>
      </c>
      <c r="N355" s="1" t="str">
        <f t="shared" si="240"/>
        <v>014</v>
      </c>
      <c r="O355" s="1" t="str">
        <f t="shared" si="224"/>
        <v>00</v>
      </c>
      <c r="P355" s="1" t="str">
        <f t="shared" si="225"/>
        <v>S</v>
      </c>
      <c r="Q355" s="1" t="str">
        <f t="shared" si="226"/>
        <v>P</v>
      </c>
      <c r="R355" s="1" t="str">
        <f t="shared" si="227"/>
        <v>01</v>
      </c>
      <c r="S355" s="1" t="str">
        <f t="shared" si="228"/>
        <v>03</v>
      </c>
      <c r="T355" s="1" t="str">
        <f t="shared" si="229"/>
        <v>False</v>
      </c>
      <c r="U355" s="1" t="str">
        <f t="shared" si="230"/>
        <v>True</v>
      </c>
      <c r="V355" s="1" t="str">
        <f>"U0032393"</f>
        <v>U0032393</v>
      </c>
      <c r="W355" s="1">
        <v>1</v>
      </c>
      <c r="Y355" s="1">
        <v>0</v>
      </c>
      <c r="Z355" s="1">
        <v>0</v>
      </c>
      <c r="AB355" s="1" t="str">
        <f t="shared" si="216"/>
        <v>SMU</v>
      </c>
      <c r="AI355" s="1" t="str">
        <f t="shared" si="231"/>
        <v>F06</v>
      </c>
      <c r="AJ355" s="1" t="str">
        <f t="shared" si="241"/>
        <v>WOMAN</v>
      </c>
      <c r="AK355" s="1" t="str">
        <f t="shared" si="232"/>
        <v>PA</v>
      </c>
      <c r="AP355" s="1" t="str">
        <f t="shared" si="233"/>
        <v>False</v>
      </c>
      <c r="AR355" s="1" t="str">
        <f>"NOBIW"</f>
        <v>NOBIW</v>
      </c>
      <c r="AY355" s="1" t="str">
        <f t="shared" si="234"/>
        <v>PF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 t="str">
        <f>"UBBER FLAT MOL.CANVAS+MICROSUE"</f>
        <v>UBBER FLAT MOL.CANVAS+MICROSUE</v>
      </c>
      <c r="BF355" s="1" t="str">
        <f t="shared" si="235"/>
        <v>Bonis SpA</v>
      </c>
    </row>
    <row r="356" spans="2:58" x14ac:dyDescent="0.25">
      <c r="B356" s="1">
        <v>1760</v>
      </c>
      <c r="C356" s="1" t="str">
        <f>"GALAN4182S7/CY1"</f>
        <v>GALAN4182S7/CY1</v>
      </c>
      <c r="E356" s="1" t="str">
        <f>"41"</f>
        <v>41</v>
      </c>
      <c r="F356" s="1" t="str">
        <f t="shared" si="221"/>
        <v>BONIS SPA</v>
      </c>
      <c r="G356" s="1" t="str">
        <f t="shared" si="222"/>
        <v>STOCK TERRA MP</v>
      </c>
      <c r="H356" s="1" t="str">
        <f>"BEI"</f>
        <v>BEI</v>
      </c>
      <c r="K356" s="1">
        <v>1</v>
      </c>
      <c r="L356" s="1" t="str">
        <f t="shared" si="223"/>
        <v>01</v>
      </c>
      <c r="M356" s="1" t="str">
        <f t="shared" si="208"/>
        <v>102</v>
      </c>
      <c r="N356" s="1" t="str">
        <f t="shared" si="240"/>
        <v>014</v>
      </c>
      <c r="O356" s="1" t="str">
        <f t="shared" si="224"/>
        <v>00</v>
      </c>
      <c r="P356" s="1" t="str">
        <f t="shared" si="225"/>
        <v>S</v>
      </c>
      <c r="Q356" s="1" t="str">
        <f t="shared" si="226"/>
        <v>P</v>
      </c>
      <c r="R356" s="1" t="str">
        <f t="shared" si="227"/>
        <v>01</v>
      </c>
      <c r="S356" s="1" t="str">
        <f t="shared" si="228"/>
        <v>03</v>
      </c>
      <c r="T356" s="1" t="str">
        <f t="shared" si="229"/>
        <v>False</v>
      </c>
      <c r="U356" s="1" t="str">
        <f t="shared" si="230"/>
        <v>True</v>
      </c>
      <c r="V356" s="1" t="str">
        <f>"U0032424"</f>
        <v>U0032424</v>
      </c>
      <c r="W356" s="1">
        <v>1</v>
      </c>
      <c r="Y356" s="1">
        <v>0</v>
      </c>
      <c r="Z356" s="1">
        <v>0</v>
      </c>
      <c r="AB356" s="1" t="str">
        <f t="shared" si="216"/>
        <v>SMU</v>
      </c>
      <c r="AI356" s="1" t="str">
        <f t="shared" si="231"/>
        <v>F06</v>
      </c>
      <c r="AJ356" s="1" t="str">
        <f t="shared" ref="AJ356:AJ367" si="242">"MAN"</f>
        <v>MAN</v>
      </c>
      <c r="AK356" s="1" t="str">
        <f t="shared" si="232"/>
        <v>PA</v>
      </c>
      <c r="AP356" s="1" t="str">
        <f t="shared" si="233"/>
        <v>False</v>
      </c>
      <c r="AR356" s="1" t="str">
        <f t="shared" ref="AR356:AR367" si="243">"GALAN"</f>
        <v>GALAN</v>
      </c>
      <c r="AY356" s="1" t="str">
        <f t="shared" si="234"/>
        <v>PF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 t="str">
        <f>"LAN+TWILL CANVAS + SIN.LEATHER"</f>
        <v>LAN+TWILL CANVAS + SIN.LEATHER</v>
      </c>
      <c r="BF356" s="1" t="str">
        <f t="shared" si="235"/>
        <v>Bonis SpA</v>
      </c>
    </row>
    <row r="357" spans="2:58" x14ac:dyDescent="0.25">
      <c r="B357" s="1">
        <v>1760</v>
      </c>
      <c r="C357" s="1" t="str">
        <f t="shared" ref="C357:C365" si="244">"GALAN4105S7/TY1"</f>
        <v>GALAN4105S7/TY1</v>
      </c>
      <c r="E357" s="1" t="str">
        <f>"45"</f>
        <v>45</v>
      </c>
      <c r="F357" s="1" t="str">
        <f t="shared" si="221"/>
        <v>BONIS SPA</v>
      </c>
      <c r="G357" s="1" t="str">
        <f t="shared" si="222"/>
        <v>STOCK TERRA MP</v>
      </c>
      <c r="H357" s="1" t="str">
        <f t="shared" ref="H357:H369" si="245">"WHI"</f>
        <v>WHI</v>
      </c>
      <c r="K357" s="1">
        <v>1</v>
      </c>
      <c r="L357" s="1" t="str">
        <f t="shared" si="223"/>
        <v>01</v>
      </c>
      <c r="M357" s="1" t="str">
        <f t="shared" si="208"/>
        <v>102</v>
      </c>
      <c r="N357" s="1" t="str">
        <f t="shared" si="240"/>
        <v>014</v>
      </c>
      <c r="O357" s="1" t="str">
        <f t="shared" si="224"/>
        <v>00</v>
      </c>
      <c r="P357" s="1" t="str">
        <f t="shared" si="225"/>
        <v>S</v>
      </c>
      <c r="Q357" s="1" t="str">
        <f t="shared" si="226"/>
        <v>P</v>
      </c>
      <c r="R357" s="1" t="str">
        <f t="shared" si="227"/>
        <v>01</v>
      </c>
      <c r="S357" s="1" t="str">
        <f t="shared" si="228"/>
        <v>03</v>
      </c>
      <c r="T357" s="1" t="str">
        <f t="shared" si="229"/>
        <v>False</v>
      </c>
      <c r="U357" s="1" t="str">
        <f t="shared" si="230"/>
        <v>True</v>
      </c>
      <c r="V357" s="1" t="str">
        <f>"U0032766"</f>
        <v>U0032766</v>
      </c>
      <c r="W357" s="1">
        <v>1</v>
      </c>
      <c r="Y357" s="1">
        <v>0</v>
      </c>
      <c r="Z357" s="1">
        <v>0</v>
      </c>
      <c r="AI357" s="1" t="str">
        <f t="shared" si="231"/>
        <v>F06</v>
      </c>
      <c r="AJ357" s="1" t="str">
        <f t="shared" si="242"/>
        <v>MAN</v>
      </c>
      <c r="AK357" s="1" t="str">
        <f t="shared" si="232"/>
        <v>PA</v>
      </c>
      <c r="AP357" s="1" t="str">
        <f t="shared" si="233"/>
        <v>False</v>
      </c>
      <c r="AR357" s="1" t="str">
        <f t="shared" si="243"/>
        <v>GALAN</v>
      </c>
      <c r="AY357" s="1" t="str">
        <f t="shared" si="234"/>
        <v>PF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 t="str">
        <f t="shared" ref="BE357:BE367" si="246">"LAN WASHED TEXTILE+ ECO LEATHE"</f>
        <v>LAN WASHED TEXTILE+ ECO LEATHE</v>
      </c>
      <c r="BF357" s="1" t="str">
        <f t="shared" si="235"/>
        <v>Bonis SpA</v>
      </c>
    </row>
    <row r="358" spans="2:58" x14ac:dyDescent="0.25">
      <c r="B358" s="1">
        <v>1760</v>
      </c>
      <c r="C358" s="1" t="str">
        <f t="shared" si="244"/>
        <v>GALAN4105S7/TY1</v>
      </c>
      <c r="E358" s="1" t="str">
        <f>"43"</f>
        <v>43</v>
      </c>
      <c r="F358" s="1" t="str">
        <f t="shared" si="221"/>
        <v>BONIS SPA</v>
      </c>
      <c r="G358" s="1" t="str">
        <f t="shared" si="222"/>
        <v>STOCK TERRA MP</v>
      </c>
      <c r="H358" s="1" t="str">
        <f t="shared" si="245"/>
        <v>WHI</v>
      </c>
      <c r="K358" s="1">
        <v>1</v>
      </c>
      <c r="L358" s="1" t="str">
        <f t="shared" si="223"/>
        <v>01</v>
      </c>
      <c r="M358" s="1" t="str">
        <f t="shared" si="208"/>
        <v>102</v>
      </c>
      <c r="N358" s="1" t="str">
        <f t="shared" si="240"/>
        <v>014</v>
      </c>
      <c r="O358" s="1" t="str">
        <f t="shared" si="224"/>
        <v>00</v>
      </c>
      <c r="P358" s="1" t="str">
        <f t="shared" si="225"/>
        <v>S</v>
      </c>
      <c r="Q358" s="1" t="str">
        <f t="shared" si="226"/>
        <v>P</v>
      </c>
      <c r="R358" s="1" t="str">
        <f t="shared" si="227"/>
        <v>01</v>
      </c>
      <c r="S358" s="1" t="str">
        <f t="shared" si="228"/>
        <v>03</v>
      </c>
      <c r="T358" s="1" t="str">
        <f t="shared" si="229"/>
        <v>False</v>
      </c>
      <c r="U358" s="1" t="str">
        <f t="shared" si="230"/>
        <v>True</v>
      </c>
      <c r="V358" s="1" t="str">
        <f>"U0032766"</f>
        <v>U0032766</v>
      </c>
      <c r="W358" s="1">
        <v>1</v>
      </c>
      <c r="Y358" s="1">
        <v>0</v>
      </c>
      <c r="Z358" s="1">
        <v>0</v>
      </c>
      <c r="AI358" s="1" t="str">
        <f t="shared" si="231"/>
        <v>F06</v>
      </c>
      <c r="AJ358" s="1" t="str">
        <f t="shared" si="242"/>
        <v>MAN</v>
      </c>
      <c r="AK358" s="1" t="str">
        <f t="shared" si="232"/>
        <v>PA</v>
      </c>
      <c r="AP358" s="1" t="str">
        <f t="shared" si="233"/>
        <v>False</v>
      </c>
      <c r="AR358" s="1" t="str">
        <f t="shared" si="243"/>
        <v>GALAN</v>
      </c>
      <c r="AY358" s="1" t="str">
        <f t="shared" si="234"/>
        <v>PF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 t="str">
        <f t="shared" si="246"/>
        <v>LAN WASHED TEXTILE+ ECO LEATHE</v>
      </c>
      <c r="BF358" s="1" t="str">
        <f t="shared" si="235"/>
        <v>Bonis SpA</v>
      </c>
    </row>
    <row r="359" spans="2:58" x14ac:dyDescent="0.25">
      <c r="B359" s="1">
        <v>1760</v>
      </c>
      <c r="C359" s="1" t="str">
        <f t="shared" si="244"/>
        <v>GALAN4105S7/TY1</v>
      </c>
      <c r="E359" s="1" t="str">
        <f>"41"</f>
        <v>41</v>
      </c>
      <c r="F359" s="1" t="str">
        <f t="shared" si="221"/>
        <v>BONIS SPA</v>
      </c>
      <c r="G359" s="1" t="str">
        <f t="shared" si="222"/>
        <v>STOCK TERRA MP</v>
      </c>
      <c r="H359" s="1" t="str">
        <f t="shared" si="245"/>
        <v>WHI</v>
      </c>
      <c r="K359" s="1">
        <v>1</v>
      </c>
      <c r="L359" s="1" t="str">
        <f t="shared" si="223"/>
        <v>01</v>
      </c>
      <c r="M359" s="1" t="str">
        <f t="shared" si="208"/>
        <v>102</v>
      </c>
      <c r="N359" s="1" t="str">
        <f t="shared" si="240"/>
        <v>014</v>
      </c>
      <c r="O359" s="1" t="str">
        <f t="shared" si="224"/>
        <v>00</v>
      </c>
      <c r="P359" s="1" t="str">
        <f t="shared" si="225"/>
        <v>S</v>
      </c>
      <c r="Q359" s="1" t="str">
        <f t="shared" si="226"/>
        <v>P</v>
      </c>
      <c r="R359" s="1" t="str">
        <f t="shared" si="227"/>
        <v>01</v>
      </c>
      <c r="S359" s="1" t="str">
        <f t="shared" si="228"/>
        <v>03</v>
      </c>
      <c r="T359" s="1" t="str">
        <f t="shared" si="229"/>
        <v>False</v>
      </c>
      <c r="U359" s="1" t="str">
        <f t="shared" si="230"/>
        <v>True</v>
      </c>
      <c r="V359" s="1" t="str">
        <f>"U0032766"</f>
        <v>U0032766</v>
      </c>
      <c r="W359" s="1">
        <v>1</v>
      </c>
      <c r="Y359" s="1">
        <v>0</v>
      </c>
      <c r="Z359" s="1">
        <v>0</v>
      </c>
      <c r="AI359" s="1" t="str">
        <f t="shared" si="231"/>
        <v>F06</v>
      </c>
      <c r="AJ359" s="1" t="str">
        <f t="shared" si="242"/>
        <v>MAN</v>
      </c>
      <c r="AK359" s="1" t="str">
        <f t="shared" si="232"/>
        <v>PA</v>
      </c>
      <c r="AP359" s="1" t="str">
        <f t="shared" si="233"/>
        <v>False</v>
      </c>
      <c r="AR359" s="1" t="str">
        <f t="shared" si="243"/>
        <v>GALAN</v>
      </c>
      <c r="AY359" s="1" t="str">
        <f t="shared" si="234"/>
        <v>PF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 t="str">
        <f t="shared" si="246"/>
        <v>LAN WASHED TEXTILE+ ECO LEATHE</v>
      </c>
      <c r="BF359" s="1" t="str">
        <f t="shared" si="235"/>
        <v>Bonis SpA</v>
      </c>
    </row>
    <row r="360" spans="2:58" x14ac:dyDescent="0.25">
      <c r="B360" s="1">
        <v>1760</v>
      </c>
      <c r="C360" s="1" t="str">
        <f t="shared" si="244"/>
        <v>GALAN4105S7/TY1</v>
      </c>
      <c r="E360" s="1" t="str">
        <f>"40"</f>
        <v>40</v>
      </c>
      <c r="F360" s="1" t="str">
        <f t="shared" si="221"/>
        <v>BONIS SPA</v>
      </c>
      <c r="G360" s="1" t="str">
        <f t="shared" si="222"/>
        <v>STOCK TERRA MP</v>
      </c>
      <c r="H360" s="1" t="str">
        <f t="shared" si="245"/>
        <v>WHI</v>
      </c>
      <c r="K360" s="1">
        <v>1</v>
      </c>
      <c r="L360" s="1" t="str">
        <f t="shared" si="223"/>
        <v>01</v>
      </c>
      <c r="M360" s="1" t="str">
        <f t="shared" si="208"/>
        <v>102</v>
      </c>
      <c r="N360" s="1" t="str">
        <f t="shared" si="240"/>
        <v>014</v>
      </c>
      <c r="O360" s="1" t="str">
        <f t="shared" si="224"/>
        <v>00</v>
      </c>
      <c r="P360" s="1" t="str">
        <f t="shared" si="225"/>
        <v>S</v>
      </c>
      <c r="Q360" s="1" t="str">
        <f t="shared" si="226"/>
        <v>P</v>
      </c>
      <c r="R360" s="1" t="str">
        <f t="shared" si="227"/>
        <v>01</v>
      </c>
      <c r="S360" s="1" t="str">
        <f t="shared" si="228"/>
        <v>03</v>
      </c>
      <c r="T360" s="1" t="str">
        <f t="shared" si="229"/>
        <v>False</v>
      </c>
      <c r="U360" s="1" t="str">
        <f t="shared" si="230"/>
        <v>True</v>
      </c>
      <c r="V360" s="1" t="str">
        <f>"U0032766"</f>
        <v>U0032766</v>
      </c>
      <c r="W360" s="1">
        <v>1</v>
      </c>
      <c r="Y360" s="1">
        <v>0</v>
      </c>
      <c r="Z360" s="1">
        <v>0</v>
      </c>
      <c r="AI360" s="1" t="str">
        <f t="shared" si="231"/>
        <v>F06</v>
      </c>
      <c r="AJ360" s="1" t="str">
        <f t="shared" si="242"/>
        <v>MAN</v>
      </c>
      <c r="AK360" s="1" t="str">
        <f t="shared" si="232"/>
        <v>PA</v>
      </c>
      <c r="AP360" s="1" t="str">
        <f t="shared" si="233"/>
        <v>False</v>
      </c>
      <c r="AR360" s="1" t="str">
        <f t="shared" si="243"/>
        <v>GALAN</v>
      </c>
      <c r="AY360" s="1" t="str">
        <f t="shared" si="234"/>
        <v>PF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 t="str">
        <f t="shared" si="246"/>
        <v>LAN WASHED TEXTILE+ ECO LEATHE</v>
      </c>
      <c r="BF360" s="1" t="str">
        <f t="shared" si="235"/>
        <v>Bonis SpA</v>
      </c>
    </row>
    <row r="361" spans="2:58" x14ac:dyDescent="0.25">
      <c r="B361" s="1">
        <v>1760</v>
      </c>
      <c r="C361" s="1" t="str">
        <f t="shared" si="244"/>
        <v>GALAN4105S7/TY1</v>
      </c>
      <c r="E361" s="1" t="str">
        <f>"45"</f>
        <v>45</v>
      </c>
      <c r="F361" s="1" t="str">
        <f t="shared" si="221"/>
        <v>BONIS SPA</v>
      </c>
      <c r="G361" s="1" t="str">
        <f t="shared" si="222"/>
        <v>STOCK TERRA MP</v>
      </c>
      <c r="H361" s="1" t="str">
        <f t="shared" si="245"/>
        <v>WHI</v>
      </c>
      <c r="K361" s="1">
        <v>1</v>
      </c>
      <c r="L361" s="1" t="str">
        <f t="shared" si="223"/>
        <v>01</v>
      </c>
      <c r="M361" s="1" t="str">
        <f t="shared" si="208"/>
        <v>102</v>
      </c>
      <c r="N361" s="1" t="str">
        <f t="shared" si="240"/>
        <v>014</v>
      </c>
      <c r="O361" s="1" t="str">
        <f t="shared" si="224"/>
        <v>00</v>
      </c>
      <c r="P361" s="1" t="str">
        <f t="shared" si="225"/>
        <v>S</v>
      </c>
      <c r="Q361" s="1" t="str">
        <f t="shared" si="226"/>
        <v>P</v>
      </c>
      <c r="R361" s="1" t="str">
        <f t="shared" si="227"/>
        <v>01</v>
      </c>
      <c r="S361" s="1" t="str">
        <f t="shared" si="228"/>
        <v>03</v>
      </c>
      <c r="T361" s="1" t="str">
        <f t="shared" si="229"/>
        <v>False</v>
      </c>
      <c r="U361" s="1" t="str">
        <f t="shared" si="230"/>
        <v>True</v>
      </c>
      <c r="V361" s="1" t="str">
        <f>"U0032767"</f>
        <v>U0032767</v>
      </c>
      <c r="W361" s="1">
        <v>1</v>
      </c>
      <c r="Y361" s="1">
        <v>0</v>
      </c>
      <c r="Z361" s="1">
        <v>0</v>
      </c>
      <c r="AI361" s="1" t="str">
        <f t="shared" si="231"/>
        <v>F06</v>
      </c>
      <c r="AJ361" s="1" t="str">
        <f t="shared" si="242"/>
        <v>MAN</v>
      </c>
      <c r="AK361" s="1" t="str">
        <f t="shared" si="232"/>
        <v>PA</v>
      </c>
      <c r="AP361" s="1" t="str">
        <f t="shared" si="233"/>
        <v>False</v>
      </c>
      <c r="AR361" s="1" t="str">
        <f t="shared" si="243"/>
        <v>GALAN</v>
      </c>
      <c r="AY361" s="1" t="str">
        <f t="shared" si="234"/>
        <v>PF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 t="str">
        <f t="shared" si="246"/>
        <v>LAN WASHED TEXTILE+ ECO LEATHE</v>
      </c>
      <c r="BF361" s="1" t="str">
        <f t="shared" si="235"/>
        <v>Bonis SpA</v>
      </c>
    </row>
    <row r="362" spans="2:58" x14ac:dyDescent="0.25">
      <c r="B362" s="1">
        <v>1760</v>
      </c>
      <c r="C362" s="1" t="str">
        <f t="shared" si="244"/>
        <v>GALAN4105S7/TY1</v>
      </c>
      <c r="E362" s="1" t="str">
        <f>"43"</f>
        <v>43</v>
      </c>
      <c r="F362" s="1" t="str">
        <f t="shared" si="221"/>
        <v>BONIS SPA</v>
      </c>
      <c r="G362" s="1" t="str">
        <f t="shared" si="222"/>
        <v>STOCK TERRA MP</v>
      </c>
      <c r="H362" s="1" t="str">
        <f t="shared" si="245"/>
        <v>WHI</v>
      </c>
      <c r="K362" s="1">
        <v>2</v>
      </c>
      <c r="L362" s="1" t="str">
        <f t="shared" si="223"/>
        <v>01</v>
      </c>
      <c r="M362" s="1" t="str">
        <f t="shared" si="208"/>
        <v>102</v>
      </c>
      <c r="N362" s="1" t="str">
        <f t="shared" si="240"/>
        <v>014</v>
      </c>
      <c r="O362" s="1" t="str">
        <f t="shared" si="224"/>
        <v>00</v>
      </c>
      <c r="P362" s="1" t="str">
        <f t="shared" si="225"/>
        <v>S</v>
      </c>
      <c r="Q362" s="1" t="str">
        <f t="shared" si="226"/>
        <v>P</v>
      </c>
      <c r="R362" s="1" t="str">
        <f t="shared" si="227"/>
        <v>01</v>
      </c>
      <c r="S362" s="1" t="str">
        <f t="shared" si="228"/>
        <v>03</v>
      </c>
      <c r="T362" s="1" t="str">
        <f t="shared" si="229"/>
        <v>False</v>
      </c>
      <c r="U362" s="1" t="str">
        <f t="shared" si="230"/>
        <v>True</v>
      </c>
      <c r="V362" s="1" t="str">
        <f>"U0032767"</f>
        <v>U0032767</v>
      </c>
      <c r="W362" s="1">
        <v>1</v>
      </c>
      <c r="Y362" s="1">
        <v>0</v>
      </c>
      <c r="Z362" s="1">
        <v>0</v>
      </c>
      <c r="AI362" s="1" t="str">
        <f t="shared" si="231"/>
        <v>F06</v>
      </c>
      <c r="AJ362" s="1" t="str">
        <f t="shared" si="242"/>
        <v>MAN</v>
      </c>
      <c r="AK362" s="1" t="str">
        <f t="shared" si="232"/>
        <v>PA</v>
      </c>
      <c r="AP362" s="1" t="str">
        <f t="shared" si="233"/>
        <v>False</v>
      </c>
      <c r="AR362" s="1" t="str">
        <f t="shared" si="243"/>
        <v>GALAN</v>
      </c>
      <c r="AY362" s="1" t="str">
        <f t="shared" si="234"/>
        <v>PF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 t="str">
        <f t="shared" si="246"/>
        <v>LAN WASHED TEXTILE+ ECO LEATHE</v>
      </c>
      <c r="BF362" s="1" t="str">
        <f t="shared" si="235"/>
        <v>Bonis SpA</v>
      </c>
    </row>
    <row r="363" spans="2:58" x14ac:dyDescent="0.25">
      <c r="B363" s="1">
        <v>1760</v>
      </c>
      <c r="C363" s="1" t="str">
        <f t="shared" si="244"/>
        <v>GALAN4105S7/TY1</v>
      </c>
      <c r="E363" s="1" t="str">
        <f>"42"</f>
        <v>42</v>
      </c>
      <c r="F363" s="1" t="str">
        <f t="shared" si="221"/>
        <v>BONIS SPA</v>
      </c>
      <c r="G363" s="1" t="str">
        <f t="shared" si="222"/>
        <v>STOCK TERRA MP</v>
      </c>
      <c r="H363" s="1" t="str">
        <f t="shared" si="245"/>
        <v>WHI</v>
      </c>
      <c r="K363" s="1">
        <v>1</v>
      </c>
      <c r="L363" s="1" t="str">
        <f t="shared" si="223"/>
        <v>01</v>
      </c>
      <c r="M363" s="1" t="str">
        <f t="shared" ref="M363:M426" si="247">"102"</f>
        <v>102</v>
      </c>
      <c r="N363" s="1" t="str">
        <f t="shared" ref="N363:N374" si="248">"014"</f>
        <v>014</v>
      </c>
      <c r="O363" s="1" t="str">
        <f t="shared" si="224"/>
        <v>00</v>
      </c>
      <c r="P363" s="1" t="str">
        <f t="shared" si="225"/>
        <v>S</v>
      </c>
      <c r="Q363" s="1" t="str">
        <f t="shared" si="226"/>
        <v>P</v>
      </c>
      <c r="R363" s="1" t="str">
        <f t="shared" si="227"/>
        <v>01</v>
      </c>
      <c r="S363" s="1" t="str">
        <f t="shared" si="228"/>
        <v>03</v>
      </c>
      <c r="T363" s="1" t="str">
        <f t="shared" si="229"/>
        <v>False</v>
      </c>
      <c r="U363" s="1" t="str">
        <f t="shared" si="230"/>
        <v>True</v>
      </c>
      <c r="V363" s="1" t="str">
        <f>"U0032767"</f>
        <v>U0032767</v>
      </c>
      <c r="W363" s="1">
        <v>1</v>
      </c>
      <c r="Y363" s="1">
        <v>0</v>
      </c>
      <c r="Z363" s="1">
        <v>0</v>
      </c>
      <c r="AI363" s="1" t="str">
        <f t="shared" si="231"/>
        <v>F06</v>
      </c>
      <c r="AJ363" s="1" t="str">
        <f t="shared" si="242"/>
        <v>MAN</v>
      </c>
      <c r="AK363" s="1" t="str">
        <f t="shared" si="232"/>
        <v>PA</v>
      </c>
      <c r="AP363" s="1" t="str">
        <f t="shared" si="233"/>
        <v>False</v>
      </c>
      <c r="AR363" s="1" t="str">
        <f t="shared" si="243"/>
        <v>GALAN</v>
      </c>
      <c r="AY363" s="1" t="str">
        <f t="shared" si="234"/>
        <v>PF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 t="str">
        <f t="shared" si="246"/>
        <v>LAN WASHED TEXTILE+ ECO LEATHE</v>
      </c>
      <c r="BF363" s="1" t="str">
        <f t="shared" si="235"/>
        <v>Bonis SpA</v>
      </c>
    </row>
    <row r="364" spans="2:58" x14ac:dyDescent="0.25">
      <c r="B364" s="1">
        <v>1760</v>
      </c>
      <c r="C364" s="1" t="str">
        <f t="shared" si="244"/>
        <v>GALAN4105S7/TY1</v>
      </c>
      <c r="E364" s="1" t="str">
        <f>"41"</f>
        <v>41</v>
      </c>
      <c r="F364" s="1" t="str">
        <f t="shared" si="221"/>
        <v>BONIS SPA</v>
      </c>
      <c r="G364" s="1" t="str">
        <f t="shared" si="222"/>
        <v>STOCK TERRA MP</v>
      </c>
      <c r="H364" s="1" t="str">
        <f t="shared" si="245"/>
        <v>WHI</v>
      </c>
      <c r="K364" s="1">
        <v>1</v>
      </c>
      <c r="L364" s="1" t="str">
        <f t="shared" si="223"/>
        <v>01</v>
      </c>
      <c r="M364" s="1" t="str">
        <f t="shared" si="247"/>
        <v>102</v>
      </c>
      <c r="N364" s="1" t="str">
        <f t="shared" si="248"/>
        <v>014</v>
      </c>
      <c r="O364" s="1" t="str">
        <f t="shared" si="224"/>
        <v>00</v>
      </c>
      <c r="P364" s="1" t="str">
        <f t="shared" si="225"/>
        <v>S</v>
      </c>
      <c r="Q364" s="1" t="str">
        <f t="shared" si="226"/>
        <v>P</v>
      </c>
      <c r="R364" s="1" t="str">
        <f t="shared" si="227"/>
        <v>01</v>
      </c>
      <c r="S364" s="1" t="str">
        <f t="shared" si="228"/>
        <v>03</v>
      </c>
      <c r="T364" s="1" t="str">
        <f t="shared" si="229"/>
        <v>False</v>
      </c>
      <c r="U364" s="1" t="str">
        <f t="shared" si="230"/>
        <v>True</v>
      </c>
      <c r="V364" s="1" t="str">
        <f>"U0032767"</f>
        <v>U0032767</v>
      </c>
      <c r="W364" s="1">
        <v>1</v>
      </c>
      <c r="Y364" s="1">
        <v>0</v>
      </c>
      <c r="Z364" s="1">
        <v>0</v>
      </c>
      <c r="AI364" s="1" t="str">
        <f t="shared" si="231"/>
        <v>F06</v>
      </c>
      <c r="AJ364" s="1" t="str">
        <f t="shared" si="242"/>
        <v>MAN</v>
      </c>
      <c r="AK364" s="1" t="str">
        <f t="shared" si="232"/>
        <v>PA</v>
      </c>
      <c r="AP364" s="1" t="str">
        <f t="shared" si="233"/>
        <v>False</v>
      </c>
      <c r="AR364" s="1" t="str">
        <f t="shared" si="243"/>
        <v>GALAN</v>
      </c>
      <c r="AY364" s="1" t="str">
        <f t="shared" si="234"/>
        <v>PF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 t="str">
        <f t="shared" si="246"/>
        <v>LAN WASHED TEXTILE+ ECO LEATHE</v>
      </c>
      <c r="BF364" s="1" t="str">
        <f t="shared" si="235"/>
        <v>Bonis SpA</v>
      </c>
    </row>
    <row r="365" spans="2:58" x14ac:dyDescent="0.25">
      <c r="B365" s="1">
        <v>1760</v>
      </c>
      <c r="C365" s="1" t="str">
        <f t="shared" si="244"/>
        <v>GALAN4105S7/TY1</v>
      </c>
      <c r="E365" s="1" t="str">
        <f>"40"</f>
        <v>40</v>
      </c>
      <c r="F365" s="1" t="str">
        <f t="shared" si="221"/>
        <v>BONIS SPA</v>
      </c>
      <c r="G365" s="1" t="str">
        <f t="shared" si="222"/>
        <v>STOCK TERRA MP</v>
      </c>
      <c r="H365" s="1" t="str">
        <f t="shared" si="245"/>
        <v>WHI</v>
      </c>
      <c r="K365" s="1">
        <v>1</v>
      </c>
      <c r="L365" s="1" t="str">
        <f t="shared" si="223"/>
        <v>01</v>
      </c>
      <c r="M365" s="1" t="str">
        <f t="shared" si="247"/>
        <v>102</v>
      </c>
      <c r="N365" s="1" t="str">
        <f t="shared" si="248"/>
        <v>014</v>
      </c>
      <c r="O365" s="1" t="str">
        <f t="shared" si="224"/>
        <v>00</v>
      </c>
      <c r="P365" s="1" t="str">
        <f t="shared" si="225"/>
        <v>S</v>
      </c>
      <c r="Q365" s="1" t="str">
        <f t="shared" si="226"/>
        <v>P</v>
      </c>
      <c r="R365" s="1" t="str">
        <f t="shared" si="227"/>
        <v>01</v>
      </c>
      <c r="S365" s="1" t="str">
        <f t="shared" si="228"/>
        <v>03</v>
      </c>
      <c r="T365" s="1" t="str">
        <f t="shared" si="229"/>
        <v>False</v>
      </c>
      <c r="U365" s="1" t="str">
        <f t="shared" si="230"/>
        <v>True</v>
      </c>
      <c r="V365" s="1" t="str">
        <f>"U0032767"</f>
        <v>U0032767</v>
      </c>
      <c r="W365" s="1">
        <v>1</v>
      </c>
      <c r="Y365" s="1">
        <v>0</v>
      </c>
      <c r="Z365" s="1">
        <v>0</v>
      </c>
      <c r="AI365" s="1" t="str">
        <f t="shared" si="231"/>
        <v>F06</v>
      </c>
      <c r="AJ365" s="1" t="str">
        <f t="shared" si="242"/>
        <v>MAN</v>
      </c>
      <c r="AK365" s="1" t="str">
        <f t="shared" si="232"/>
        <v>PA</v>
      </c>
      <c r="AP365" s="1" t="str">
        <f t="shared" si="233"/>
        <v>False</v>
      </c>
      <c r="AR365" s="1" t="str">
        <f t="shared" si="243"/>
        <v>GALAN</v>
      </c>
      <c r="AY365" s="1" t="str">
        <f t="shared" si="234"/>
        <v>PF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 t="str">
        <f t="shared" si="246"/>
        <v>LAN WASHED TEXTILE+ ECO LEATHE</v>
      </c>
      <c r="BF365" s="1" t="str">
        <f t="shared" si="235"/>
        <v>Bonis SpA</v>
      </c>
    </row>
    <row r="366" spans="2:58" x14ac:dyDescent="0.25">
      <c r="B366" s="1">
        <v>1760</v>
      </c>
      <c r="C366" s="1" t="str">
        <f>"GALAN4107S7/TY1"</f>
        <v>GALAN4107S7/TY1</v>
      </c>
      <c r="E366" s="1" t="str">
        <f>"44"</f>
        <v>44</v>
      </c>
      <c r="F366" s="1" t="str">
        <f t="shared" si="221"/>
        <v>BONIS SPA</v>
      </c>
      <c r="G366" s="1" t="str">
        <f t="shared" si="222"/>
        <v>STOCK TERRA MP</v>
      </c>
      <c r="H366" s="1" t="str">
        <f t="shared" si="245"/>
        <v>WHI</v>
      </c>
      <c r="K366" s="1">
        <v>1</v>
      </c>
      <c r="L366" s="1" t="str">
        <f t="shared" si="223"/>
        <v>01</v>
      </c>
      <c r="M366" s="1" t="str">
        <f t="shared" si="247"/>
        <v>102</v>
      </c>
      <c r="N366" s="1" t="str">
        <f t="shared" si="248"/>
        <v>014</v>
      </c>
      <c r="O366" s="1" t="str">
        <f t="shared" si="224"/>
        <v>00</v>
      </c>
      <c r="P366" s="1" t="str">
        <f t="shared" si="225"/>
        <v>S</v>
      </c>
      <c r="Q366" s="1" t="str">
        <f t="shared" si="226"/>
        <v>P</v>
      </c>
      <c r="R366" s="1" t="str">
        <f t="shared" si="227"/>
        <v>01</v>
      </c>
      <c r="S366" s="1" t="str">
        <f t="shared" si="228"/>
        <v>03</v>
      </c>
      <c r="T366" s="1" t="str">
        <f t="shared" si="229"/>
        <v>False</v>
      </c>
      <c r="U366" s="1" t="str">
        <f t="shared" si="230"/>
        <v>True</v>
      </c>
      <c r="V366" s="1" t="str">
        <f>"U0031154"</f>
        <v>U0031154</v>
      </c>
      <c r="W366" s="1">
        <v>1</v>
      </c>
      <c r="Y366" s="1">
        <v>0</v>
      </c>
      <c r="Z366" s="1">
        <v>0</v>
      </c>
      <c r="AI366" s="1" t="str">
        <f t="shared" si="231"/>
        <v>F06</v>
      </c>
      <c r="AJ366" s="1" t="str">
        <f t="shared" si="242"/>
        <v>MAN</v>
      </c>
      <c r="AK366" s="1" t="str">
        <f t="shared" si="232"/>
        <v>PA</v>
      </c>
      <c r="AP366" s="1" t="str">
        <f t="shared" si="233"/>
        <v>False</v>
      </c>
      <c r="AR366" s="1" t="str">
        <f t="shared" si="243"/>
        <v>GALAN</v>
      </c>
      <c r="AY366" s="1" t="str">
        <f t="shared" si="234"/>
        <v>PF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 t="str">
        <f t="shared" si="246"/>
        <v>LAN WASHED TEXTILE+ ECO LEATHE</v>
      </c>
      <c r="BF366" s="1" t="str">
        <f t="shared" si="235"/>
        <v>Bonis SpA</v>
      </c>
    </row>
    <row r="367" spans="2:58" x14ac:dyDescent="0.25">
      <c r="B367" s="1">
        <v>1760</v>
      </c>
      <c r="C367" s="1" t="str">
        <f>"GALAN4107S7/TY1"</f>
        <v>GALAN4107S7/TY1</v>
      </c>
      <c r="E367" s="1" t="str">
        <f>"43"</f>
        <v>43</v>
      </c>
      <c r="F367" s="1" t="str">
        <f t="shared" si="221"/>
        <v>BONIS SPA</v>
      </c>
      <c r="G367" s="1" t="str">
        <f t="shared" si="222"/>
        <v>STOCK TERRA MP</v>
      </c>
      <c r="H367" s="1" t="str">
        <f t="shared" si="245"/>
        <v>WHI</v>
      </c>
      <c r="K367" s="1">
        <v>1</v>
      </c>
      <c r="L367" s="1" t="str">
        <f t="shared" si="223"/>
        <v>01</v>
      </c>
      <c r="M367" s="1" t="str">
        <f t="shared" si="247"/>
        <v>102</v>
      </c>
      <c r="N367" s="1" t="str">
        <f t="shared" si="248"/>
        <v>014</v>
      </c>
      <c r="O367" s="1" t="str">
        <f t="shared" si="224"/>
        <v>00</v>
      </c>
      <c r="P367" s="1" t="str">
        <f t="shared" si="225"/>
        <v>S</v>
      </c>
      <c r="Q367" s="1" t="str">
        <f t="shared" si="226"/>
        <v>P</v>
      </c>
      <c r="R367" s="1" t="str">
        <f t="shared" si="227"/>
        <v>01</v>
      </c>
      <c r="S367" s="1" t="str">
        <f t="shared" si="228"/>
        <v>03</v>
      </c>
      <c r="T367" s="1" t="str">
        <f t="shared" si="229"/>
        <v>False</v>
      </c>
      <c r="U367" s="1" t="str">
        <f t="shared" si="230"/>
        <v>True</v>
      </c>
      <c r="V367" s="1" t="str">
        <f>"U0031154"</f>
        <v>U0031154</v>
      </c>
      <c r="W367" s="1">
        <v>1</v>
      </c>
      <c r="Y367" s="1">
        <v>0</v>
      </c>
      <c r="Z367" s="1">
        <v>0</v>
      </c>
      <c r="AI367" s="1" t="str">
        <f t="shared" si="231"/>
        <v>F06</v>
      </c>
      <c r="AJ367" s="1" t="str">
        <f t="shared" si="242"/>
        <v>MAN</v>
      </c>
      <c r="AK367" s="1" t="str">
        <f t="shared" si="232"/>
        <v>PA</v>
      </c>
      <c r="AP367" s="1" t="str">
        <f t="shared" si="233"/>
        <v>False</v>
      </c>
      <c r="AR367" s="1" t="str">
        <f t="shared" si="243"/>
        <v>GALAN</v>
      </c>
      <c r="AY367" s="1" t="str">
        <f t="shared" si="234"/>
        <v>PF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 t="str">
        <f t="shared" si="246"/>
        <v>LAN WASHED TEXTILE+ ECO LEATHE</v>
      </c>
      <c r="BF367" s="1" t="str">
        <f t="shared" si="235"/>
        <v>Bonis SpA</v>
      </c>
    </row>
    <row r="368" spans="2:58" x14ac:dyDescent="0.25">
      <c r="B368" s="1">
        <v>1760</v>
      </c>
      <c r="C368" s="1" t="str">
        <f>"TRIXY4155S7/YL1"</f>
        <v>TRIXY4155S7/YL1</v>
      </c>
      <c r="E368" s="1" t="str">
        <f>"39"</f>
        <v>39</v>
      </c>
      <c r="F368" s="1" t="str">
        <f t="shared" si="221"/>
        <v>BONIS SPA</v>
      </c>
      <c r="G368" s="1" t="str">
        <f t="shared" si="222"/>
        <v>STOCK TERRA MP</v>
      </c>
      <c r="H368" s="1" t="str">
        <f t="shared" si="245"/>
        <v>WHI</v>
      </c>
      <c r="K368" s="1">
        <v>1</v>
      </c>
      <c r="L368" s="1" t="str">
        <f t="shared" si="223"/>
        <v>01</v>
      </c>
      <c r="M368" s="1" t="str">
        <f t="shared" si="247"/>
        <v>102</v>
      </c>
      <c r="N368" s="1" t="str">
        <f t="shared" si="248"/>
        <v>014</v>
      </c>
      <c r="O368" s="1" t="str">
        <f t="shared" si="224"/>
        <v>00</v>
      </c>
      <c r="P368" s="1" t="str">
        <f t="shared" si="225"/>
        <v>S</v>
      </c>
      <c r="Q368" s="1" t="str">
        <f t="shared" si="226"/>
        <v>P</v>
      </c>
      <c r="R368" s="1" t="str">
        <f t="shared" si="227"/>
        <v>01</v>
      </c>
      <c r="S368" s="1" t="str">
        <f t="shared" si="228"/>
        <v>03</v>
      </c>
      <c r="T368" s="1" t="str">
        <f t="shared" si="229"/>
        <v>False</v>
      </c>
      <c r="U368" s="1" t="str">
        <f t="shared" si="230"/>
        <v>True</v>
      </c>
      <c r="V368" s="1" t="str">
        <f>"U0031154"</f>
        <v>U0031154</v>
      </c>
      <c r="W368" s="1">
        <v>1</v>
      </c>
      <c r="Y368" s="1">
        <v>0</v>
      </c>
      <c r="Z368" s="1">
        <v>0</v>
      </c>
      <c r="AI368" s="1" t="str">
        <f t="shared" si="231"/>
        <v>F06</v>
      </c>
      <c r="AJ368" s="1" t="str">
        <f>"WOMAN"</f>
        <v>WOMAN</v>
      </c>
      <c r="AK368" s="1" t="str">
        <f t="shared" si="232"/>
        <v>PA</v>
      </c>
      <c r="AP368" s="1" t="str">
        <f t="shared" si="233"/>
        <v>False</v>
      </c>
      <c r="AR368" s="1" t="str">
        <f>"TRIXY"</f>
        <v>TRIXY</v>
      </c>
      <c r="AY368" s="1" t="str">
        <f t="shared" si="234"/>
        <v>PF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 t="str">
        <f>"Y GOMMA SYNTHETIC WOVEN LEATHE"</f>
        <v>Y GOMMA SYNTHETIC WOVEN LEATHE</v>
      </c>
      <c r="BF368" s="1" t="str">
        <f t="shared" si="235"/>
        <v>Bonis SpA</v>
      </c>
    </row>
    <row r="369" spans="2:69" x14ac:dyDescent="0.25">
      <c r="B369" s="1">
        <v>1760</v>
      </c>
      <c r="C369" s="1" t="str">
        <f>"TRIXY4155S7/YL1"</f>
        <v>TRIXY4155S7/YL1</v>
      </c>
      <c r="E369" s="1" t="str">
        <f>"40"</f>
        <v>40</v>
      </c>
      <c r="F369" s="1" t="str">
        <f t="shared" si="221"/>
        <v>BONIS SPA</v>
      </c>
      <c r="G369" s="1" t="str">
        <f t="shared" si="222"/>
        <v>STOCK TERRA MP</v>
      </c>
      <c r="H369" s="1" t="str">
        <f t="shared" si="245"/>
        <v>WHI</v>
      </c>
      <c r="K369" s="1">
        <v>1</v>
      </c>
      <c r="L369" s="1" t="str">
        <f t="shared" si="223"/>
        <v>01</v>
      </c>
      <c r="M369" s="1" t="str">
        <f t="shared" si="247"/>
        <v>102</v>
      </c>
      <c r="N369" s="1" t="str">
        <f t="shared" si="248"/>
        <v>014</v>
      </c>
      <c r="O369" s="1" t="str">
        <f t="shared" si="224"/>
        <v>00</v>
      </c>
      <c r="P369" s="1" t="str">
        <f t="shared" si="225"/>
        <v>S</v>
      </c>
      <c r="Q369" s="1" t="str">
        <f t="shared" si="226"/>
        <v>P</v>
      </c>
      <c r="R369" s="1" t="str">
        <f t="shared" si="227"/>
        <v>01</v>
      </c>
      <c r="S369" s="1" t="str">
        <f t="shared" si="228"/>
        <v>03</v>
      </c>
      <c r="T369" s="1" t="str">
        <f t="shared" si="229"/>
        <v>False</v>
      </c>
      <c r="U369" s="1" t="str">
        <f t="shared" si="230"/>
        <v>True</v>
      </c>
      <c r="V369" s="1" t="str">
        <f>"U0031154"</f>
        <v>U0031154</v>
      </c>
      <c r="W369" s="1">
        <v>1</v>
      </c>
      <c r="Y369" s="1">
        <v>0</v>
      </c>
      <c r="Z369" s="1">
        <v>0</v>
      </c>
      <c r="AI369" s="1" t="str">
        <f t="shared" si="231"/>
        <v>F06</v>
      </c>
      <c r="AJ369" s="1" t="str">
        <f>"WOMAN"</f>
        <v>WOMAN</v>
      </c>
      <c r="AK369" s="1" t="str">
        <f t="shared" si="232"/>
        <v>PA</v>
      </c>
      <c r="AP369" s="1" t="str">
        <f t="shared" si="233"/>
        <v>False</v>
      </c>
      <c r="AR369" s="1" t="str">
        <f>"TRIXY"</f>
        <v>TRIXY</v>
      </c>
      <c r="AY369" s="1" t="str">
        <f t="shared" si="234"/>
        <v>PF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 t="str">
        <f>"Y GOMMA SYNTHETIC WOVEN LEATHE"</f>
        <v>Y GOMMA SYNTHETIC WOVEN LEATHE</v>
      </c>
      <c r="BF369" s="1" t="str">
        <f t="shared" si="235"/>
        <v>Bonis SpA</v>
      </c>
    </row>
    <row r="370" spans="2:69" x14ac:dyDescent="0.25">
      <c r="B370" s="1">
        <v>1760</v>
      </c>
      <c r="C370" s="1" t="str">
        <f>"NOBIL4090S7E/NH2"</f>
        <v>NOBIL4090S7E/NH2</v>
      </c>
      <c r="E370" s="1" t="str">
        <f>"40"</f>
        <v>40</v>
      </c>
      <c r="F370" s="1" t="str">
        <f t="shared" si="221"/>
        <v>BONIS SPA</v>
      </c>
      <c r="G370" s="1" t="str">
        <f t="shared" si="222"/>
        <v>STOCK TERRA MP</v>
      </c>
      <c r="H370" s="1" t="str">
        <f>"BLK"</f>
        <v>BLK</v>
      </c>
      <c r="K370" s="1">
        <v>1</v>
      </c>
      <c r="L370" s="1" t="str">
        <f t="shared" si="223"/>
        <v>01</v>
      </c>
      <c r="M370" s="1" t="str">
        <f t="shared" si="247"/>
        <v>102</v>
      </c>
      <c r="N370" s="1" t="str">
        <f t="shared" si="248"/>
        <v>014</v>
      </c>
      <c r="O370" s="1" t="str">
        <f t="shared" si="224"/>
        <v>00</v>
      </c>
      <c r="P370" s="1" t="str">
        <f t="shared" si="225"/>
        <v>S</v>
      </c>
      <c r="Q370" s="1" t="str">
        <f t="shared" si="226"/>
        <v>P</v>
      </c>
      <c r="R370" s="1" t="str">
        <f t="shared" si="227"/>
        <v>01</v>
      </c>
      <c r="S370" s="1" t="str">
        <f t="shared" si="228"/>
        <v>03</v>
      </c>
      <c r="T370" s="1" t="str">
        <f t="shared" si="229"/>
        <v>False</v>
      </c>
      <c r="U370" s="1" t="str">
        <f t="shared" si="230"/>
        <v>True</v>
      </c>
      <c r="V370" s="1" t="str">
        <f>"U0034864"</f>
        <v>U0034864</v>
      </c>
      <c r="W370" s="1">
        <v>1</v>
      </c>
      <c r="Y370" s="1">
        <v>0</v>
      </c>
      <c r="Z370" s="1">
        <v>0</v>
      </c>
      <c r="AB370" s="1" t="str">
        <f>"ECOM"</f>
        <v>ECOM</v>
      </c>
      <c r="AI370" s="1" t="str">
        <f t="shared" si="231"/>
        <v>F06</v>
      </c>
      <c r="AJ370" s="1" t="str">
        <f>"MAN"</f>
        <v>MAN</v>
      </c>
      <c r="AK370" s="1" t="str">
        <f t="shared" si="232"/>
        <v>PA</v>
      </c>
      <c r="AP370" s="1" t="str">
        <f t="shared" si="233"/>
        <v>False</v>
      </c>
      <c r="AR370" s="1" t="str">
        <f>"NOBIL"</f>
        <v>NOBIL</v>
      </c>
      <c r="AY370" s="1" t="str">
        <f t="shared" si="234"/>
        <v>PF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 t="str">
        <f>"BBER-EVA  NYLON+MICROSUE"</f>
        <v>BBER-EVA  NYLON+MICROSUE</v>
      </c>
      <c r="BF370" s="1" t="str">
        <f t="shared" si="235"/>
        <v>Bonis SpA</v>
      </c>
    </row>
    <row r="371" spans="2:69" x14ac:dyDescent="0.25">
      <c r="B371" s="1">
        <v>1760</v>
      </c>
      <c r="C371" s="1" t="str">
        <f>"NOBIL4090S7E/NH2"</f>
        <v>NOBIL4090S7E/NH2</v>
      </c>
      <c r="E371" s="1" t="str">
        <f>"42"</f>
        <v>42</v>
      </c>
      <c r="F371" s="1" t="str">
        <f t="shared" si="221"/>
        <v>BONIS SPA</v>
      </c>
      <c r="G371" s="1" t="str">
        <f t="shared" si="222"/>
        <v>STOCK TERRA MP</v>
      </c>
      <c r="H371" s="1" t="str">
        <f>"BLK"</f>
        <v>BLK</v>
      </c>
      <c r="K371" s="1">
        <v>1</v>
      </c>
      <c r="L371" s="1" t="str">
        <f t="shared" si="223"/>
        <v>01</v>
      </c>
      <c r="M371" s="1" t="str">
        <f t="shared" si="247"/>
        <v>102</v>
      </c>
      <c r="N371" s="1" t="str">
        <f t="shared" si="248"/>
        <v>014</v>
      </c>
      <c r="O371" s="1" t="str">
        <f t="shared" si="224"/>
        <v>00</v>
      </c>
      <c r="P371" s="1" t="str">
        <f t="shared" si="225"/>
        <v>S</v>
      </c>
      <c r="Q371" s="1" t="str">
        <f t="shared" si="226"/>
        <v>P</v>
      </c>
      <c r="R371" s="1" t="str">
        <f t="shared" si="227"/>
        <v>01</v>
      </c>
      <c r="S371" s="1" t="str">
        <f t="shared" si="228"/>
        <v>03</v>
      </c>
      <c r="T371" s="1" t="str">
        <f t="shared" si="229"/>
        <v>False</v>
      </c>
      <c r="U371" s="1" t="str">
        <f t="shared" si="230"/>
        <v>True</v>
      </c>
      <c r="V371" s="1" t="str">
        <f>"U0034864"</f>
        <v>U0034864</v>
      </c>
      <c r="W371" s="1">
        <v>1</v>
      </c>
      <c r="Y371" s="1">
        <v>0</v>
      </c>
      <c r="Z371" s="1">
        <v>0</v>
      </c>
      <c r="AB371" s="1" t="str">
        <f>"ECOM"</f>
        <v>ECOM</v>
      </c>
      <c r="AI371" s="1" t="str">
        <f t="shared" si="231"/>
        <v>F06</v>
      </c>
      <c r="AJ371" s="1" t="str">
        <f>"MAN"</f>
        <v>MAN</v>
      </c>
      <c r="AK371" s="1" t="str">
        <f t="shared" si="232"/>
        <v>PA</v>
      </c>
      <c r="AP371" s="1" t="str">
        <f t="shared" si="233"/>
        <v>False</v>
      </c>
      <c r="AR371" s="1" t="str">
        <f>"NOBIL"</f>
        <v>NOBIL</v>
      </c>
      <c r="AY371" s="1" t="str">
        <f t="shared" si="234"/>
        <v>PF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 t="str">
        <f>"BBER-EVA  NYLON+MICROSUE"</f>
        <v>BBER-EVA  NYLON+MICROSUE</v>
      </c>
      <c r="BF371" s="1" t="str">
        <f t="shared" si="235"/>
        <v>Bonis SpA</v>
      </c>
    </row>
    <row r="372" spans="2:69" x14ac:dyDescent="0.25">
      <c r="B372" s="1">
        <v>1760</v>
      </c>
      <c r="C372" s="1" t="str">
        <f>"NOBIL4090S7E/NH2"</f>
        <v>NOBIL4090S7E/NH2</v>
      </c>
      <c r="E372" s="1" t="str">
        <f>"43"</f>
        <v>43</v>
      </c>
      <c r="F372" s="1" t="str">
        <f t="shared" si="221"/>
        <v>BONIS SPA</v>
      </c>
      <c r="G372" s="1" t="str">
        <f t="shared" si="222"/>
        <v>STOCK TERRA MP</v>
      </c>
      <c r="H372" s="1" t="str">
        <f>"BLK"</f>
        <v>BLK</v>
      </c>
      <c r="K372" s="1">
        <v>1</v>
      </c>
      <c r="L372" s="1" t="str">
        <f t="shared" si="223"/>
        <v>01</v>
      </c>
      <c r="M372" s="1" t="str">
        <f t="shared" si="247"/>
        <v>102</v>
      </c>
      <c r="N372" s="1" t="str">
        <f t="shared" si="248"/>
        <v>014</v>
      </c>
      <c r="O372" s="1" t="str">
        <f t="shared" si="224"/>
        <v>00</v>
      </c>
      <c r="P372" s="1" t="str">
        <f t="shared" si="225"/>
        <v>S</v>
      </c>
      <c r="Q372" s="1" t="str">
        <f t="shared" si="226"/>
        <v>P</v>
      </c>
      <c r="R372" s="1" t="str">
        <f t="shared" si="227"/>
        <v>01</v>
      </c>
      <c r="S372" s="1" t="str">
        <f t="shared" si="228"/>
        <v>03</v>
      </c>
      <c r="T372" s="1" t="str">
        <f t="shared" si="229"/>
        <v>False</v>
      </c>
      <c r="U372" s="1" t="str">
        <f t="shared" si="230"/>
        <v>True</v>
      </c>
      <c r="V372" s="1" t="str">
        <f>"U0034864"</f>
        <v>U0034864</v>
      </c>
      <c r="W372" s="1">
        <v>1</v>
      </c>
      <c r="Y372" s="1">
        <v>0</v>
      </c>
      <c r="Z372" s="1">
        <v>0</v>
      </c>
      <c r="AB372" s="1" t="str">
        <f>"ECOM"</f>
        <v>ECOM</v>
      </c>
      <c r="AI372" s="1" t="str">
        <f t="shared" si="231"/>
        <v>F06</v>
      </c>
      <c r="AJ372" s="1" t="str">
        <f>"MAN"</f>
        <v>MAN</v>
      </c>
      <c r="AK372" s="1" t="str">
        <f t="shared" si="232"/>
        <v>PA</v>
      </c>
      <c r="AP372" s="1" t="str">
        <f t="shared" si="233"/>
        <v>False</v>
      </c>
      <c r="AR372" s="1" t="str">
        <f>"NOBIL"</f>
        <v>NOBIL</v>
      </c>
      <c r="AY372" s="1" t="str">
        <f t="shared" si="234"/>
        <v>PF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 t="str">
        <f>"BBER-EVA  NYLON+MICROSUE"</f>
        <v>BBER-EVA  NYLON+MICROSUE</v>
      </c>
      <c r="BF372" s="1" t="str">
        <f t="shared" si="235"/>
        <v>Bonis SpA</v>
      </c>
    </row>
    <row r="373" spans="2:69" x14ac:dyDescent="0.25">
      <c r="B373" s="1">
        <v>1760</v>
      </c>
      <c r="C373" s="1" t="str">
        <f>"NOBIL4090S7E/NH2"</f>
        <v>NOBIL4090S7E/NH2</v>
      </c>
      <c r="E373" s="1" t="str">
        <f>"45"</f>
        <v>45</v>
      </c>
      <c r="F373" s="1" t="str">
        <f t="shared" si="221"/>
        <v>BONIS SPA</v>
      </c>
      <c r="G373" s="1" t="str">
        <f t="shared" si="222"/>
        <v>STOCK TERRA MP</v>
      </c>
      <c r="H373" s="1" t="str">
        <f>"BLK"</f>
        <v>BLK</v>
      </c>
      <c r="K373" s="1">
        <v>1</v>
      </c>
      <c r="L373" s="1" t="str">
        <f t="shared" si="223"/>
        <v>01</v>
      </c>
      <c r="M373" s="1" t="str">
        <f t="shared" si="247"/>
        <v>102</v>
      </c>
      <c r="N373" s="1" t="str">
        <f t="shared" si="248"/>
        <v>014</v>
      </c>
      <c r="O373" s="1" t="str">
        <f t="shared" si="224"/>
        <v>00</v>
      </c>
      <c r="P373" s="1" t="str">
        <f t="shared" si="225"/>
        <v>S</v>
      </c>
      <c r="Q373" s="1" t="str">
        <f t="shared" si="226"/>
        <v>P</v>
      </c>
      <c r="R373" s="1" t="str">
        <f t="shared" si="227"/>
        <v>01</v>
      </c>
      <c r="S373" s="1" t="str">
        <f t="shared" si="228"/>
        <v>03</v>
      </c>
      <c r="T373" s="1" t="str">
        <f t="shared" si="229"/>
        <v>False</v>
      </c>
      <c r="U373" s="1" t="str">
        <f t="shared" si="230"/>
        <v>True</v>
      </c>
      <c r="V373" s="1" t="str">
        <f>"U0034864"</f>
        <v>U0034864</v>
      </c>
      <c r="W373" s="1">
        <v>1</v>
      </c>
      <c r="Y373" s="1">
        <v>0</v>
      </c>
      <c r="Z373" s="1">
        <v>0</v>
      </c>
      <c r="AB373" s="1" t="str">
        <f>"ECOM"</f>
        <v>ECOM</v>
      </c>
      <c r="AI373" s="1" t="str">
        <f t="shared" si="231"/>
        <v>F06</v>
      </c>
      <c r="AJ373" s="1" t="str">
        <f>"MAN"</f>
        <v>MAN</v>
      </c>
      <c r="AK373" s="1" t="str">
        <f t="shared" si="232"/>
        <v>PA</v>
      </c>
      <c r="AP373" s="1" t="str">
        <f t="shared" si="233"/>
        <v>False</v>
      </c>
      <c r="AR373" s="1" t="str">
        <f>"NOBIL"</f>
        <v>NOBIL</v>
      </c>
      <c r="AY373" s="1" t="str">
        <f t="shared" si="234"/>
        <v>PF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 t="str">
        <f>"BBER-EVA  NYLON+MICROSUE"</f>
        <v>BBER-EVA  NYLON+MICROSUE</v>
      </c>
      <c r="BF373" s="1" t="str">
        <f t="shared" si="235"/>
        <v>Bonis SpA</v>
      </c>
    </row>
    <row r="374" spans="2:69" x14ac:dyDescent="0.25">
      <c r="B374" s="1">
        <v>1760</v>
      </c>
      <c r="C374" s="1" t="str">
        <f>"DARFW7328S6/MH1"</f>
        <v>DARFW7328S6/MH1</v>
      </c>
      <c r="E374" s="1" t="str">
        <f>"37"</f>
        <v>37</v>
      </c>
      <c r="F374" s="1" t="str">
        <f t="shared" si="221"/>
        <v>BONIS SPA</v>
      </c>
      <c r="G374" s="1" t="str">
        <f t="shared" si="222"/>
        <v>STOCK TERRA MP</v>
      </c>
      <c r="H374" s="1" t="str">
        <f t="shared" ref="H374:H380" si="249">"WHI-GRE"</f>
        <v>WHI-GRE</v>
      </c>
      <c r="K374" s="1">
        <v>1</v>
      </c>
      <c r="L374" s="1" t="str">
        <f t="shared" si="223"/>
        <v>01</v>
      </c>
      <c r="M374" s="1" t="str">
        <f t="shared" si="247"/>
        <v>102</v>
      </c>
      <c r="N374" s="1" t="str">
        <f t="shared" si="248"/>
        <v>014</v>
      </c>
      <c r="O374" s="1" t="str">
        <f t="shared" si="224"/>
        <v>00</v>
      </c>
      <c r="P374" s="1" t="str">
        <f t="shared" si="225"/>
        <v>S</v>
      </c>
      <c r="Q374" s="1" t="str">
        <f t="shared" si="226"/>
        <v>P</v>
      </c>
      <c r="R374" s="1" t="str">
        <f t="shared" si="227"/>
        <v>01</v>
      </c>
      <c r="S374" s="1" t="str">
        <f t="shared" si="228"/>
        <v>03</v>
      </c>
      <c r="T374" s="1" t="str">
        <f t="shared" si="229"/>
        <v>False</v>
      </c>
      <c r="U374" s="1" t="str">
        <f t="shared" si="230"/>
        <v>True</v>
      </c>
      <c r="V374" s="1" t="str">
        <f>"U0031154"</f>
        <v>U0031154</v>
      </c>
      <c r="W374" s="1">
        <v>1</v>
      </c>
      <c r="Y374" s="1">
        <v>0</v>
      </c>
      <c r="Z374" s="1">
        <v>0</v>
      </c>
      <c r="AI374" s="1" t="str">
        <f t="shared" si="231"/>
        <v>F06</v>
      </c>
      <c r="AJ374" s="1" t="str">
        <f>"WOMAN"</f>
        <v>WOMAN</v>
      </c>
      <c r="AK374" s="1" t="str">
        <f t="shared" si="232"/>
        <v>PA</v>
      </c>
      <c r="AP374" s="1" t="str">
        <f t="shared" si="233"/>
        <v>False</v>
      </c>
      <c r="AR374" s="1" t="str">
        <f>"DARFW"</f>
        <v>DARFW</v>
      </c>
      <c r="AY374" s="1" t="str">
        <f t="shared" si="234"/>
        <v>PF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 t="str">
        <f>"KNITED TEXTILE +MICROSUEDE+PU"</f>
        <v>KNITED TEXTILE +MICROSUEDE+PU</v>
      </c>
      <c r="BF374" s="1" t="str">
        <f t="shared" si="235"/>
        <v>Bonis SpA</v>
      </c>
    </row>
    <row r="375" spans="2:69" x14ac:dyDescent="0.25">
      <c r="B375" s="1">
        <v>1748</v>
      </c>
      <c r="C375" s="1" t="str">
        <f>"DARFW7328S6/MH1"</f>
        <v>DARFW7328S6/MH1</v>
      </c>
      <c r="D375" s="1" t="str">
        <f>"ODA15N00307-070"</f>
        <v>ODA15N00307-070</v>
      </c>
      <c r="E375" s="1" t="str">
        <f>"D12 USPA"</f>
        <v>D12 USPA</v>
      </c>
      <c r="F375" s="1" t="str">
        <f t="shared" si="221"/>
        <v>BONIS SPA</v>
      </c>
      <c r="G375" s="1" t="str">
        <f t="shared" si="222"/>
        <v>STOCK TERRA MP</v>
      </c>
      <c r="H375" s="1" t="str">
        <f t="shared" si="249"/>
        <v>WHI-GRE</v>
      </c>
      <c r="J375" s="1">
        <v>1</v>
      </c>
      <c r="K375" s="1">
        <f t="shared" ref="K375:K380" si="250">12*J375</f>
        <v>12</v>
      </c>
      <c r="L375" s="1" t="str">
        <f t="shared" si="223"/>
        <v>01</v>
      </c>
      <c r="M375" s="1" t="str">
        <f t="shared" si="247"/>
        <v>102</v>
      </c>
      <c r="N375" s="1" t="str">
        <f>"002"</f>
        <v>002</v>
      </c>
      <c r="O375" s="1" t="str">
        <f t="shared" si="224"/>
        <v>00</v>
      </c>
      <c r="P375" s="1" t="str">
        <f t="shared" si="225"/>
        <v>S</v>
      </c>
      <c r="Q375" s="1" t="str">
        <f t="shared" si="226"/>
        <v>P</v>
      </c>
      <c r="R375" s="1" t="str">
        <f t="shared" si="227"/>
        <v>01</v>
      </c>
      <c r="S375" s="1" t="str">
        <f t="shared" si="228"/>
        <v>03</v>
      </c>
      <c r="T375" s="1" t="str">
        <f t="shared" si="229"/>
        <v>False</v>
      </c>
      <c r="U375" s="1" t="str">
        <f t="shared" si="230"/>
        <v>True</v>
      </c>
      <c r="V375" s="1" t="str">
        <f>"U0026769"</f>
        <v>U0026769</v>
      </c>
      <c r="W375" s="1">
        <v>1</v>
      </c>
      <c r="Y375" s="1">
        <v>0</v>
      </c>
      <c r="Z375" s="1">
        <v>0</v>
      </c>
      <c r="AD375" s="1" t="str">
        <f t="shared" ref="AD375:AD380" si="251">"4520251"</f>
        <v>4520251</v>
      </c>
      <c r="AE375" s="1" t="str">
        <f t="shared" ref="AE375:AE380" si="252">"DONGUAN BROTHER IMP.LTD"</f>
        <v>DONGUAN BROTHER IMP.LTD</v>
      </c>
      <c r="AG375" s="1">
        <v>0</v>
      </c>
      <c r="AH375" s="1">
        <v>0</v>
      </c>
      <c r="AI375" s="1" t="str">
        <f t="shared" si="231"/>
        <v>F06</v>
      </c>
      <c r="AJ375" s="1" t="str">
        <f>"WOMAN"</f>
        <v>WOMAN</v>
      </c>
      <c r="AK375" s="1" t="str">
        <f t="shared" si="232"/>
        <v>PA</v>
      </c>
      <c r="AP375" s="1" t="str">
        <f t="shared" si="233"/>
        <v>False</v>
      </c>
      <c r="AR375" s="1" t="str">
        <f>"DARFW"</f>
        <v>DARFW</v>
      </c>
      <c r="AY375" s="1" t="str">
        <f t="shared" si="234"/>
        <v>PF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 t="str">
        <f>"KNITED TEXTILE +MICROSUEDE+PU"</f>
        <v>KNITED TEXTILE +MICROSUEDE+PU</v>
      </c>
      <c r="BF375" s="1" t="str">
        <f t="shared" si="235"/>
        <v>Bonis SpA</v>
      </c>
      <c r="BO375" s="1">
        <v>0</v>
      </c>
      <c r="BP375" s="1">
        <v>0</v>
      </c>
      <c r="BQ375" s="1">
        <v>0</v>
      </c>
    </row>
    <row r="376" spans="2:69" x14ac:dyDescent="0.25">
      <c r="B376" s="1">
        <v>1748</v>
      </c>
      <c r="C376" s="1" t="str">
        <f>"DARFW7328S6/MH1"</f>
        <v>DARFW7328S6/MH1</v>
      </c>
      <c r="D376" s="1" t="str">
        <f>"ODA15N00307-100"</f>
        <v>ODA15N00307-100</v>
      </c>
      <c r="E376" s="1" t="str">
        <f>"D12 USPA"</f>
        <v>D12 USPA</v>
      </c>
      <c r="F376" s="1" t="str">
        <f t="shared" si="221"/>
        <v>BONIS SPA</v>
      </c>
      <c r="G376" s="1" t="str">
        <f t="shared" si="222"/>
        <v>STOCK TERRA MP</v>
      </c>
      <c r="H376" s="1" t="str">
        <f t="shared" si="249"/>
        <v>WHI-GRE</v>
      </c>
      <c r="J376" s="1">
        <v>1</v>
      </c>
      <c r="K376" s="1">
        <f t="shared" si="250"/>
        <v>12</v>
      </c>
      <c r="L376" s="1" t="str">
        <f t="shared" si="223"/>
        <v>01</v>
      </c>
      <c r="M376" s="1" t="str">
        <f t="shared" si="247"/>
        <v>102</v>
      </c>
      <c r="N376" s="1" t="str">
        <f>"002"</f>
        <v>002</v>
      </c>
      <c r="O376" s="1" t="str">
        <f t="shared" si="224"/>
        <v>00</v>
      </c>
      <c r="P376" s="1" t="str">
        <f t="shared" si="225"/>
        <v>S</v>
      </c>
      <c r="Q376" s="1" t="str">
        <f t="shared" si="226"/>
        <v>P</v>
      </c>
      <c r="R376" s="1" t="str">
        <f t="shared" si="227"/>
        <v>01</v>
      </c>
      <c r="S376" s="1" t="str">
        <f t="shared" si="228"/>
        <v>03</v>
      </c>
      <c r="T376" s="1" t="str">
        <f t="shared" si="229"/>
        <v>False</v>
      </c>
      <c r="U376" s="1" t="str">
        <f t="shared" si="230"/>
        <v>True</v>
      </c>
      <c r="V376" s="1" t="str">
        <f>"U0026769"</f>
        <v>U0026769</v>
      </c>
      <c r="W376" s="1">
        <v>1</v>
      </c>
      <c r="Y376" s="1">
        <v>0</v>
      </c>
      <c r="Z376" s="1">
        <v>0</v>
      </c>
      <c r="AD376" s="1" t="str">
        <f t="shared" si="251"/>
        <v>4520251</v>
      </c>
      <c r="AE376" s="1" t="str">
        <f t="shared" si="252"/>
        <v>DONGUAN BROTHER IMP.LTD</v>
      </c>
      <c r="AG376" s="1">
        <v>0</v>
      </c>
      <c r="AH376" s="1">
        <v>0</v>
      </c>
      <c r="AI376" s="1" t="str">
        <f t="shared" si="231"/>
        <v>F06</v>
      </c>
      <c r="AJ376" s="1" t="str">
        <f>"WOMAN"</f>
        <v>WOMAN</v>
      </c>
      <c r="AK376" s="1" t="str">
        <f t="shared" si="232"/>
        <v>PA</v>
      </c>
      <c r="AP376" s="1" t="str">
        <f t="shared" si="233"/>
        <v>False</v>
      </c>
      <c r="AR376" s="1" t="str">
        <f>"DARFW"</f>
        <v>DARFW</v>
      </c>
      <c r="AY376" s="1" t="str">
        <f t="shared" si="234"/>
        <v>PF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 t="str">
        <f>"KNITED TEXTILE +MICROSUEDE+PU"</f>
        <v>KNITED TEXTILE +MICROSUEDE+PU</v>
      </c>
      <c r="BF376" s="1" t="str">
        <f t="shared" si="235"/>
        <v>Bonis SpA</v>
      </c>
      <c r="BO376" s="1">
        <v>0</v>
      </c>
      <c r="BP376" s="1">
        <v>0</v>
      </c>
      <c r="BQ376" s="1">
        <v>0</v>
      </c>
    </row>
    <row r="377" spans="2:69" x14ac:dyDescent="0.25">
      <c r="B377" s="1">
        <v>1753</v>
      </c>
      <c r="C377" s="1" t="str">
        <f>"DARFO7327S6/MH1"</f>
        <v>DARFO7327S6/MH1</v>
      </c>
      <c r="D377" s="1" t="str">
        <f>"ODA15N00308-183"</f>
        <v>ODA15N00308-183</v>
      </c>
      <c r="E377" s="1" t="str">
        <f>"C12 USPA"</f>
        <v>C12 USPA</v>
      </c>
      <c r="F377" s="1" t="str">
        <f t="shared" si="221"/>
        <v>BONIS SPA</v>
      </c>
      <c r="G377" s="1" t="str">
        <f t="shared" si="222"/>
        <v>STOCK TERRA MP</v>
      </c>
      <c r="H377" s="1" t="str">
        <f t="shared" si="249"/>
        <v>WHI-GRE</v>
      </c>
      <c r="J377" s="1">
        <v>1</v>
      </c>
      <c r="K377" s="1">
        <f t="shared" si="250"/>
        <v>12</v>
      </c>
      <c r="L377" s="1" t="str">
        <f t="shared" si="223"/>
        <v>01</v>
      </c>
      <c r="M377" s="1" t="str">
        <f t="shared" si="247"/>
        <v>102</v>
      </c>
      <c r="N377" s="1" t="str">
        <f>"007"</f>
        <v>007</v>
      </c>
      <c r="O377" s="1" t="str">
        <f t="shared" si="224"/>
        <v>00</v>
      </c>
      <c r="P377" s="1" t="str">
        <f t="shared" si="225"/>
        <v>S</v>
      </c>
      <c r="Q377" s="1" t="str">
        <f t="shared" si="226"/>
        <v>P</v>
      </c>
      <c r="R377" s="1" t="str">
        <f t="shared" si="227"/>
        <v>01</v>
      </c>
      <c r="S377" s="1" t="str">
        <f t="shared" si="228"/>
        <v>03</v>
      </c>
      <c r="T377" s="1" t="str">
        <f t="shared" si="229"/>
        <v>False</v>
      </c>
      <c r="U377" s="1" t="str">
        <f t="shared" si="230"/>
        <v>True</v>
      </c>
      <c r="V377" s="1" t="str">
        <f>"U0020221"</f>
        <v>U0020221</v>
      </c>
      <c r="W377" s="1">
        <v>1</v>
      </c>
      <c r="Y377" s="1">
        <v>0</v>
      </c>
      <c r="Z377" s="1">
        <v>0</v>
      </c>
      <c r="AD377" s="1" t="str">
        <f t="shared" si="251"/>
        <v>4520251</v>
      </c>
      <c r="AE377" s="1" t="str">
        <f t="shared" si="252"/>
        <v>DONGUAN BROTHER IMP.LTD</v>
      </c>
      <c r="AG377" s="1">
        <v>0</v>
      </c>
      <c r="AH377" s="1">
        <v>0</v>
      </c>
      <c r="AI377" s="1" t="str">
        <f>"F11"</f>
        <v>F11</v>
      </c>
      <c r="AJ377" s="1" t="str">
        <f t="shared" ref="AJ377:AJ398" si="253">"MAN"</f>
        <v>MAN</v>
      </c>
      <c r="AK377" s="1" t="str">
        <f t="shared" si="232"/>
        <v>PA</v>
      </c>
      <c r="AP377" s="1" t="str">
        <f t="shared" si="233"/>
        <v>False</v>
      </c>
      <c r="AR377" s="1" t="str">
        <f>"DARFO"</f>
        <v>DARFO</v>
      </c>
      <c r="AY377" s="1" t="str">
        <f t="shared" si="234"/>
        <v>PF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 t="str">
        <f>"MA KNITTED TEXTILE+MICROSUEDE+"</f>
        <v>MA KNITTED TEXTILE+MICROSUEDE+</v>
      </c>
      <c r="BF377" s="1" t="str">
        <f t="shared" si="235"/>
        <v>Bonis SpA</v>
      </c>
      <c r="BO377" s="1">
        <v>0</v>
      </c>
      <c r="BP377" s="1">
        <v>0</v>
      </c>
      <c r="BQ377" s="1">
        <v>0</v>
      </c>
    </row>
    <row r="378" spans="2:69" x14ac:dyDescent="0.25">
      <c r="B378" s="1">
        <v>1753</v>
      </c>
      <c r="C378" s="1" t="str">
        <f>"DARFO7327S6/MH1"</f>
        <v>DARFO7327S6/MH1</v>
      </c>
      <c r="D378" s="1" t="str">
        <f>"ODA15N00308-199"</f>
        <v>ODA15N00308-199</v>
      </c>
      <c r="E378" s="1" t="str">
        <f>"C12 USPA"</f>
        <v>C12 USPA</v>
      </c>
      <c r="F378" s="1" t="str">
        <f t="shared" si="221"/>
        <v>BONIS SPA</v>
      </c>
      <c r="G378" s="1" t="str">
        <f t="shared" si="222"/>
        <v>STOCK TERRA MP</v>
      </c>
      <c r="H378" s="1" t="str">
        <f t="shared" si="249"/>
        <v>WHI-GRE</v>
      </c>
      <c r="J378" s="1">
        <v>1</v>
      </c>
      <c r="K378" s="1">
        <f t="shared" si="250"/>
        <v>12</v>
      </c>
      <c r="L378" s="1" t="str">
        <f t="shared" si="223"/>
        <v>01</v>
      </c>
      <c r="M378" s="1" t="str">
        <f t="shared" si="247"/>
        <v>102</v>
      </c>
      <c r="N378" s="1" t="str">
        <f>"007"</f>
        <v>007</v>
      </c>
      <c r="O378" s="1" t="str">
        <f t="shared" si="224"/>
        <v>00</v>
      </c>
      <c r="P378" s="1" t="str">
        <f t="shared" si="225"/>
        <v>S</v>
      </c>
      <c r="Q378" s="1" t="str">
        <f t="shared" si="226"/>
        <v>P</v>
      </c>
      <c r="R378" s="1" t="str">
        <f t="shared" si="227"/>
        <v>01</v>
      </c>
      <c r="S378" s="1" t="str">
        <f t="shared" si="228"/>
        <v>03</v>
      </c>
      <c r="T378" s="1" t="str">
        <f t="shared" si="229"/>
        <v>False</v>
      </c>
      <c r="U378" s="1" t="str">
        <f t="shared" si="230"/>
        <v>True</v>
      </c>
      <c r="V378" s="1" t="str">
        <f>"U0020221"</f>
        <v>U0020221</v>
      </c>
      <c r="W378" s="1">
        <v>1</v>
      </c>
      <c r="Y378" s="1">
        <v>0</v>
      </c>
      <c r="Z378" s="1">
        <v>0</v>
      </c>
      <c r="AD378" s="1" t="str">
        <f t="shared" si="251"/>
        <v>4520251</v>
      </c>
      <c r="AE378" s="1" t="str">
        <f t="shared" si="252"/>
        <v>DONGUAN BROTHER IMP.LTD</v>
      </c>
      <c r="AG378" s="1">
        <v>0</v>
      </c>
      <c r="AH378" s="1">
        <v>0</v>
      </c>
      <c r="AI378" s="1" t="str">
        <f>"F11"</f>
        <v>F11</v>
      </c>
      <c r="AJ378" s="1" t="str">
        <f t="shared" si="253"/>
        <v>MAN</v>
      </c>
      <c r="AK378" s="1" t="str">
        <f t="shared" si="232"/>
        <v>PA</v>
      </c>
      <c r="AP378" s="1" t="str">
        <f t="shared" si="233"/>
        <v>False</v>
      </c>
      <c r="AR378" s="1" t="str">
        <f>"DARFO"</f>
        <v>DARFO</v>
      </c>
      <c r="AY378" s="1" t="str">
        <f t="shared" si="234"/>
        <v>PF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 t="str">
        <f>"MA KNITTED TEXTILE+MICROSUEDE+"</f>
        <v>MA KNITTED TEXTILE+MICROSUEDE+</v>
      </c>
      <c r="BF378" s="1" t="str">
        <f t="shared" si="235"/>
        <v>Bonis SpA</v>
      </c>
      <c r="BO378" s="1">
        <v>0</v>
      </c>
      <c r="BP378" s="1">
        <v>0</v>
      </c>
      <c r="BQ378" s="1">
        <v>0</v>
      </c>
    </row>
    <row r="379" spans="2:69" x14ac:dyDescent="0.25">
      <c r="B379" s="1">
        <v>1753</v>
      </c>
      <c r="C379" s="1" t="str">
        <f>"DARFO7327S6/MH1"</f>
        <v>DARFO7327S6/MH1</v>
      </c>
      <c r="D379" s="1" t="str">
        <f>"ODA15N00308-222"</f>
        <v>ODA15N00308-222</v>
      </c>
      <c r="E379" s="1" t="str">
        <f>"C12 USPA"</f>
        <v>C12 USPA</v>
      </c>
      <c r="F379" s="1" t="str">
        <f t="shared" si="221"/>
        <v>BONIS SPA</v>
      </c>
      <c r="G379" s="1" t="str">
        <f t="shared" si="222"/>
        <v>STOCK TERRA MP</v>
      </c>
      <c r="H379" s="1" t="str">
        <f t="shared" si="249"/>
        <v>WHI-GRE</v>
      </c>
      <c r="J379" s="1">
        <v>1</v>
      </c>
      <c r="K379" s="1">
        <f t="shared" si="250"/>
        <v>12</v>
      </c>
      <c r="L379" s="1" t="str">
        <f t="shared" si="223"/>
        <v>01</v>
      </c>
      <c r="M379" s="1" t="str">
        <f t="shared" si="247"/>
        <v>102</v>
      </c>
      <c r="N379" s="1" t="str">
        <f>"007"</f>
        <v>007</v>
      </c>
      <c r="O379" s="1" t="str">
        <f t="shared" si="224"/>
        <v>00</v>
      </c>
      <c r="P379" s="1" t="str">
        <f t="shared" si="225"/>
        <v>S</v>
      </c>
      <c r="Q379" s="1" t="str">
        <f t="shared" si="226"/>
        <v>P</v>
      </c>
      <c r="R379" s="1" t="str">
        <f t="shared" si="227"/>
        <v>01</v>
      </c>
      <c r="S379" s="1" t="str">
        <f t="shared" si="228"/>
        <v>03</v>
      </c>
      <c r="T379" s="1" t="str">
        <f t="shared" si="229"/>
        <v>False</v>
      </c>
      <c r="U379" s="1" t="str">
        <f t="shared" si="230"/>
        <v>True</v>
      </c>
      <c r="V379" s="1" t="str">
        <f>"U0020221"</f>
        <v>U0020221</v>
      </c>
      <c r="W379" s="1">
        <v>1</v>
      </c>
      <c r="Y379" s="1">
        <v>0</v>
      </c>
      <c r="Z379" s="1">
        <v>0</v>
      </c>
      <c r="AD379" s="1" t="str">
        <f t="shared" si="251"/>
        <v>4520251</v>
      </c>
      <c r="AE379" s="1" t="str">
        <f t="shared" si="252"/>
        <v>DONGUAN BROTHER IMP.LTD</v>
      </c>
      <c r="AG379" s="1">
        <v>0</v>
      </c>
      <c r="AH379" s="1">
        <v>0</v>
      </c>
      <c r="AI379" s="1" t="str">
        <f>"F11"</f>
        <v>F11</v>
      </c>
      <c r="AJ379" s="1" t="str">
        <f t="shared" si="253"/>
        <v>MAN</v>
      </c>
      <c r="AK379" s="1" t="str">
        <f t="shared" si="232"/>
        <v>PA</v>
      </c>
      <c r="AP379" s="1" t="str">
        <f t="shared" si="233"/>
        <v>False</v>
      </c>
      <c r="AR379" s="1" t="str">
        <f>"DARFO"</f>
        <v>DARFO</v>
      </c>
      <c r="AY379" s="1" t="str">
        <f t="shared" si="234"/>
        <v>PF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 t="str">
        <f>"MA KNITTED TEXTILE+MICROSUEDE+"</f>
        <v>MA KNITTED TEXTILE+MICROSUEDE+</v>
      </c>
      <c r="BF379" s="1" t="str">
        <f t="shared" si="235"/>
        <v>Bonis SpA</v>
      </c>
      <c r="BO379" s="1">
        <v>0</v>
      </c>
      <c r="BP379" s="1">
        <v>0</v>
      </c>
      <c r="BQ379" s="1">
        <v>0</v>
      </c>
    </row>
    <row r="380" spans="2:69" x14ac:dyDescent="0.25">
      <c r="B380" s="1">
        <v>1753</v>
      </c>
      <c r="C380" s="1" t="str">
        <f>"DARFO7327S6/MH1"</f>
        <v>DARFO7327S6/MH1</v>
      </c>
      <c r="D380" s="1" t="str">
        <f>"ODA15N00308-225"</f>
        <v>ODA15N00308-225</v>
      </c>
      <c r="E380" s="1" t="str">
        <f>"C12 USPA"</f>
        <v>C12 USPA</v>
      </c>
      <c r="F380" s="1" t="str">
        <f t="shared" si="221"/>
        <v>BONIS SPA</v>
      </c>
      <c r="G380" s="1" t="str">
        <f t="shared" si="222"/>
        <v>STOCK TERRA MP</v>
      </c>
      <c r="H380" s="1" t="str">
        <f t="shared" si="249"/>
        <v>WHI-GRE</v>
      </c>
      <c r="J380" s="1">
        <v>1</v>
      </c>
      <c r="K380" s="1">
        <f t="shared" si="250"/>
        <v>12</v>
      </c>
      <c r="L380" s="1" t="str">
        <f t="shared" si="223"/>
        <v>01</v>
      </c>
      <c r="M380" s="1" t="str">
        <f t="shared" si="247"/>
        <v>102</v>
      </c>
      <c r="N380" s="1" t="str">
        <f>"007"</f>
        <v>007</v>
      </c>
      <c r="O380" s="1" t="str">
        <f t="shared" si="224"/>
        <v>00</v>
      </c>
      <c r="P380" s="1" t="str">
        <f t="shared" si="225"/>
        <v>S</v>
      </c>
      <c r="Q380" s="1" t="str">
        <f t="shared" si="226"/>
        <v>P</v>
      </c>
      <c r="R380" s="1" t="str">
        <f t="shared" si="227"/>
        <v>01</v>
      </c>
      <c r="S380" s="1" t="str">
        <f t="shared" si="228"/>
        <v>03</v>
      </c>
      <c r="T380" s="1" t="str">
        <f t="shared" si="229"/>
        <v>False</v>
      </c>
      <c r="U380" s="1" t="str">
        <f t="shared" si="230"/>
        <v>True</v>
      </c>
      <c r="V380" s="1" t="str">
        <f>"U0020221"</f>
        <v>U0020221</v>
      </c>
      <c r="W380" s="1">
        <v>1</v>
      </c>
      <c r="Y380" s="1">
        <v>0</v>
      </c>
      <c r="Z380" s="1">
        <v>0</v>
      </c>
      <c r="AD380" s="1" t="str">
        <f t="shared" si="251"/>
        <v>4520251</v>
      </c>
      <c r="AE380" s="1" t="str">
        <f t="shared" si="252"/>
        <v>DONGUAN BROTHER IMP.LTD</v>
      </c>
      <c r="AG380" s="1">
        <v>0</v>
      </c>
      <c r="AH380" s="1">
        <v>0</v>
      </c>
      <c r="AI380" s="1" t="str">
        <f>"F11"</f>
        <v>F11</v>
      </c>
      <c r="AJ380" s="1" t="str">
        <f t="shared" si="253"/>
        <v>MAN</v>
      </c>
      <c r="AK380" s="1" t="str">
        <f t="shared" si="232"/>
        <v>PA</v>
      </c>
      <c r="AP380" s="1" t="str">
        <f t="shared" si="233"/>
        <v>False</v>
      </c>
      <c r="AR380" s="1" t="str">
        <f>"DARFO"</f>
        <v>DARFO</v>
      </c>
      <c r="AY380" s="1" t="str">
        <f t="shared" si="234"/>
        <v>PF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 t="str">
        <f>"MA KNITTED TEXTILE+MICROSUEDE+"</f>
        <v>MA KNITTED TEXTILE+MICROSUEDE+</v>
      </c>
      <c r="BF380" s="1" t="str">
        <f t="shared" si="235"/>
        <v>Bonis SpA</v>
      </c>
      <c r="BO380" s="1">
        <v>0</v>
      </c>
      <c r="BP380" s="1">
        <v>0</v>
      </c>
      <c r="BQ380" s="1">
        <v>0</v>
      </c>
    </row>
    <row r="381" spans="2:69" x14ac:dyDescent="0.25">
      <c r="B381" s="1">
        <v>1756</v>
      </c>
      <c r="C381" s="1" t="str">
        <f t="shared" ref="C381:C390" si="254">"GALAN4105S7/TY1"</f>
        <v>GALAN4105S7/TY1</v>
      </c>
      <c r="D381" s="1" t="str">
        <f>"ODA16N00240-004"</f>
        <v>ODA16N00240-004</v>
      </c>
      <c r="E381" s="1" t="str">
        <f t="shared" ref="E381:E390" si="255">"A8 USPA"</f>
        <v>A8 USPA</v>
      </c>
      <c r="F381" s="1" t="str">
        <f t="shared" si="221"/>
        <v>BONIS SPA</v>
      </c>
      <c r="G381" s="1" t="str">
        <f t="shared" si="222"/>
        <v>STOCK TERRA MP</v>
      </c>
      <c r="H381" s="1" t="str">
        <f t="shared" ref="H381:H390" si="256">"WHI"</f>
        <v>WHI</v>
      </c>
      <c r="J381" s="1">
        <v>1</v>
      </c>
      <c r="K381" s="1">
        <f t="shared" ref="K381:K390" si="257">8*J381</f>
        <v>8</v>
      </c>
      <c r="L381" s="1" t="str">
        <f t="shared" si="223"/>
        <v>01</v>
      </c>
      <c r="M381" s="1" t="str">
        <f t="shared" si="247"/>
        <v>102</v>
      </c>
      <c r="N381" s="1" t="str">
        <f t="shared" ref="N381:N390" si="258">"010"</f>
        <v>010</v>
      </c>
      <c r="O381" s="1" t="str">
        <f t="shared" si="224"/>
        <v>00</v>
      </c>
      <c r="P381" s="1" t="str">
        <f t="shared" si="225"/>
        <v>S</v>
      </c>
      <c r="Q381" s="1" t="str">
        <f t="shared" si="226"/>
        <v>P</v>
      </c>
      <c r="R381" s="1" t="str">
        <f t="shared" si="227"/>
        <v>01</v>
      </c>
      <c r="S381" s="1" t="str">
        <f t="shared" si="228"/>
        <v>03</v>
      </c>
      <c r="T381" s="1" t="str">
        <f t="shared" si="229"/>
        <v>False</v>
      </c>
      <c r="U381" s="1" t="str">
        <f t="shared" si="230"/>
        <v>True</v>
      </c>
      <c r="V381" s="1" t="str">
        <f t="shared" ref="V381:V390" si="259">"U0024205"</f>
        <v>U0024205</v>
      </c>
      <c r="W381" s="1">
        <v>1</v>
      </c>
      <c r="Y381" s="1">
        <v>0</v>
      </c>
      <c r="Z381" s="1">
        <v>0</v>
      </c>
      <c r="AD381" s="1" t="str">
        <f t="shared" ref="AD381:AD405" si="260">"4520107"</f>
        <v>4520107</v>
      </c>
      <c r="AE381" s="1" t="str">
        <f t="shared" ref="AE381:AE405" si="261">"DONG HUNG IND. JOINT COMPANY"</f>
        <v>DONG HUNG IND. JOINT COMPANY</v>
      </c>
      <c r="AG381" s="1">
        <v>0</v>
      </c>
      <c r="AH381" s="1">
        <v>0</v>
      </c>
      <c r="AI381" s="1" t="str">
        <f t="shared" ref="AI381:AI414" si="262">"F06"</f>
        <v>F06</v>
      </c>
      <c r="AJ381" s="1" t="str">
        <f t="shared" si="253"/>
        <v>MAN</v>
      </c>
      <c r="AK381" s="1" t="str">
        <f t="shared" si="232"/>
        <v>PA</v>
      </c>
      <c r="AP381" s="1" t="str">
        <f t="shared" si="233"/>
        <v>False</v>
      </c>
      <c r="AR381" s="1" t="str">
        <f t="shared" ref="AR381:AR398" si="263">"GALAN"</f>
        <v>GALAN</v>
      </c>
      <c r="AY381" s="1" t="str">
        <f t="shared" si="234"/>
        <v>PF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 t="str">
        <f t="shared" ref="BE381:BE391" si="264">"LAN WASHED TEXTILE+ ECO LEATHE"</f>
        <v>LAN WASHED TEXTILE+ ECO LEATHE</v>
      </c>
      <c r="BF381" s="1" t="str">
        <f t="shared" si="235"/>
        <v>Bonis SpA</v>
      </c>
      <c r="BO381" s="1">
        <v>0</v>
      </c>
      <c r="BP381" s="1">
        <v>0</v>
      </c>
      <c r="BQ381" s="1">
        <v>0</v>
      </c>
    </row>
    <row r="382" spans="2:69" x14ac:dyDescent="0.25">
      <c r="B382" s="1">
        <v>1756</v>
      </c>
      <c r="C382" s="1" t="str">
        <f t="shared" si="254"/>
        <v>GALAN4105S7/TY1</v>
      </c>
      <c r="D382" s="1" t="str">
        <f>"ODA16N00240-018"</f>
        <v>ODA16N00240-018</v>
      </c>
      <c r="E382" s="1" t="str">
        <f t="shared" si="255"/>
        <v>A8 USPA</v>
      </c>
      <c r="F382" s="1" t="str">
        <f t="shared" si="221"/>
        <v>BONIS SPA</v>
      </c>
      <c r="G382" s="1" t="str">
        <f t="shared" si="222"/>
        <v>STOCK TERRA MP</v>
      </c>
      <c r="H382" s="1" t="str">
        <f t="shared" si="256"/>
        <v>WHI</v>
      </c>
      <c r="J382" s="1">
        <v>1</v>
      </c>
      <c r="K382" s="1">
        <f t="shared" si="257"/>
        <v>8</v>
      </c>
      <c r="L382" s="1" t="str">
        <f t="shared" si="223"/>
        <v>01</v>
      </c>
      <c r="M382" s="1" t="str">
        <f t="shared" si="247"/>
        <v>102</v>
      </c>
      <c r="N382" s="1" t="str">
        <f t="shared" si="258"/>
        <v>010</v>
      </c>
      <c r="O382" s="1" t="str">
        <f t="shared" si="224"/>
        <v>00</v>
      </c>
      <c r="P382" s="1" t="str">
        <f t="shared" si="225"/>
        <v>S</v>
      </c>
      <c r="Q382" s="1" t="str">
        <f t="shared" si="226"/>
        <v>P</v>
      </c>
      <c r="R382" s="1" t="str">
        <f t="shared" si="227"/>
        <v>01</v>
      </c>
      <c r="S382" s="1" t="str">
        <f t="shared" si="228"/>
        <v>03</v>
      </c>
      <c r="T382" s="1" t="str">
        <f t="shared" si="229"/>
        <v>False</v>
      </c>
      <c r="U382" s="1" t="str">
        <f t="shared" si="230"/>
        <v>True</v>
      </c>
      <c r="V382" s="1" t="str">
        <f t="shared" si="259"/>
        <v>U0024205</v>
      </c>
      <c r="W382" s="1">
        <v>1</v>
      </c>
      <c r="Y382" s="1">
        <v>0</v>
      </c>
      <c r="Z382" s="1">
        <v>0</v>
      </c>
      <c r="AD382" s="1" t="str">
        <f t="shared" si="260"/>
        <v>4520107</v>
      </c>
      <c r="AE382" s="1" t="str">
        <f t="shared" si="261"/>
        <v>DONG HUNG IND. JOINT COMPANY</v>
      </c>
      <c r="AG382" s="1">
        <v>0</v>
      </c>
      <c r="AH382" s="1">
        <v>0</v>
      </c>
      <c r="AI382" s="1" t="str">
        <f t="shared" si="262"/>
        <v>F06</v>
      </c>
      <c r="AJ382" s="1" t="str">
        <f t="shared" si="253"/>
        <v>MAN</v>
      </c>
      <c r="AK382" s="1" t="str">
        <f t="shared" si="232"/>
        <v>PA</v>
      </c>
      <c r="AP382" s="1" t="str">
        <f t="shared" si="233"/>
        <v>False</v>
      </c>
      <c r="AR382" s="1" t="str">
        <f t="shared" si="263"/>
        <v>GALAN</v>
      </c>
      <c r="AY382" s="1" t="str">
        <f t="shared" si="234"/>
        <v>PF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 t="str">
        <f t="shared" si="264"/>
        <v>LAN WASHED TEXTILE+ ECO LEATHE</v>
      </c>
      <c r="BF382" s="1" t="str">
        <f t="shared" si="235"/>
        <v>Bonis SpA</v>
      </c>
      <c r="BO382" s="1">
        <v>0</v>
      </c>
      <c r="BP382" s="1">
        <v>0</v>
      </c>
      <c r="BQ382" s="1">
        <v>0</v>
      </c>
    </row>
    <row r="383" spans="2:69" x14ac:dyDescent="0.25">
      <c r="B383" s="1">
        <v>1756</v>
      </c>
      <c r="C383" s="1" t="str">
        <f t="shared" si="254"/>
        <v>GALAN4105S7/TY1</v>
      </c>
      <c r="D383" s="1" t="str">
        <f>"ODA16N00240-019"</f>
        <v>ODA16N00240-019</v>
      </c>
      <c r="E383" s="1" t="str">
        <f t="shared" si="255"/>
        <v>A8 USPA</v>
      </c>
      <c r="F383" s="1" t="str">
        <f t="shared" si="221"/>
        <v>BONIS SPA</v>
      </c>
      <c r="G383" s="1" t="str">
        <f t="shared" si="222"/>
        <v>STOCK TERRA MP</v>
      </c>
      <c r="H383" s="1" t="str">
        <f t="shared" si="256"/>
        <v>WHI</v>
      </c>
      <c r="J383" s="1">
        <v>1</v>
      </c>
      <c r="K383" s="1">
        <f t="shared" si="257"/>
        <v>8</v>
      </c>
      <c r="L383" s="1" t="str">
        <f t="shared" si="223"/>
        <v>01</v>
      </c>
      <c r="M383" s="1" t="str">
        <f t="shared" si="247"/>
        <v>102</v>
      </c>
      <c r="N383" s="1" t="str">
        <f t="shared" si="258"/>
        <v>010</v>
      </c>
      <c r="O383" s="1" t="str">
        <f t="shared" si="224"/>
        <v>00</v>
      </c>
      <c r="P383" s="1" t="str">
        <f t="shared" si="225"/>
        <v>S</v>
      </c>
      <c r="Q383" s="1" t="str">
        <f t="shared" si="226"/>
        <v>P</v>
      </c>
      <c r="R383" s="1" t="str">
        <f t="shared" si="227"/>
        <v>01</v>
      </c>
      <c r="S383" s="1" t="str">
        <f t="shared" si="228"/>
        <v>03</v>
      </c>
      <c r="T383" s="1" t="str">
        <f t="shared" si="229"/>
        <v>False</v>
      </c>
      <c r="U383" s="1" t="str">
        <f t="shared" si="230"/>
        <v>True</v>
      </c>
      <c r="V383" s="1" t="str">
        <f t="shared" si="259"/>
        <v>U0024205</v>
      </c>
      <c r="W383" s="1">
        <v>1</v>
      </c>
      <c r="Y383" s="1">
        <v>0</v>
      </c>
      <c r="Z383" s="1">
        <v>0</v>
      </c>
      <c r="AD383" s="1" t="str">
        <f t="shared" si="260"/>
        <v>4520107</v>
      </c>
      <c r="AE383" s="1" t="str">
        <f t="shared" si="261"/>
        <v>DONG HUNG IND. JOINT COMPANY</v>
      </c>
      <c r="AG383" s="1">
        <v>0</v>
      </c>
      <c r="AH383" s="1">
        <v>0</v>
      </c>
      <c r="AI383" s="1" t="str">
        <f t="shared" si="262"/>
        <v>F06</v>
      </c>
      <c r="AJ383" s="1" t="str">
        <f t="shared" si="253"/>
        <v>MAN</v>
      </c>
      <c r="AK383" s="1" t="str">
        <f t="shared" si="232"/>
        <v>PA</v>
      </c>
      <c r="AP383" s="1" t="str">
        <f t="shared" si="233"/>
        <v>False</v>
      </c>
      <c r="AR383" s="1" t="str">
        <f t="shared" si="263"/>
        <v>GALAN</v>
      </c>
      <c r="AY383" s="1" t="str">
        <f t="shared" si="234"/>
        <v>PF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 t="str">
        <f t="shared" si="264"/>
        <v>LAN WASHED TEXTILE+ ECO LEATHE</v>
      </c>
      <c r="BF383" s="1" t="str">
        <f t="shared" si="235"/>
        <v>Bonis SpA</v>
      </c>
      <c r="BO383" s="1">
        <v>0</v>
      </c>
      <c r="BP383" s="1">
        <v>0</v>
      </c>
      <c r="BQ383" s="1">
        <v>0</v>
      </c>
    </row>
    <row r="384" spans="2:69" x14ac:dyDescent="0.25">
      <c r="B384" s="1">
        <v>1756</v>
      </c>
      <c r="C384" s="1" t="str">
        <f t="shared" si="254"/>
        <v>GALAN4105S7/TY1</v>
      </c>
      <c r="D384" s="1" t="str">
        <f>"ODA16N00240-031"</f>
        <v>ODA16N00240-031</v>
      </c>
      <c r="E384" s="1" t="str">
        <f t="shared" si="255"/>
        <v>A8 USPA</v>
      </c>
      <c r="F384" s="1" t="str">
        <f t="shared" si="221"/>
        <v>BONIS SPA</v>
      </c>
      <c r="G384" s="1" t="str">
        <f t="shared" si="222"/>
        <v>STOCK TERRA MP</v>
      </c>
      <c r="H384" s="1" t="str">
        <f t="shared" si="256"/>
        <v>WHI</v>
      </c>
      <c r="J384" s="1">
        <v>1</v>
      </c>
      <c r="K384" s="1">
        <f t="shared" si="257"/>
        <v>8</v>
      </c>
      <c r="L384" s="1" t="str">
        <f t="shared" si="223"/>
        <v>01</v>
      </c>
      <c r="M384" s="1" t="str">
        <f t="shared" si="247"/>
        <v>102</v>
      </c>
      <c r="N384" s="1" t="str">
        <f t="shared" si="258"/>
        <v>010</v>
      </c>
      <c r="O384" s="1" t="str">
        <f t="shared" si="224"/>
        <v>00</v>
      </c>
      <c r="P384" s="1" t="str">
        <f t="shared" si="225"/>
        <v>S</v>
      </c>
      <c r="Q384" s="1" t="str">
        <f t="shared" si="226"/>
        <v>P</v>
      </c>
      <c r="R384" s="1" t="str">
        <f t="shared" si="227"/>
        <v>01</v>
      </c>
      <c r="S384" s="1" t="str">
        <f t="shared" si="228"/>
        <v>03</v>
      </c>
      <c r="T384" s="1" t="str">
        <f t="shared" si="229"/>
        <v>False</v>
      </c>
      <c r="U384" s="1" t="str">
        <f t="shared" si="230"/>
        <v>True</v>
      </c>
      <c r="V384" s="1" t="str">
        <f t="shared" si="259"/>
        <v>U0024205</v>
      </c>
      <c r="W384" s="1">
        <v>1</v>
      </c>
      <c r="Y384" s="1">
        <v>0</v>
      </c>
      <c r="Z384" s="1">
        <v>0</v>
      </c>
      <c r="AD384" s="1" t="str">
        <f t="shared" si="260"/>
        <v>4520107</v>
      </c>
      <c r="AE384" s="1" t="str">
        <f t="shared" si="261"/>
        <v>DONG HUNG IND. JOINT COMPANY</v>
      </c>
      <c r="AG384" s="1">
        <v>0</v>
      </c>
      <c r="AH384" s="1">
        <v>0</v>
      </c>
      <c r="AI384" s="1" t="str">
        <f t="shared" si="262"/>
        <v>F06</v>
      </c>
      <c r="AJ384" s="1" t="str">
        <f t="shared" si="253"/>
        <v>MAN</v>
      </c>
      <c r="AK384" s="1" t="str">
        <f t="shared" si="232"/>
        <v>PA</v>
      </c>
      <c r="AP384" s="1" t="str">
        <f t="shared" si="233"/>
        <v>False</v>
      </c>
      <c r="AR384" s="1" t="str">
        <f t="shared" si="263"/>
        <v>GALAN</v>
      </c>
      <c r="AY384" s="1" t="str">
        <f t="shared" si="234"/>
        <v>PF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 t="str">
        <f t="shared" si="264"/>
        <v>LAN WASHED TEXTILE+ ECO LEATHE</v>
      </c>
      <c r="BF384" s="1" t="str">
        <f t="shared" si="235"/>
        <v>Bonis SpA</v>
      </c>
      <c r="BO384" s="1">
        <v>0</v>
      </c>
      <c r="BP384" s="1">
        <v>0</v>
      </c>
      <c r="BQ384" s="1">
        <v>0</v>
      </c>
    </row>
    <row r="385" spans="2:69" x14ac:dyDescent="0.25">
      <c r="B385" s="1">
        <v>1756</v>
      </c>
      <c r="C385" s="1" t="str">
        <f t="shared" si="254"/>
        <v>GALAN4105S7/TY1</v>
      </c>
      <c r="D385" s="1" t="str">
        <f>"ODA16N00240-036"</f>
        <v>ODA16N00240-036</v>
      </c>
      <c r="E385" s="1" t="str">
        <f t="shared" si="255"/>
        <v>A8 USPA</v>
      </c>
      <c r="F385" s="1" t="str">
        <f t="shared" si="221"/>
        <v>BONIS SPA</v>
      </c>
      <c r="G385" s="1" t="str">
        <f t="shared" si="222"/>
        <v>STOCK TERRA MP</v>
      </c>
      <c r="H385" s="1" t="str">
        <f t="shared" si="256"/>
        <v>WHI</v>
      </c>
      <c r="J385" s="1">
        <v>1</v>
      </c>
      <c r="K385" s="1">
        <f t="shared" si="257"/>
        <v>8</v>
      </c>
      <c r="L385" s="1" t="str">
        <f t="shared" si="223"/>
        <v>01</v>
      </c>
      <c r="M385" s="1" t="str">
        <f t="shared" si="247"/>
        <v>102</v>
      </c>
      <c r="N385" s="1" t="str">
        <f t="shared" si="258"/>
        <v>010</v>
      </c>
      <c r="O385" s="1" t="str">
        <f t="shared" si="224"/>
        <v>00</v>
      </c>
      <c r="P385" s="1" t="str">
        <f t="shared" si="225"/>
        <v>S</v>
      </c>
      <c r="Q385" s="1" t="str">
        <f t="shared" si="226"/>
        <v>P</v>
      </c>
      <c r="R385" s="1" t="str">
        <f t="shared" si="227"/>
        <v>01</v>
      </c>
      <c r="S385" s="1" t="str">
        <f t="shared" si="228"/>
        <v>03</v>
      </c>
      <c r="T385" s="1" t="str">
        <f t="shared" si="229"/>
        <v>False</v>
      </c>
      <c r="U385" s="1" t="str">
        <f t="shared" si="230"/>
        <v>True</v>
      </c>
      <c r="V385" s="1" t="str">
        <f t="shared" si="259"/>
        <v>U0024205</v>
      </c>
      <c r="W385" s="1">
        <v>1</v>
      </c>
      <c r="Y385" s="1">
        <v>0</v>
      </c>
      <c r="Z385" s="1">
        <v>0</v>
      </c>
      <c r="AD385" s="1" t="str">
        <f t="shared" si="260"/>
        <v>4520107</v>
      </c>
      <c r="AE385" s="1" t="str">
        <f t="shared" si="261"/>
        <v>DONG HUNG IND. JOINT COMPANY</v>
      </c>
      <c r="AG385" s="1">
        <v>0</v>
      </c>
      <c r="AH385" s="1">
        <v>0</v>
      </c>
      <c r="AI385" s="1" t="str">
        <f t="shared" si="262"/>
        <v>F06</v>
      </c>
      <c r="AJ385" s="1" t="str">
        <f t="shared" si="253"/>
        <v>MAN</v>
      </c>
      <c r="AK385" s="1" t="str">
        <f t="shared" si="232"/>
        <v>PA</v>
      </c>
      <c r="AP385" s="1" t="str">
        <f t="shared" si="233"/>
        <v>False</v>
      </c>
      <c r="AR385" s="1" t="str">
        <f t="shared" si="263"/>
        <v>GALAN</v>
      </c>
      <c r="AY385" s="1" t="str">
        <f t="shared" si="234"/>
        <v>PF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 t="str">
        <f t="shared" si="264"/>
        <v>LAN WASHED TEXTILE+ ECO LEATHE</v>
      </c>
      <c r="BF385" s="1" t="str">
        <f t="shared" si="235"/>
        <v>Bonis SpA</v>
      </c>
      <c r="BO385" s="1">
        <v>0</v>
      </c>
      <c r="BP385" s="1">
        <v>0</v>
      </c>
      <c r="BQ385" s="1">
        <v>0</v>
      </c>
    </row>
    <row r="386" spans="2:69" x14ac:dyDescent="0.25">
      <c r="B386" s="1">
        <v>1756</v>
      </c>
      <c r="C386" s="1" t="str">
        <f t="shared" si="254"/>
        <v>GALAN4105S7/TY1</v>
      </c>
      <c r="D386" s="1" t="str">
        <f>"ODA16N00240-039"</f>
        <v>ODA16N00240-039</v>
      </c>
      <c r="E386" s="1" t="str">
        <f t="shared" si="255"/>
        <v>A8 USPA</v>
      </c>
      <c r="F386" s="1" t="str">
        <f t="shared" ref="F386:F449" si="265">"BONIS SPA"</f>
        <v>BONIS SPA</v>
      </c>
      <c r="G386" s="1" t="str">
        <f t="shared" ref="G386:G449" si="266">"STOCK TERRA MP"</f>
        <v>STOCK TERRA MP</v>
      </c>
      <c r="H386" s="1" t="str">
        <f t="shared" si="256"/>
        <v>WHI</v>
      </c>
      <c r="J386" s="1">
        <v>1</v>
      </c>
      <c r="K386" s="1">
        <f t="shared" si="257"/>
        <v>8</v>
      </c>
      <c r="L386" s="1" t="str">
        <f t="shared" ref="L386:L449" si="267">"01"</f>
        <v>01</v>
      </c>
      <c r="M386" s="1" t="str">
        <f t="shared" si="247"/>
        <v>102</v>
      </c>
      <c r="N386" s="1" t="str">
        <f t="shared" si="258"/>
        <v>010</v>
      </c>
      <c r="O386" s="1" t="str">
        <f t="shared" ref="O386:O449" si="268">"00"</f>
        <v>00</v>
      </c>
      <c r="P386" s="1" t="str">
        <f t="shared" ref="P386:P449" si="269">"S"</f>
        <v>S</v>
      </c>
      <c r="Q386" s="1" t="str">
        <f t="shared" ref="Q386:Q449" si="270">"P"</f>
        <v>P</v>
      </c>
      <c r="R386" s="1" t="str">
        <f t="shared" ref="R386:R449" si="271">"01"</f>
        <v>01</v>
      </c>
      <c r="S386" s="1" t="str">
        <f t="shared" ref="S386:S449" si="272">"03"</f>
        <v>03</v>
      </c>
      <c r="T386" s="1" t="str">
        <f t="shared" ref="T386:T449" si="273">"False"</f>
        <v>False</v>
      </c>
      <c r="U386" s="1" t="str">
        <f t="shared" ref="U386:U449" si="274">"True"</f>
        <v>True</v>
      </c>
      <c r="V386" s="1" t="str">
        <f t="shared" si="259"/>
        <v>U0024205</v>
      </c>
      <c r="W386" s="1">
        <v>1</v>
      </c>
      <c r="Y386" s="1">
        <v>0</v>
      </c>
      <c r="Z386" s="1">
        <v>0</v>
      </c>
      <c r="AD386" s="1" t="str">
        <f t="shared" si="260"/>
        <v>4520107</v>
      </c>
      <c r="AE386" s="1" t="str">
        <f t="shared" si="261"/>
        <v>DONG HUNG IND. JOINT COMPANY</v>
      </c>
      <c r="AG386" s="1">
        <v>0</v>
      </c>
      <c r="AH386" s="1">
        <v>0</v>
      </c>
      <c r="AI386" s="1" t="str">
        <f t="shared" si="262"/>
        <v>F06</v>
      </c>
      <c r="AJ386" s="1" t="str">
        <f t="shared" si="253"/>
        <v>MAN</v>
      </c>
      <c r="AK386" s="1" t="str">
        <f t="shared" ref="AK386:AK449" si="275">"PA"</f>
        <v>PA</v>
      </c>
      <c r="AP386" s="1" t="str">
        <f t="shared" ref="AP386:AP449" si="276">"False"</f>
        <v>False</v>
      </c>
      <c r="AR386" s="1" t="str">
        <f t="shared" si="263"/>
        <v>GALAN</v>
      </c>
      <c r="AY386" s="1" t="str">
        <f t="shared" ref="AY386:AY449" si="277">"PF"</f>
        <v>PF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 t="str">
        <f t="shared" si="264"/>
        <v>LAN WASHED TEXTILE+ ECO LEATHE</v>
      </c>
      <c r="BF386" s="1" t="str">
        <f t="shared" ref="BF386:BF449" si="278">"Bonis SpA"</f>
        <v>Bonis SpA</v>
      </c>
      <c r="BO386" s="1">
        <v>0</v>
      </c>
      <c r="BP386" s="1">
        <v>0</v>
      </c>
      <c r="BQ386" s="1">
        <v>0</v>
      </c>
    </row>
    <row r="387" spans="2:69" x14ac:dyDescent="0.25">
      <c r="B387" s="1">
        <v>1756</v>
      </c>
      <c r="C387" s="1" t="str">
        <f t="shared" si="254"/>
        <v>GALAN4105S7/TY1</v>
      </c>
      <c r="D387" s="1" t="str">
        <f>"ODA16N00240-043"</f>
        <v>ODA16N00240-043</v>
      </c>
      <c r="E387" s="1" t="str">
        <f t="shared" si="255"/>
        <v>A8 USPA</v>
      </c>
      <c r="F387" s="1" t="str">
        <f t="shared" si="265"/>
        <v>BONIS SPA</v>
      </c>
      <c r="G387" s="1" t="str">
        <f t="shared" si="266"/>
        <v>STOCK TERRA MP</v>
      </c>
      <c r="H387" s="1" t="str">
        <f t="shared" si="256"/>
        <v>WHI</v>
      </c>
      <c r="J387" s="1">
        <v>1</v>
      </c>
      <c r="K387" s="1">
        <f t="shared" si="257"/>
        <v>8</v>
      </c>
      <c r="L387" s="1" t="str">
        <f t="shared" si="267"/>
        <v>01</v>
      </c>
      <c r="M387" s="1" t="str">
        <f t="shared" si="247"/>
        <v>102</v>
      </c>
      <c r="N387" s="1" t="str">
        <f t="shared" si="258"/>
        <v>010</v>
      </c>
      <c r="O387" s="1" t="str">
        <f t="shared" si="268"/>
        <v>00</v>
      </c>
      <c r="P387" s="1" t="str">
        <f t="shared" si="269"/>
        <v>S</v>
      </c>
      <c r="Q387" s="1" t="str">
        <f t="shared" si="270"/>
        <v>P</v>
      </c>
      <c r="R387" s="1" t="str">
        <f t="shared" si="271"/>
        <v>01</v>
      </c>
      <c r="S387" s="1" t="str">
        <f t="shared" si="272"/>
        <v>03</v>
      </c>
      <c r="T387" s="1" t="str">
        <f t="shared" si="273"/>
        <v>False</v>
      </c>
      <c r="U387" s="1" t="str">
        <f t="shared" si="274"/>
        <v>True</v>
      </c>
      <c r="V387" s="1" t="str">
        <f t="shared" si="259"/>
        <v>U0024205</v>
      </c>
      <c r="W387" s="1">
        <v>1</v>
      </c>
      <c r="Y387" s="1">
        <v>0</v>
      </c>
      <c r="Z387" s="1">
        <v>0</v>
      </c>
      <c r="AD387" s="1" t="str">
        <f t="shared" si="260"/>
        <v>4520107</v>
      </c>
      <c r="AE387" s="1" t="str">
        <f t="shared" si="261"/>
        <v>DONG HUNG IND. JOINT COMPANY</v>
      </c>
      <c r="AG387" s="1">
        <v>0</v>
      </c>
      <c r="AH387" s="1">
        <v>0</v>
      </c>
      <c r="AI387" s="1" t="str">
        <f t="shared" si="262"/>
        <v>F06</v>
      </c>
      <c r="AJ387" s="1" t="str">
        <f t="shared" si="253"/>
        <v>MAN</v>
      </c>
      <c r="AK387" s="1" t="str">
        <f t="shared" si="275"/>
        <v>PA</v>
      </c>
      <c r="AP387" s="1" t="str">
        <f t="shared" si="276"/>
        <v>False</v>
      </c>
      <c r="AR387" s="1" t="str">
        <f t="shared" si="263"/>
        <v>GALAN</v>
      </c>
      <c r="AY387" s="1" t="str">
        <f t="shared" si="277"/>
        <v>PF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 t="str">
        <f t="shared" si="264"/>
        <v>LAN WASHED TEXTILE+ ECO LEATHE</v>
      </c>
      <c r="BF387" s="1" t="str">
        <f t="shared" si="278"/>
        <v>Bonis SpA</v>
      </c>
      <c r="BO387" s="1">
        <v>0</v>
      </c>
      <c r="BP387" s="1">
        <v>0</v>
      </c>
      <c r="BQ387" s="1">
        <v>0</v>
      </c>
    </row>
    <row r="388" spans="2:69" x14ac:dyDescent="0.25">
      <c r="B388" s="1">
        <v>1756</v>
      </c>
      <c r="C388" s="1" t="str">
        <f t="shared" si="254"/>
        <v>GALAN4105S7/TY1</v>
      </c>
      <c r="D388" s="1" t="str">
        <f>"ODA16N00240-044"</f>
        <v>ODA16N00240-044</v>
      </c>
      <c r="E388" s="1" t="str">
        <f t="shared" si="255"/>
        <v>A8 USPA</v>
      </c>
      <c r="F388" s="1" t="str">
        <f t="shared" si="265"/>
        <v>BONIS SPA</v>
      </c>
      <c r="G388" s="1" t="str">
        <f t="shared" si="266"/>
        <v>STOCK TERRA MP</v>
      </c>
      <c r="H388" s="1" t="str">
        <f t="shared" si="256"/>
        <v>WHI</v>
      </c>
      <c r="J388" s="1">
        <v>1</v>
      </c>
      <c r="K388" s="1">
        <f t="shared" si="257"/>
        <v>8</v>
      </c>
      <c r="L388" s="1" t="str">
        <f t="shared" si="267"/>
        <v>01</v>
      </c>
      <c r="M388" s="1" t="str">
        <f t="shared" si="247"/>
        <v>102</v>
      </c>
      <c r="N388" s="1" t="str">
        <f t="shared" si="258"/>
        <v>010</v>
      </c>
      <c r="O388" s="1" t="str">
        <f t="shared" si="268"/>
        <v>00</v>
      </c>
      <c r="P388" s="1" t="str">
        <f t="shared" si="269"/>
        <v>S</v>
      </c>
      <c r="Q388" s="1" t="str">
        <f t="shared" si="270"/>
        <v>P</v>
      </c>
      <c r="R388" s="1" t="str">
        <f t="shared" si="271"/>
        <v>01</v>
      </c>
      <c r="S388" s="1" t="str">
        <f t="shared" si="272"/>
        <v>03</v>
      </c>
      <c r="T388" s="1" t="str">
        <f t="shared" si="273"/>
        <v>False</v>
      </c>
      <c r="U388" s="1" t="str">
        <f t="shared" si="274"/>
        <v>True</v>
      </c>
      <c r="V388" s="1" t="str">
        <f t="shared" si="259"/>
        <v>U0024205</v>
      </c>
      <c r="W388" s="1">
        <v>1</v>
      </c>
      <c r="Y388" s="1">
        <v>0</v>
      </c>
      <c r="Z388" s="1">
        <v>0</v>
      </c>
      <c r="AD388" s="1" t="str">
        <f t="shared" si="260"/>
        <v>4520107</v>
      </c>
      <c r="AE388" s="1" t="str">
        <f t="shared" si="261"/>
        <v>DONG HUNG IND. JOINT COMPANY</v>
      </c>
      <c r="AG388" s="1">
        <v>0</v>
      </c>
      <c r="AH388" s="1">
        <v>0</v>
      </c>
      <c r="AI388" s="1" t="str">
        <f t="shared" si="262"/>
        <v>F06</v>
      </c>
      <c r="AJ388" s="1" t="str">
        <f t="shared" si="253"/>
        <v>MAN</v>
      </c>
      <c r="AK388" s="1" t="str">
        <f t="shared" si="275"/>
        <v>PA</v>
      </c>
      <c r="AP388" s="1" t="str">
        <f t="shared" si="276"/>
        <v>False</v>
      </c>
      <c r="AR388" s="1" t="str">
        <f t="shared" si="263"/>
        <v>GALAN</v>
      </c>
      <c r="AY388" s="1" t="str">
        <f t="shared" si="277"/>
        <v>PF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 t="str">
        <f t="shared" si="264"/>
        <v>LAN WASHED TEXTILE+ ECO LEATHE</v>
      </c>
      <c r="BF388" s="1" t="str">
        <f t="shared" si="278"/>
        <v>Bonis SpA</v>
      </c>
      <c r="BO388" s="1">
        <v>0</v>
      </c>
      <c r="BP388" s="1">
        <v>0</v>
      </c>
      <c r="BQ388" s="1">
        <v>0</v>
      </c>
    </row>
    <row r="389" spans="2:69" x14ac:dyDescent="0.25">
      <c r="B389" s="1">
        <v>1756</v>
      </c>
      <c r="C389" s="1" t="str">
        <f t="shared" si="254"/>
        <v>GALAN4105S7/TY1</v>
      </c>
      <c r="D389" s="1" t="str">
        <f>"ODA16N00240-049"</f>
        <v>ODA16N00240-049</v>
      </c>
      <c r="E389" s="1" t="str">
        <f t="shared" si="255"/>
        <v>A8 USPA</v>
      </c>
      <c r="F389" s="1" t="str">
        <f t="shared" si="265"/>
        <v>BONIS SPA</v>
      </c>
      <c r="G389" s="1" t="str">
        <f t="shared" si="266"/>
        <v>STOCK TERRA MP</v>
      </c>
      <c r="H389" s="1" t="str">
        <f t="shared" si="256"/>
        <v>WHI</v>
      </c>
      <c r="J389" s="1">
        <v>1</v>
      </c>
      <c r="K389" s="1">
        <f t="shared" si="257"/>
        <v>8</v>
      </c>
      <c r="L389" s="1" t="str">
        <f t="shared" si="267"/>
        <v>01</v>
      </c>
      <c r="M389" s="1" t="str">
        <f t="shared" si="247"/>
        <v>102</v>
      </c>
      <c r="N389" s="1" t="str">
        <f t="shared" si="258"/>
        <v>010</v>
      </c>
      <c r="O389" s="1" t="str">
        <f t="shared" si="268"/>
        <v>00</v>
      </c>
      <c r="P389" s="1" t="str">
        <f t="shared" si="269"/>
        <v>S</v>
      </c>
      <c r="Q389" s="1" t="str">
        <f t="shared" si="270"/>
        <v>P</v>
      </c>
      <c r="R389" s="1" t="str">
        <f t="shared" si="271"/>
        <v>01</v>
      </c>
      <c r="S389" s="1" t="str">
        <f t="shared" si="272"/>
        <v>03</v>
      </c>
      <c r="T389" s="1" t="str">
        <f t="shared" si="273"/>
        <v>False</v>
      </c>
      <c r="U389" s="1" t="str">
        <f t="shared" si="274"/>
        <v>True</v>
      </c>
      <c r="V389" s="1" t="str">
        <f t="shared" si="259"/>
        <v>U0024205</v>
      </c>
      <c r="W389" s="1">
        <v>1</v>
      </c>
      <c r="Y389" s="1">
        <v>0</v>
      </c>
      <c r="Z389" s="1">
        <v>0</v>
      </c>
      <c r="AD389" s="1" t="str">
        <f t="shared" si="260"/>
        <v>4520107</v>
      </c>
      <c r="AE389" s="1" t="str">
        <f t="shared" si="261"/>
        <v>DONG HUNG IND. JOINT COMPANY</v>
      </c>
      <c r="AG389" s="1">
        <v>0</v>
      </c>
      <c r="AH389" s="1">
        <v>0</v>
      </c>
      <c r="AI389" s="1" t="str">
        <f t="shared" si="262"/>
        <v>F06</v>
      </c>
      <c r="AJ389" s="1" t="str">
        <f t="shared" si="253"/>
        <v>MAN</v>
      </c>
      <c r="AK389" s="1" t="str">
        <f t="shared" si="275"/>
        <v>PA</v>
      </c>
      <c r="AP389" s="1" t="str">
        <f t="shared" si="276"/>
        <v>False</v>
      </c>
      <c r="AR389" s="1" t="str">
        <f t="shared" si="263"/>
        <v>GALAN</v>
      </c>
      <c r="AY389" s="1" t="str">
        <f t="shared" si="277"/>
        <v>PF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 t="str">
        <f t="shared" si="264"/>
        <v>LAN WASHED TEXTILE+ ECO LEATHE</v>
      </c>
      <c r="BF389" s="1" t="str">
        <f t="shared" si="278"/>
        <v>Bonis SpA</v>
      </c>
      <c r="BO389" s="1">
        <v>0</v>
      </c>
      <c r="BP389" s="1">
        <v>0</v>
      </c>
      <c r="BQ389" s="1">
        <v>0</v>
      </c>
    </row>
    <row r="390" spans="2:69" x14ac:dyDescent="0.25">
      <c r="B390" s="1">
        <v>1756</v>
      </c>
      <c r="C390" s="1" t="str">
        <f t="shared" si="254"/>
        <v>GALAN4105S7/TY1</v>
      </c>
      <c r="D390" s="1" t="str">
        <f>"ODA16N00240-052"</f>
        <v>ODA16N00240-052</v>
      </c>
      <c r="E390" s="1" t="str">
        <f t="shared" si="255"/>
        <v>A8 USPA</v>
      </c>
      <c r="F390" s="1" t="str">
        <f t="shared" si="265"/>
        <v>BONIS SPA</v>
      </c>
      <c r="G390" s="1" t="str">
        <f t="shared" si="266"/>
        <v>STOCK TERRA MP</v>
      </c>
      <c r="H390" s="1" t="str">
        <f t="shared" si="256"/>
        <v>WHI</v>
      </c>
      <c r="J390" s="1">
        <v>1</v>
      </c>
      <c r="K390" s="1">
        <f t="shared" si="257"/>
        <v>8</v>
      </c>
      <c r="L390" s="1" t="str">
        <f t="shared" si="267"/>
        <v>01</v>
      </c>
      <c r="M390" s="1" t="str">
        <f t="shared" si="247"/>
        <v>102</v>
      </c>
      <c r="N390" s="1" t="str">
        <f t="shared" si="258"/>
        <v>010</v>
      </c>
      <c r="O390" s="1" t="str">
        <f t="shared" si="268"/>
        <v>00</v>
      </c>
      <c r="P390" s="1" t="str">
        <f t="shared" si="269"/>
        <v>S</v>
      </c>
      <c r="Q390" s="1" t="str">
        <f t="shared" si="270"/>
        <v>P</v>
      </c>
      <c r="R390" s="1" t="str">
        <f t="shared" si="271"/>
        <v>01</v>
      </c>
      <c r="S390" s="1" t="str">
        <f t="shared" si="272"/>
        <v>03</v>
      </c>
      <c r="T390" s="1" t="str">
        <f t="shared" si="273"/>
        <v>False</v>
      </c>
      <c r="U390" s="1" t="str">
        <f t="shared" si="274"/>
        <v>True</v>
      </c>
      <c r="V390" s="1" t="str">
        <f t="shared" si="259"/>
        <v>U0024205</v>
      </c>
      <c r="W390" s="1">
        <v>1</v>
      </c>
      <c r="Y390" s="1">
        <v>0</v>
      </c>
      <c r="Z390" s="1">
        <v>0</v>
      </c>
      <c r="AD390" s="1" t="str">
        <f t="shared" si="260"/>
        <v>4520107</v>
      </c>
      <c r="AE390" s="1" t="str">
        <f t="shared" si="261"/>
        <v>DONG HUNG IND. JOINT COMPANY</v>
      </c>
      <c r="AG390" s="1">
        <v>0</v>
      </c>
      <c r="AH390" s="1">
        <v>0</v>
      </c>
      <c r="AI390" s="1" t="str">
        <f t="shared" si="262"/>
        <v>F06</v>
      </c>
      <c r="AJ390" s="1" t="str">
        <f t="shared" si="253"/>
        <v>MAN</v>
      </c>
      <c r="AK390" s="1" t="str">
        <f t="shared" si="275"/>
        <v>PA</v>
      </c>
      <c r="AP390" s="1" t="str">
        <f t="shared" si="276"/>
        <v>False</v>
      </c>
      <c r="AR390" s="1" t="str">
        <f t="shared" si="263"/>
        <v>GALAN</v>
      </c>
      <c r="AY390" s="1" t="str">
        <f t="shared" si="277"/>
        <v>PF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 t="str">
        <f t="shared" si="264"/>
        <v>LAN WASHED TEXTILE+ ECO LEATHE</v>
      </c>
      <c r="BF390" s="1" t="str">
        <f t="shared" si="278"/>
        <v>Bonis SpA</v>
      </c>
      <c r="BO390" s="1">
        <v>0</v>
      </c>
      <c r="BP390" s="1">
        <v>0</v>
      </c>
      <c r="BQ390" s="1">
        <v>0</v>
      </c>
    </row>
    <row r="391" spans="2:69" x14ac:dyDescent="0.25">
      <c r="B391" s="1">
        <v>1747</v>
      </c>
      <c r="C391" s="1" t="str">
        <f>"GALAN4107S7/TY1"</f>
        <v>GALAN4107S7/TY1</v>
      </c>
      <c r="D391" s="1" t="str">
        <f>"ODA16N00240-1040"</f>
        <v>ODA16N00240-1040</v>
      </c>
      <c r="E391" s="1" t="str">
        <f t="shared" ref="E391:E398" si="279">"C12 USPA"</f>
        <v>C12 USPA</v>
      </c>
      <c r="F391" s="1" t="str">
        <f t="shared" si="265"/>
        <v>BONIS SPA</v>
      </c>
      <c r="G391" s="1" t="str">
        <f t="shared" si="266"/>
        <v>STOCK TERRA MP</v>
      </c>
      <c r="H391" s="1" t="str">
        <f>"DKBL"</f>
        <v>DKBL</v>
      </c>
      <c r="J391" s="1">
        <v>1</v>
      </c>
      <c r="K391" s="1">
        <f t="shared" ref="K391:K401" si="280">12*J391</f>
        <v>12</v>
      </c>
      <c r="L391" s="1" t="str">
        <f t="shared" si="267"/>
        <v>01</v>
      </c>
      <c r="M391" s="1" t="str">
        <f t="shared" si="247"/>
        <v>102</v>
      </c>
      <c r="N391" s="1" t="str">
        <f t="shared" ref="N391:N398" si="281">"001"</f>
        <v>001</v>
      </c>
      <c r="O391" s="1" t="str">
        <f t="shared" si="268"/>
        <v>00</v>
      </c>
      <c r="P391" s="1" t="str">
        <f t="shared" si="269"/>
        <v>S</v>
      </c>
      <c r="Q391" s="1" t="str">
        <f t="shared" si="270"/>
        <v>P</v>
      </c>
      <c r="R391" s="1" t="str">
        <f t="shared" si="271"/>
        <v>01</v>
      </c>
      <c r="S391" s="1" t="str">
        <f t="shared" si="272"/>
        <v>03</v>
      </c>
      <c r="T391" s="1" t="str">
        <f t="shared" si="273"/>
        <v>False</v>
      </c>
      <c r="U391" s="1" t="str">
        <f t="shared" si="274"/>
        <v>True</v>
      </c>
      <c r="V391" s="1" t="str">
        <f t="shared" ref="V391:V398" si="282">"U0024439"</f>
        <v>U0024439</v>
      </c>
      <c r="W391" s="1">
        <v>1</v>
      </c>
      <c r="Y391" s="1">
        <v>0</v>
      </c>
      <c r="Z391" s="1">
        <v>0</v>
      </c>
      <c r="AD391" s="1" t="str">
        <f t="shared" si="260"/>
        <v>4520107</v>
      </c>
      <c r="AE391" s="1" t="str">
        <f t="shared" si="261"/>
        <v>DONG HUNG IND. JOINT COMPANY</v>
      </c>
      <c r="AG391" s="1">
        <v>0</v>
      </c>
      <c r="AH391" s="1">
        <v>0</v>
      </c>
      <c r="AI391" s="1" t="str">
        <f t="shared" si="262"/>
        <v>F06</v>
      </c>
      <c r="AJ391" s="1" t="str">
        <f t="shared" si="253"/>
        <v>MAN</v>
      </c>
      <c r="AK391" s="1" t="str">
        <f t="shared" si="275"/>
        <v>PA</v>
      </c>
      <c r="AP391" s="1" t="str">
        <f t="shared" si="276"/>
        <v>False</v>
      </c>
      <c r="AR391" s="1" t="str">
        <f t="shared" si="263"/>
        <v>GALAN</v>
      </c>
      <c r="AY391" s="1" t="str">
        <f t="shared" si="277"/>
        <v>PF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 t="str">
        <f t="shared" si="264"/>
        <v>LAN WASHED TEXTILE+ ECO LEATHE</v>
      </c>
      <c r="BF391" s="1" t="str">
        <f t="shared" si="278"/>
        <v>Bonis SpA</v>
      </c>
      <c r="BO391" s="1">
        <v>0</v>
      </c>
      <c r="BP391" s="1">
        <v>0</v>
      </c>
      <c r="BQ391" s="1">
        <v>0</v>
      </c>
    </row>
    <row r="392" spans="2:69" x14ac:dyDescent="0.25">
      <c r="B392" s="1">
        <v>1747</v>
      </c>
      <c r="C392" s="1" t="str">
        <f>"GALAN4108S7/TY1"</f>
        <v>GALAN4108S7/TY1</v>
      </c>
      <c r="D392" s="1" t="str">
        <f>"ODA16N00240-1355"</f>
        <v>ODA16N00240-1355</v>
      </c>
      <c r="E392" s="1" t="str">
        <f t="shared" si="279"/>
        <v>C12 USPA</v>
      </c>
      <c r="F392" s="1" t="str">
        <f t="shared" si="265"/>
        <v>BONIS SPA</v>
      </c>
      <c r="G392" s="1" t="str">
        <f t="shared" si="266"/>
        <v>STOCK TERRA MP</v>
      </c>
      <c r="H392" s="1" t="str">
        <f>"NAVY"</f>
        <v>NAVY</v>
      </c>
      <c r="J392" s="1">
        <v>1</v>
      </c>
      <c r="K392" s="1">
        <f t="shared" si="280"/>
        <v>12</v>
      </c>
      <c r="L392" s="1" t="str">
        <f t="shared" si="267"/>
        <v>01</v>
      </c>
      <c r="M392" s="1" t="str">
        <f t="shared" si="247"/>
        <v>102</v>
      </c>
      <c r="N392" s="1" t="str">
        <f t="shared" si="281"/>
        <v>001</v>
      </c>
      <c r="O392" s="1" t="str">
        <f t="shared" si="268"/>
        <v>00</v>
      </c>
      <c r="P392" s="1" t="str">
        <f t="shared" si="269"/>
        <v>S</v>
      </c>
      <c r="Q392" s="1" t="str">
        <f t="shared" si="270"/>
        <v>P</v>
      </c>
      <c r="R392" s="1" t="str">
        <f t="shared" si="271"/>
        <v>01</v>
      </c>
      <c r="S392" s="1" t="str">
        <f t="shared" si="272"/>
        <v>03</v>
      </c>
      <c r="T392" s="1" t="str">
        <f t="shared" si="273"/>
        <v>False</v>
      </c>
      <c r="U392" s="1" t="str">
        <f t="shared" si="274"/>
        <v>True</v>
      </c>
      <c r="V392" s="1" t="str">
        <f t="shared" si="282"/>
        <v>U0024439</v>
      </c>
      <c r="W392" s="1">
        <v>1</v>
      </c>
      <c r="Y392" s="1">
        <v>0</v>
      </c>
      <c r="Z392" s="1">
        <v>0</v>
      </c>
      <c r="AD392" s="1" t="str">
        <f t="shared" si="260"/>
        <v>4520107</v>
      </c>
      <c r="AE392" s="1" t="str">
        <f t="shared" si="261"/>
        <v>DONG HUNG IND. JOINT COMPANY</v>
      </c>
      <c r="AG392" s="1">
        <v>0</v>
      </c>
      <c r="AH392" s="1">
        <v>0</v>
      </c>
      <c r="AI392" s="1" t="str">
        <f t="shared" si="262"/>
        <v>F06</v>
      </c>
      <c r="AJ392" s="1" t="str">
        <f t="shared" si="253"/>
        <v>MAN</v>
      </c>
      <c r="AK392" s="1" t="str">
        <f t="shared" si="275"/>
        <v>PA</v>
      </c>
      <c r="AP392" s="1" t="str">
        <f t="shared" si="276"/>
        <v>False</v>
      </c>
      <c r="AR392" s="1" t="str">
        <f t="shared" si="263"/>
        <v>GALAN</v>
      </c>
      <c r="AY392" s="1" t="str">
        <f t="shared" si="277"/>
        <v>PF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 t="str">
        <f>"LAN TEXTILE+ ECO LEATHE"</f>
        <v>LAN TEXTILE+ ECO LEATHE</v>
      </c>
      <c r="BF392" s="1" t="str">
        <f t="shared" si="278"/>
        <v>Bonis SpA</v>
      </c>
      <c r="BO392" s="1">
        <v>0</v>
      </c>
      <c r="BP392" s="1">
        <v>0</v>
      </c>
      <c r="BQ392" s="1">
        <v>0</v>
      </c>
    </row>
    <row r="393" spans="2:69" x14ac:dyDescent="0.25">
      <c r="B393" s="1">
        <v>1747</v>
      </c>
      <c r="C393" s="1" t="str">
        <f>"GALAN4108S7/TY1"</f>
        <v>GALAN4108S7/TY1</v>
      </c>
      <c r="D393" s="1" t="str">
        <f>"ODA16N00240-1367"</f>
        <v>ODA16N00240-1367</v>
      </c>
      <c r="E393" s="1" t="str">
        <f t="shared" si="279"/>
        <v>C12 USPA</v>
      </c>
      <c r="F393" s="1" t="str">
        <f t="shared" si="265"/>
        <v>BONIS SPA</v>
      </c>
      <c r="G393" s="1" t="str">
        <f t="shared" si="266"/>
        <v>STOCK TERRA MP</v>
      </c>
      <c r="H393" s="1" t="str">
        <f>"NAVY"</f>
        <v>NAVY</v>
      </c>
      <c r="J393" s="1">
        <v>1</v>
      </c>
      <c r="K393" s="1">
        <f t="shared" si="280"/>
        <v>12</v>
      </c>
      <c r="L393" s="1" t="str">
        <f t="shared" si="267"/>
        <v>01</v>
      </c>
      <c r="M393" s="1" t="str">
        <f t="shared" si="247"/>
        <v>102</v>
      </c>
      <c r="N393" s="1" t="str">
        <f t="shared" si="281"/>
        <v>001</v>
      </c>
      <c r="O393" s="1" t="str">
        <f t="shared" si="268"/>
        <v>00</v>
      </c>
      <c r="P393" s="1" t="str">
        <f t="shared" si="269"/>
        <v>S</v>
      </c>
      <c r="Q393" s="1" t="str">
        <f t="shared" si="270"/>
        <v>P</v>
      </c>
      <c r="R393" s="1" t="str">
        <f t="shared" si="271"/>
        <v>01</v>
      </c>
      <c r="S393" s="1" t="str">
        <f t="shared" si="272"/>
        <v>03</v>
      </c>
      <c r="T393" s="1" t="str">
        <f t="shared" si="273"/>
        <v>False</v>
      </c>
      <c r="U393" s="1" t="str">
        <f t="shared" si="274"/>
        <v>True</v>
      </c>
      <c r="V393" s="1" t="str">
        <f t="shared" si="282"/>
        <v>U0024439</v>
      </c>
      <c r="W393" s="1">
        <v>1</v>
      </c>
      <c r="Y393" s="1">
        <v>0</v>
      </c>
      <c r="Z393" s="1">
        <v>0</v>
      </c>
      <c r="AD393" s="1" t="str">
        <f t="shared" si="260"/>
        <v>4520107</v>
      </c>
      <c r="AE393" s="1" t="str">
        <f t="shared" si="261"/>
        <v>DONG HUNG IND. JOINT COMPANY</v>
      </c>
      <c r="AG393" s="1">
        <v>0</v>
      </c>
      <c r="AH393" s="1">
        <v>0</v>
      </c>
      <c r="AI393" s="1" t="str">
        <f t="shared" si="262"/>
        <v>F06</v>
      </c>
      <c r="AJ393" s="1" t="str">
        <f t="shared" si="253"/>
        <v>MAN</v>
      </c>
      <c r="AK393" s="1" t="str">
        <f t="shared" si="275"/>
        <v>PA</v>
      </c>
      <c r="AP393" s="1" t="str">
        <f t="shared" si="276"/>
        <v>False</v>
      </c>
      <c r="AR393" s="1" t="str">
        <f t="shared" si="263"/>
        <v>GALAN</v>
      </c>
      <c r="AY393" s="1" t="str">
        <f t="shared" si="277"/>
        <v>PF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 t="str">
        <f>"LAN TEXTILE+ ECO LEATHE"</f>
        <v>LAN TEXTILE+ ECO LEATHE</v>
      </c>
      <c r="BF393" s="1" t="str">
        <f t="shared" si="278"/>
        <v>Bonis SpA</v>
      </c>
      <c r="BO393" s="1">
        <v>0</v>
      </c>
      <c r="BP393" s="1">
        <v>0</v>
      </c>
      <c r="BQ393" s="1">
        <v>0</v>
      </c>
    </row>
    <row r="394" spans="2:69" x14ac:dyDescent="0.25">
      <c r="B394" s="1">
        <v>1747</v>
      </c>
      <c r="C394" s="1" t="str">
        <f>"GALAN4108S7/TY1"</f>
        <v>GALAN4108S7/TY1</v>
      </c>
      <c r="D394" s="1" t="str">
        <f>"ODA16N00240-1397"</f>
        <v>ODA16N00240-1397</v>
      </c>
      <c r="E394" s="1" t="str">
        <f t="shared" si="279"/>
        <v>C12 USPA</v>
      </c>
      <c r="F394" s="1" t="str">
        <f t="shared" si="265"/>
        <v>BONIS SPA</v>
      </c>
      <c r="G394" s="1" t="str">
        <f t="shared" si="266"/>
        <v>STOCK TERRA MP</v>
      </c>
      <c r="H394" s="1" t="str">
        <f>"NAVY"</f>
        <v>NAVY</v>
      </c>
      <c r="J394" s="1">
        <v>1</v>
      </c>
      <c r="K394" s="1">
        <f t="shared" si="280"/>
        <v>12</v>
      </c>
      <c r="L394" s="1" t="str">
        <f t="shared" si="267"/>
        <v>01</v>
      </c>
      <c r="M394" s="1" t="str">
        <f t="shared" si="247"/>
        <v>102</v>
      </c>
      <c r="N394" s="1" t="str">
        <f t="shared" si="281"/>
        <v>001</v>
      </c>
      <c r="O394" s="1" t="str">
        <f t="shared" si="268"/>
        <v>00</v>
      </c>
      <c r="P394" s="1" t="str">
        <f t="shared" si="269"/>
        <v>S</v>
      </c>
      <c r="Q394" s="1" t="str">
        <f t="shared" si="270"/>
        <v>P</v>
      </c>
      <c r="R394" s="1" t="str">
        <f t="shared" si="271"/>
        <v>01</v>
      </c>
      <c r="S394" s="1" t="str">
        <f t="shared" si="272"/>
        <v>03</v>
      </c>
      <c r="T394" s="1" t="str">
        <f t="shared" si="273"/>
        <v>False</v>
      </c>
      <c r="U394" s="1" t="str">
        <f t="shared" si="274"/>
        <v>True</v>
      </c>
      <c r="V394" s="1" t="str">
        <f t="shared" si="282"/>
        <v>U0024439</v>
      </c>
      <c r="W394" s="1">
        <v>1</v>
      </c>
      <c r="Y394" s="1">
        <v>0</v>
      </c>
      <c r="Z394" s="1">
        <v>0</v>
      </c>
      <c r="AD394" s="1" t="str">
        <f t="shared" si="260"/>
        <v>4520107</v>
      </c>
      <c r="AE394" s="1" t="str">
        <f t="shared" si="261"/>
        <v>DONG HUNG IND. JOINT COMPANY</v>
      </c>
      <c r="AG394" s="1">
        <v>0</v>
      </c>
      <c r="AH394" s="1">
        <v>0</v>
      </c>
      <c r="AI394" s="1" t="str">
        <f t="shared" si="262"/>
        <v>F06</v>
      </c>
      <c r="AJ394" s="1" t="str">
        <f t="shared" si="253"/>
        <v>MAN</v>
      </c>
      <c r="AK394" s="1" t="str">
        <f t="shared" si="275"/>
        <v>PA</v>
      </c>
      <c r="AP394" s="1" t="str">
        <f t="shared" si="276"/>
        <v>False</v>
      </c>
      <c r="AR394" s="1" t="str">
        <f t="shared" si="263"/>
        <v>GALAN</v>
      </c>
      <c r="AY394" s="1" t="str">
        <f t="shared" si="277"/>
        <v>PF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 t="str">
        <f>"LAN TEXTILE+ ECO LEATHE"</f>
        <v>LAN TEXTILE+ ECO LEATHE</v>
      </c>
      <c r="BF394" s="1" t="str">
        <f t="shared" si="278"/>
        <v>Bonis SpA</v>
      </c>
      <c r="BO394" s="1">
        <v>0</v>
      </c>
      <c r="BP394" s="1">
        <v>0</v>
      </c>
      <c r="BQ394" s="1">
        <v>0</v>
      </c>
    </row>
    <row r="395" spans="2:69" x14ac:dyDescent="0.25">
      <c r="B395" s="1">
        <v>1747</v>
      </c>
      <c r="C395" s="1" t="str">
        <f>"GALAN4108S7/TY1"</f>
        <v>GALAN4108S7/TY1</v>
      </c>
      <c r="D395" s="1" t="str">
        <f>"ODA16N00240-1406"</f>
        <v>ODA16N00240-1406</v>
      </c>
      <c r="E395" s="1" t="str">
        <f t="shared" si="279"/>
        <v>C12 USPA</v>
      </c>
      <c r="F395" s="1" t="str">
        <f t="shared" si="265"/>
        <v>BONIS SPA</v>
      </c>
      <c r="G395" s="1" t="str">
        <f t="shared" si="266"/>
        <v>STOCK TERRA MP</v>
      </c>
      <c r="H395" s="1" t="str">
        <f>"NAVY"</f>
        <v>NAVY</v>
      </c>
      <c r="J395" s="1">
        <v>1</v>
      </c>
      <c r="K395" s="1">
        <f t="shared" si="280"/>
        <v>12</v>
      </c>
      <c r="L395" s="1" t="str">
        <f t="shared" si="267"/>
        <v>01</v>
      </c>
      <c r="M395" s="1" t="str">
        <f t="shared" si="247"/>
        <v>102</v>
      </c>
      <c r="N395" s="1" t="str">
        <f t="shared" si="281"/>
        <v>001</v>
      </c>
      <c r="O395" s="1" t="str">
        <f t="shared" si="268"/>
        <v>00</v>
      </c>
      <c r="P395" s="1" t="str">
        <f t="shared" si="269"/>
        <v>S</v>
      </c>
      <c r="Q395" s="1" t="str">
        <f t="shared" si="270"/>
        <v>P</v>
      </c>
      <c r="R395" s="1" t="str">
        <f t="shared" si="271"/>
        <v>01</v>
      </c>
      <c r="S395" s="1" t="str">
        <f t="shared" si="272"/>
        <v>03</v>
      </c>
      <c r="T395" s="1" t="str">
        <f t="shared" si="273"/>
        <v>False</v>
      </c>
      <c r="U395" s="1" t="str">
        <f t="shared" si="274"/>
        <v>True</v>
      </c>
      <c r="V395" s="1" t="str">
        <f t="shared" si="282"/>
        <v>U0024439</v>
      </c>
      <c r="W395" s="1">
        <v>1</v>
      </c>
      <c r="Y395" s="1">
        <v>0</v>
      </c>
      <c r="Z395" s="1">
        <v>0</v>
      </c>
      <c r="AD395" s="1" t="str">
        <f t="shared" si="260"/>
        <v>4520107</v>
      </c>
      <c r="AE395" s="1" t="str">
        <f t="shared" si="261"/>
        <v>DONG HUNG IND. JOINT COMPANY</v>
      </c>
      <c r="AG395" s="1">
        <v>0</v>
      </c>
      <c r="AH395" s="1">
        <v>0</v>
      </c>
      <c r="AI395" s="1" t="str">
        <f t="shared" si="262"/>
        <v>F06</v>
      </c>
      <c r="AJ395" s="1" t="str">
        <f t="shared" si="253"/>
        <v>MAN</v>
      </c>
      <c r="AK395" s="1" t="str">
        <f t="shared" si="275"/>
        <v>PA</v>
      </c>
      <c r="AP395" s="1" t="str">
        <f t="shared" si="276"/>
        <v>False</v>
      </c>
      <c r="AR395" s="1" t="str">
        <f t="shared" si="263"/>
        <v>GALAN</v>
      </c>
      <c r="AY395" s="1" t="str">
        <f t="shared" si="277"/>
        <v>PF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 t="str">
        <f>"LAN TEXTILE+ ECO LEATHE"</f>
        <v>LAN TEXTILE+ ECO LEATHE</v>
      </c>
      <c r="BF395" s="1" t="str">
        <f t="shared" si="278"/>
        <v>Bonis SpA</v>
      </c>
      <c r="BO395" s="1">
        <v>0</v>
      </c>
      <c r="BP395" s="1">
        <v>0</v>
      </c>
      <c r="BQ395" s="1">
        <v>0</v>
      </c>
    </row>
    <row r="396" spans="2:69" x14ac:dyDescent="0.25">
      <c r="B396" s="1">
        <v>1747</v>
      </c>
      <c r="C396" s="1" t="str">
        <f>"GALAN4108S7/TY1"</f>
        <v>GALAN4108S7/TY1</v>
      </c>
      <c r="D396" s="1" t="str">
        <f>"ODA16N00240-1415"</f>
        <v>ODA16N00240-1415</v>
      </c>
      <c r="E396" s="1" t="str">
        <f t="shared" si="279"/>
        <v>C12 USPA</v>
      </c>
      <c r="F396" s="1" t="str">
        <f t="shared" si="265"/>
        <v>BONIS SPA</v>
      </c>
      <c r="G396" s="1" t="str">
        <f t="shared" si="266"/>
        <v>STOCK TERRA MP</v>
      </c>
      <c r="H396" s="1" t="str">
        <f>"NAVY"</f>
        <v>NAVY</v>
      </c>
      <c r="J396" s="1">
        <v>1</v>
      </c>
      <c r="K396" s="1">
        <f t="shared" si="280"/>
        <v>12</v>
      </c>
      <c r="L396" s="1" t="str">
        <f t="shared" si="267"/>
        <v>01</v>
      </c>
      <c r="M396" s="1" t="str">
        <f t="shared" si="247"/>
        <v>102</v>
      </c>
      <c r="N396" s="1" t="str">
        <f t="shared" si="281"/>
        <v>001</v>
      </c>
      <c r="O396" s="1" t="str">
        <f t="shared" si="268"/>
        <v>00</v>
      </c>
      <c r="P396" s="1" t="str">
        <f t="shared" si="269"/>
        <v>S</v>
      </c>
      <c r="Q396" s="1" t="str">
        <f t="shared" si="270"/>
        <v>P</v>
      </c>
      <c r="R396" s="1" t="str">
        <f t="shared" si="271"/>
        <v>01</v>
      </c>
      <c r="S396" s="1" t="str">
        <f t="shared" si="272"/>
        <v>03</v>
      </c>
      <c r="T396" s="1" t="str">
        <f t="shared" si="273"/>
        <v>False</v>
      </c>
      <c r="U396" s="1" t="str">
        <f t="shared" si="274"/>
        <v>True</v>
      </c>
      <c r="V396" s="1" t="str">
        <f t="shared" si="282"/>
        <v>U0024439</v>
      </c>
      <c r="W396" s="1">
        <v>1</v>
      </c>
      <c r="Y396" s="1">
        <v>0</v>
      </c>
      <c r="Z396" s="1">
        <v>0</v>
      </c>
      <c r="AD396" s="1" t="str">
        <f t="shared" si="260"/>
        <v>4520107</v>
      </c>
      <c r="AE396" s="1" t="str">
        <f t="shared" si="261"/>
        <v>DONG HUNG IND. JOINT COMPANY</v>
      </c>
      <c r="AG396" s="1">
        <v>0</v>
      </c>
      <c r="AH396" s="1">
        <v>0</v>
      </c>
      <c r="AI396" s="1" t="str">
        <f t="shared" si="262"/>
        <v>F06</v>
      </c>
      <c r="AJ396" s="1" t="str">
        <f t="shared" si="253"/>
        <v>MAN</v>
      </c>
      <c r="AK396" s="1" t="str">
        <f t="shared" si="275"/>
        <v>PA</v>
      </c>
      <c r="AP396" s="1" t="str">
        <f t="shared" si="276"/>
        <v>False</v>
      </c>
      <c r="AR396" s="1" t="str">
        <f t="shared" si="263"/>
        <v>GALAN</v>
      </c>
      <c r="AY396" s="1" t="str">
        <f t="shared" si="277"/>
        <v>PF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 t="str">
        <f>"LAN TEXTILE+ ECO LEATHE"</f>
        <v>LAN TEXTILE+ ECO LEATHE</v>
      </c>
      <c r="BF396" s="1" t="str">
        <f t="shared" si="278"/>
        <v>Bonis SpA</v>
      </c>
      <c r="BO396" s="1">
        <v>0</v>
      </c>
      <c r="BP396" s="1">
        <v>0</v>
      </c>
      <c r="BQ396" s="1">
        <v>0</v>
      </c>
    </row>
    <row r="397" spans="2:69" x14ac:dyDescent="0.25">
      <c r="B397" s="1">
        <v>1747</v>
      </c>
      <c r="C397" s="1" t="str">
        <f>"GALAN4106S7/YT1"</f>
        <v>GALAN4106S7/YT1</v>
      </c>
      <c r="D397" s="1" t="str">
        <f>"ODA16N00240-450"</f>
        <v>ODA16N00240-450</v>
      </c>
      <c r="E397" s="1" t="str">
        <f t="shared" si="279"/>
        <v>C12 USPA</v>
      </c>
      <c r="F397" s="1" t="str">
        <f t="shared" si="265"/>
        <v>BONIS SPA</v>
      </c>
      <c r="G397" s="1" t="str">
        <f t="shared" si="266"/>
        <v>STOCK TERRA MP</v>
      </c>
      <c r="H397" s="1" t="str">
        <f>"BLK"</f>
        <v>BLK</v>
      </c>
      <c r="J397" s="1">
        <v>1</v>
      </c>
      <c r="K397" s="1">
        <f t="shared" si="280"/>
        <v>12</v>
      </c>
      <c r="L397" s="1" t="str">
        <f t="shared" si="267"/>
        <v>01</v>
      </c>
      <c r="M397" s="1" t="str">
        <f t="shared" si="247"/>
        <v>102</v>
      </c>
      <c r="N397" s="1" t="str">
        <f t="shared" si="281"/>
        <v>001</v>
      </c>
      <c r="O397" s="1" t="str">
        <f t="shared" si="268"/>
        <v>00</v>
      </c>
      <c r="P397" s="1" t="str">
        <f t="shared" si="269"/>
        <v>S</v>
      </c>
      <c r="Q397" s="1" t="str">
        <f t="shared" si="270"/>
        <v>P</v>
      </c>
      <c r="R397" s="1" t="str">
        <f t="shared" si="271"/>
        <v>01</v>
      </c>
      <c r="S397" s="1" t="str">
        <f t="shared" si="272"/>
        <v>03</v>
      </c>
      <c r="T397" s="1" t="str">
        <f t="shared" si="273"/>
        <v>False</v>
      </c>
      <c r="U397" s="1" t="str">
        <f t="shared" si="274"/>
        <v>True</v>
      </c>
      <c r="V397" s="1" t="str">
        <f t="shared" si="282"/>
        <v>U0024439</v>
      </c>
      <c r="W397" s="1">
        <v>1</v>
      </c>
      <c r="Y397" s="1">
        <v>0</v>
      </c>
      <c r="Z397" s="1">
        <v>0</v>
      </c>
      <c r="AD397" s="1" t="str">
        <f t="shared" si="260"/>
        <v>4520107</v>
      </c>
      <c r="AE397" s="1" t="str">
        <f t="shared" si="261"/>
        <v>DONG HUNG IND. JOINT COMPANY</v>
      </c>
      <c r="AG397" s="1">
        <v>0</v>
      </c>
      <c r="AH397" s="1">
        <v>0</v>
      </c>
      <c r="AI397" s="1" t="str">
        <f t="shared" si="262"/>
        <v>F06</v>
      </c>
      <c r="AJ397" s="1" t="str">
        <f t="shared" si="253"/>
        <v>MAN</v>
      </c>
      <c r="AK397" s="1" t="str">
        <f t="shared" si="275"/>
        <v>PA</v>
      </c>
      <c r="AP397" s="1" t="str">
        <f t="shared" si="276"/>
        <v>False</v>
      </c>
      <c r="AR397" s="1" t="str">
        <f t="shared" si="263"/>
        <v>GALAN</v>
      </c>
      <c r="AY397" s="1" t="str">
        <f t="shared" si="277"/>
        <v>PF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 t="str">
        <f>"LAN ECO LEATHER+TEXTILE"</f>
        <v>LAN ECO LEATHER+TEXTILE</v>
      </c>
      <c r="BF397" s="1" t="str">
        <f t="shared" si="278"/>
        <v>Bonis SpA</v>
      </c>
      <c r="BO397" s="1">
        <v>0</v>
      </c>
      <c r="BP397" s="1">
        <v>0</v>
      </c>
      <c r="BQ397" s="1">
        <v>0</v>
      </c>
    </row>
    <row r="398" spans="2:69" x14ac:dyDescent="0.25">
      <c r="B398" s="1">
        <v>1747</v>
      </c>
      <c r="C398" s="1" t="str">
        <f>"GALAN4106S7/YT1"</f>
        <v>GALAN4106S7/YT1</v>
      </c>
      <c r="D398" s="1" t="str">
        <f>"ODA16N00240-472"</f>
        <v>ODA16N00240-472</v>
      </c>
      <c r="E398" s="1" t="str">
        <f t="shared" si="279"/>
        <v>C12 USPA</v>
      </c>
      <c r="F398" s="1" t="str">
        <f t="shared" si="265"/>
        <v>BONIS SPA</v>
      </c>
      <c r="G398" s="1" t="str">
        <f t="shared" si="266"/>
        <v>STOCK TERRA MP</v>
      </c>
      <c r="H398" s="1" t="str">
        <f>"BLK"</f>
        <v>BLK</v>
      </c>
      <c r="J398" s="1">
        <v>1</v>
      </c>
      <c r="K398" s="1">
        <f t="shared" si="280"/>
        <v>12</v>
      </c>
      <c r="L398" s="1" t="str">
        <f t="shared" si="267"/>
        <v>01</v>
      </c>
      <c r="M398" s="1" t="str">
        <f t="shared" si="247"/>
        <v>102</v>
      </c>
      <c r="N398" s="1" t="str">
        <f t="shared" si="281"/>
        <v>001</v>
      </c>
      <c r="O398" s="1" t="str">
        <f t="shared" si="268"/>
        <v>00</v>
      </c>
      <c r="P398" s="1" t="str">
        <f t="shared" si="269"/>
        <v>S</v>
      </c>
      <c r="Q398" s="1" t="str">
        <f t="shared" si="270"/>
        <v>P</v>
      </c>
      <c r="R398" s="1" t="str">
        <f t="shared" si="271"/>
        <v>01</v>
      </c>
      <c r="S398" s="1" t="str">
        <f t="shared" si="272"/>
        <v>03</v>
      </c>
      <c r="T398" s="1" t="str">
        <f t="shared" si="273"/>
        <v>False</v>
      </c>
      <c r="U398" s="1" t="str">
        <f t="shared" si="274"/>
        <v>True</v>
      </c>
      <c r="V398" s="1" t="str">
        <f t="shared" si="282"/>
        <v>U0024439</v>
      </c>
      <c r="W398" s="1">
        <v>1</v>
      </c>
      <c r="Y398" s="1">
        <v>0</v>
      </c>
      <c r="Z398" s="1">
        <v>0</v>
      </c>
      <c r="AD398" s="1" t="str">
        <f t="shared" si="260"/>
        <v>4520107</v>
      </c>
      <c r="AE398" s="1" t="str">
        <f t="shared" si="261"/>
        <v>DONG HUNG IND. JOINT COMPANY</v>
      </c>
      <c r="AG398" s="1">
        <v>0</v>
      </c>
      <c r="AH398" s="1">
        <v>0</v>
      </c>
      <c r="AI398" s="1" t="str">
        <f t="shared" si="262"/>
        <v>F06</v>
      </c>
      <c r="AJ398" s="1" t="str">
        <f t="shared" si="253"/>
        <v>MAN</v>
      </c>
      <c r="AK398" s="1" t="str">
        <f t="shared" si="275"/>
        <v>PA</v>
      </c>
      <c r="AP398" s="1" t="str">
        <f t="shared" si="276"/>
        <v>False</v>
      </c>
      <c r="AR398" s="1" t="str">
        <f t="shared" si="263"/>
        <v>GALAN</v>
      </c>
      <c r="AY398" s="1" t="str">
        <f t="shared" si="277"/>
        <v>PF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 t="str">
        <f>"LAN ECO LEATHER+TEXTILE"</f>
        <v>LAN ECO LEATHER+TEXTILE</v>
      </c>
      <c r="BF398" s="1" t="str">
        <f t="shared" si="278"/>
        <v>Bonis SpA</v>
      </c>
      <c r="BO398" s="1">
        <v>0</v>
      </c>
      <c r="BP398" s="1">
        <v>0</v>
      </c>
      <c r="BQ398" s="1">
        <v>0</v>
      </c>
    </row>
    <row r="399" spans="2:69" x14ac:dyDescent="0.25">
      <c r="B399" s="1">
        <v>1748</v>
      </c>
      <c r="C399" s="1" t="str">
        <f>"GALAD4120S7/CY1"</f>
        <v>GALAD4120S7/CY1</v>
      </c>
      <c r="D399" s="1" t="str">
        <f>"ODA16N00241-133"</f>
        <v>ODA16N00241-133</v>
      </c>
      <c r="E399" s="1" t="str">
        <f>"R12 USPA"</f>
        <v>R12 USPA</v>
      </c>
      <c r="F399" s="1" t="str">
        <f t="shared" si="265"/>
        <v>BONIS SPA</v>
      </c>
      <c r="G399" s="1" t="str">
        <f t="shared" si="266"/>
        <v>STOCK TERRA MP</v>
      </c>
      <c r="H399" s="1" t="str">
        <f>"BEI"</f>
        <v>BEI</v>
      </c>
      <c r="J399" s="1">
        <v>1</v>
      </c>
      <c r="K399" s="1">
        <f t="shared" si="280"/>
        <v>12</v>
      </c>
      <c r="L399" s="1" t="str">
        <f t="shared" si="267"/>
        <v>01</v>
      </c>
      <c r="M399" s="1" t="str">
        <f t="shared" si="247"/>
        <v>102</v>
      </c>
      <c r="N399" s="1" t="str">
        <f>"002"</f>
        <v>002</v>
      </c>
      <c r="O399" s="1" t="str">
        <f t="shared" si="268"/>
        <v>00</v>
      </c>
      <c r="P399" s="1" t="str">
        <f t="shared" si="269"/>
        <v>S</v>
      </c>
      <c r="Q399" s="1" t="str">
        <f t="shared" si="270"/>
        <v>P</v>
      </c>
      <c r="R399" s="1" t="str">
        <f t="shared" si="271"/>
        <v>01</v>
      </c>
      <c r="S399" s="1" t="str">
        <f t="shared" si="272"/>
        <v>03</v>
      </c>
      <c r="T399" s="1" t="str">
        <f t="shared" si="273"/>
        <v>False</v>
      </c>
      <c r="U399" s="1" t="str">
        <f t="shared" si="274"/>
        <v>True</v>
      </c>
      <c r="V399" s="1" t="str">
        <f>"U0026769"</f>
        <v>U0026769</v>
      </c>
      <c r="W399" s="1">
        <v>1</v>
      </c>
      <c r="Y399" s="1">
        <v>0</v>
      </c>
      <c r="Z399" s="1">
        <v>0</v>
      </c>
      <c r="AD399" s="1" t="str">
        <f t="shared" si="260"/>
        <v>4520107</v>
      </c>
      <c r="AE399" s="1" t="str">
        <f t="shared" si="261"/>
        <v>DONG HUNG IND. JOINT COMPANY</v>
      </c>
      <c r="AG399" s="1">
        <v>0</v>
      </c>
      <c r="AH399" s="1">
        <v>0</v>
      </c>
      <c r="AI399" s="1" t="str">
        <f t="shared" si="262"/>
        <v>F06</v>
      </c>
      <c r="AJ399" s="1" t="str">
        <f t="shared" ref="AJ399:AJ405" si="283">"WOMAN"</f>
        <v>WOMAN</v>
      </c>
      <c r="AK399" s="1" t="str">
        <f t="shared" si="275"/>
        <v>PA</v>
      </c>
      <c r="AP399" s="1" t="str">
        <f t="shared" si="276"/>
        <v>False</v>
      </c>
      <c r="AR399" s="1" t="str">
        <f t="shared" ref="AR399:AR404" si="284">"GALAD"</f>
        <v>GALAD</v>
      </c>
      <c r="AY399" s="1" t="str">
        <f t="shared" si="277"/>
        <v>PF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 t="str">
        <f>"D GOMMA TEXTILE+SYNTHETIC LEAT"</f>
        <v>D GOMMA TEXTILE+SYNTHETIC LEAT</v>
      </c>
      <c r="BF399" s="1" t="str">
        <f t="shared" si="278"/>
        <v>Bonis SpA</v>
      </c>
      <c r="BO399" s="1">
        <v>0</v>
      </c>
      <c r="BP399" s="1">
        <v>0</v>
      </c>
      <c r="BQ399" s="1">
        <v>0</v>
      </c>
    </row>
    <row r="400" spans="2:69" x14ac:dyDescent="0.25">
      <c r="B400" s="1">
        <v>1751</v>
      </c>
      <c r="C400" s="1" t="str">
        <f>"GALAD4120S7/SY1"</f>
        <v>GALAD4120S7/SY1</v>
      </c>
      <c r="D400" s="1" t="str">
        <f>"ODA16N00241-343"</f>
        <v>ODA16N00241-343</v>
      </c>
      <c r="E400" s="1" t="str">
        <f>"R12 USPA"</f>
        <v>R12 USPA</v>
      </c>
      <c r="F400" s="1" t="str">
        <f t="shared" si="265"/>
        <v>BONIS SPA</v>
      </c>
      <c r="G400" s="1" t="str">
        <f t="shared" si="266"/>
        <v>STOCK TERRA MP</v>
      </c>
      <c r="H400" s="1" t="str">
        <f>"LIBL"</f>
        <v>LIBL</v>
      </c>
      <c r="J400" s="1">
        <v>1</v>
      </c>
      <c r="K400" s="1">
        <f t="shared" si="280"/>
        <v>12</v>
      </c>
      <c r="L400" s="1" t="str">
        <f t="shared" si="267"/>
        <v>01</v>
      </c>
      <c r="M400" s="1" t="str">
        <f t="shared" si="247"/>
        <v>102</v>
      </c>
      <c r="N400" s="1" t="str">
        <f>"005"</f>
        <v>005</v>
      </c>
      <c r="O400" s="1" t="str">
        <f t="shared" si="268"/>
        <v>00</v>
      </c>
      <c r="P400" s="1" t="str">
        <f t="shared" si="269"/>
        <v>S</v>
      </c>
      <c r="Q400" s="1" t="str">
        <f t="shared" si="270"/>
        <v>P</v>
      </c>
      <c r="R400" s="1" t="str">
        <f t="shared" si="271"/>
        <v>01</v>
      </c>
      <c r="S400" s="1" t="str">
        <f t="shared" si="272"/>
        <v>03</v>
      </c>
      <c r="T400" s="1" t="str">
        <f t="shared" si="273"/>
        <v>False</v>
      </c>
      <c r="U400" s="1" t="str">
        <f t="shared" si="274"/>
        <v>True</v>
      </c>
      <c r="V400" s="1" t="str">
        <f>"U0024305"</f>
        <v>U0024305</v>
      </c>
      <c r="W400" s="1">
        <v>1</v>
      </c>
      <c r="Y400" s="1">
        <v>0</v>
      </c>
      <c r="Z400" s="1">
        <v>0</v>
      </c>
      <c r="AD400" s="1" t="str">
        <f t="shared" si="260"/>
        <v>4520107</v>
      </c>
      <c r="AE400" s="1" t="str">
        <f t="shared" si="261"/>
        <v>DONG HUNG IND. JOINT COMPANY</v>
      </c>
      <c r="AG400" s="1">
        <v>0</v>
      </c>
      <c r="AH400" s="1">
        <v>0</v>
      </c>
      <c r="AI400" s="1" t="str">
        <f t="shared" si="262"/>
        <v>F06</v>
      </c>
      <c r="AJ400" s="1" t="str">
        <f t="shared" si="283"/>
        <v>WOMAN</v>
      </c>
      <c r="AK400" s="1" t="str">
        <f t="shared" si="275"/>
        <v>PA</v>
      </c>
      <c r="AP400" s="1" t="str">
        <f t="shared" si="276"/>
        <v>False</v>
      </c>
      <c r="AR400" s="1" t="str">
        <f t="shared" si="284"/>
        <v>GALAD</v>
      </c>
      <c r="AY400" s="1" t="str">
        <f t="shared" si="277"/>
        <v>PF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 t="str">
        <f>"D GOMMA SUEDE+SYNTHETIC LEAT"</f>
        <v>D GOMMA SUEDE+SYNTHETIC LEAT</v>
      </c>
      <c r="BF400" s="1" t="str">
        <f t="shared" si="278"/>
        <v>Bonis SpA</v>
      </c>
      <c r="BO400" s="1">
        <v>0</v>
      </c>
      <c r="BP400" s="1">
        <v>0</v>
      </c>
      <c r="BQ400" s="1">
        <v>0</v>
      </c>
    </row>
    <row r="401" spans="2:69" x14ac:dyDescent="0.25">
      <c r="B401" s="1">
        <v>1751</v>
      </c>
      <c r="C401" s="1" t="str">
        <f>"GALAD4120S7/SY1"</f>
        <v>GALAD4120S7/SY1</v>
      </c>
      <c r="D401" s="1" t="str">
        <f>"ODA16N00241-346"</f>
        <v>ODA16N00241-346</v>
      </c>
      <c r="E401" s="1" t="str">
        <f>"R12 USPA"</f>
        <v>R12 USPA</v>
      </c>
      <c r="F401" s="1" t="str">
        <f t="shared" si="265"/>
        <v>BONIS SPA</v>
      </c>
      <c r="G401" s="1" t="str">
        <f t="shared" si="266"/>
        <v>STOCK TERRA MP</v>
      </c>
      <c r="H401" s="1" t="str">
        <f>"LIBL"</f>
        <v>LIBL</v>
      </c>
      <c r="J401" s="1">
        <v>1</v>
      </c>
      <c r="K401" s="1">
        <f t="shared" si="280"/>
        <v>12</v>
      </c>
      <c r="L401" s="1" t="str">
        <f t="shared" si="267"/>
        <v>01</v>
      </c>
      <c r="M401" s="1" t="str">
        <f t="shared" si="247"/>
        <v>102</v>
      </c>
      <c r="N401" s="1" t="str">
        <f>"005"</f>
        <v>005</v>
      </c>
      <c r="O401" s="1" t="str">
        <f t="shared" si="268"/>
        <v>00</v>
      </c>
      <c r="P401" s="1" t="str">
        <f t="shared" si="269"/>
        <v>S</v>
      </c>
      <c r="Q401" s="1" t="str">
        <f t="shared" si="270"/>
        <v>P</v>
      </c>
      <c r="R401" s="1" t="str">
        <f t="shared" si="271"/>
        <v>01</v>
      </c>
      <c r="S401" s="1" t="str">
        <f t="shared" si="272"/>
        <v>03</v>
      </c>
      <c r="T401" s="1" t="str">
        <f t="shared" si="273"/>
        <v>False</v>
      </c>
      <c r="U401" s="1" t="str">
        <f t="shared" si="274"/>
        <v>True</v>
      </c>
      <c r="V401" s="1" t="str">
        <f>"U0024305"</f>
        <v>U0024305</v>
      </c>
      <c r="W401" s="1">
        <v>1</v>
      </c>
      <c r="Y401" s="1">
        <v>0</v>
      </c>
      <c r="Z401" s="1">
        <v>0</v>
      </c>
      <c r="AD401" s="1" t="str">
        <f t="shared" si="260"/>
        <v>4520107</v>
      </c>
      <c r="AE401" s="1" t="str">
        <f t="shared" si="261"/>
        <v>DONG HUNG IND. JOINT COMPANY</v>
      </c>
      <c r="AG401" s="1">
        <v>0</v>
      </c>
      <c r="AH401" s="1">
        <v>0</v>
      </c>
      <c r="AI401" s="1" t="str">
        <f t="shared" si="262"/>
        <v>F06</v>
      </c>
      <c r="AJ401" s="1" t="str">
        <f t="shared" si="283"/>
        <v>WOMAN</v>
      </c>
      <c r="AK401" s="1" t="str">
        <f t="shared" si="275"/>
        <v>PA</v>
      </c>
      <c r="AP401" s="1" t="str">
        <f t="shared" si="276"/>
        <v>False</v>
      </c>
      <c r="AR401" s="1" t="str">
        <f t="shared" si="284"/>
        <v>GALAD</v>
      </c>
      <c r="AY401" s="1" t="str">
        <f t="shared" si="277"/>
        <v>PF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 t="str">
        <f>"D GOMMA SUEDE+SYNTHETIC LEAT"</f>
        <v>D GOMMA SUEDE+SYNTHETIC LEAT</v>
      </c>
      <c r="BF401" s="1" t="str">
        <f t="shared" si="278"/>
        <v>Bonis SpA</v>
      </c>
      <c r="BO401" s="1">
        <v>0</v>
      </c>
      <c r="BP401" s="1">
        <v>0</v>
      </c>
      <c r="BQ401" s="1">
        <v>0</v>
      </c>
    </row>
    <row r="402" spans="2:69" x14ac:dyDescent="0.25">
      <c r="B402" s="1">
        <v>1751</v>
      </c>
      <c r="C402" s="1" t="str">
        <f>"GALAD4122S7/SY1"</f>
        <v>GALAD4122S7/SY1</v>
      </c>
      <c r="D402" s="1" t="str">
        <f>"ODA16N00241-619"</f>
        <v>ODA16N00241-619</v>
      </c>
      <c r="E402" s="1" t="str">
        <f>"K8 USPA"</f>
        <v>K8 USPA</v>
      </c>
      <c r="F402" s="1" t="str">
        <f t="shared" si="265"/>
        <v>BONIS SPA</v>
      </c>
      <c r="G402" s="1" t="str">
        <f t="shared" si="266"/>
        <v>STOCK TERRA MP</v>
      </c>
      <c r="H402" s="1" t="str">
        <f>"LIBL"</f>
        <v>LIBL</v>
      </c>
      <c r="J402" s="1">
        <v>1</v>
      </c>
      <c r="K402" s="1">
        <f t="shared" ref="K402:K405" si="285">8*J402</f>
        <v>8</v>
      </c>
      <c r="L402" s="1" t="str">
        <f t="shared" si="267"/>
        <v>01</v>
      </c>
      <c r="M402" s="1" t="str">
        <f t="shared" si="247"/>
        <v>102</v>
      </c>
      <c r="N402" s="1" t="str">
        <f>"005"</f>
        <v>005</v>
      </c>
      <c r="O402" s="1" t="str">
        <f t="shared" si="268"/>
        <v>00</v>
      </c>
      <c r="P402" s="1" t="str">
        <f t="shared" si="269"/>
        <v>S</v>
      </c>
      <c r="Q402" s="1" t="str">
        <f t="shared" si="270"/>
        <v>P</v>
      </c>
      <c r="R402" s="1" t="str">
        <f t="shared" si="271"/>
        <v>01</v>
      </c>
      <c r="S402" s="1" t="str">
        <f t="shared" si="272"/>
        <v>03</v>
      </c>
      <c r="T402" s="1" t="str">
        <f t="shared" si="273"/>
        <v>False</v>
      </c>
      <c r="U402" s="1" t="str">
        <f t="shared" si="274"/>
        <v>True</v>
      </c>
      <c r="V402" s="1" t="str">
        <f>"U0024305"</f>
        <v>U0024305</v>
      </c>
      <c r="W402" s="1">
        <v>1</v>
      </c>
      <c r="Y402" s="1">
        <v>0</v>
      </c>
      <c r="Z402" s="1">
        <v>0</v>
      </c>
      <c r="AD402" s="1" t="str">
        <f t="shared" si="260"/>
        <v>4520107</v>
      </c>
      <c r="AE402" s="1" t="str">
        <f t="shared" si="261"/>
        <v>DONG HUNG IND. JOINT COMPANY</v>
      </c>
      <c r="AG402" s="1">
        <v>0</v>
      </c>
      <c r="AH402" s="1">
        <v>0</v>
      </c>
      <c r="AI402" s="1" t="str">
        <f t="shared" si="262"/>
        <v>F06</v>
      </c>
      <c r="AJ402" s="1" t="str">
        <f t="shared" si="283"/>
        <v>WOMAN</v>
      </c>
      <c r="AK402" s="1" t="str">
        <f t="shared" si="275"/>
        <v>PA</v>
      </c>
      <c r="AP402" s="1" t="str">
        <f t="shared" si="276"/>
        <v>False</v>
      </c>
      <c r="AR402" s="1" t="str">
        <f t="shared" si="284"/>
        <v>GALAD</v>
      </c>
      <c r="AY402" s="1" t="str">
        <f t="shared" si="277"/>
        <v>PF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 t="str">
        <f>"D GOMMA SUEDE+SYNTHETIC LEAT"</f>
        <v>D GOMMA SUEDE+SYNTHETIC LEAT</v>
      </c>
      <c r="BF402" s="1" t="str">
        <f t="shared" si="278"/>
        <v>Bonis SpA</v>
      </c>
      <c r="BO402" s="1">
        <v>0</v>
      </c>
      <c r="BP402" s="1">
        <v>0</v>
      </c>
      <c r="BQ402" s="1">
        <v>0</v>
      </c>
    </row>
    <row r="403" spans="2:69" x14ac:dyDescent="0.25">
      <c r="B403" s="1">
        <v>1751</v>
      </c>
      <c r="C403" s="1" t="str">
        <f>"GALAD4122S7/SY1"</f>
        <v>GALAD4122S7/SY1</v>
      </c>
      <c r="D403" s="1" t="str">
        <f>"ODA16N00241-624"</f>
        <v>ODA16N00241-624</v>
      </c>
      <c r="E403" s="1" t="str">
        <f>"K8 USPA"</f>
        <v>K8 USPA</v>
      </c>
      <c r="F403" s="1" t="str">
        <f t="shared" si="265"/>
        <v>BONIS SPA</v>
      </c>
      <c r="G403" s="1" t="str">
        <f t="shared" si="266"/>
        <v>STOCK TERRA MP</v>
      </c>
      <c r="H403" s="1" t="str">
        <f>"LIBL"</f>
        <v>LIBL</v>
      </c>
      <c r="J403" s="1">
        <v>1</v>
      </c>
      <c r="K403" s="1">
        <f t="shared" si="285"/>
        <v>8</v>
      </c>
      <c r="L403" s="1" t="str">
        <f t="shared" si="267"/>
        <v>01</v>
      </c>
      <c r="M403" s="1" t="str">
        <f t="shared" si="247"/>
        <v>102</v>
      </c>
      <c r="N403" s="1" t="str">
        <f>"005"</f>
        <v>005</v>
      </c>
      <c r="O403" s="1" t="str">
        <f t="shared" si="268"/>
        <v>00</v>
      </c>
      <c r="P403" s="1" t="str">
        <f t="shared" si="269"/>
        <v>S</v>
      </c>
      <c r="Q403" s="1" t="str">
        <f t="shared" si="270"/>
        <v>P</v>
      </c>
      <c r="R403" s="1" t="str">
        <f t="shared" si="271"/>
        <v>01</v>
      </c>
      <c r="S403" s="1" t="str">
        <f t="shared" si="272"/>
        <v>03</v>
      </c>
      <c r="T403" s="1" t="str">
        <f t="shared" si="273"/>
        <v>False</v>
      </c>
      <c r="U403" s="1" t="str">
        <f t="shared" si="274"/>
        <v>True</v>
      </c>
      <c r="V403" s="1" t="str">
        <f>"U0024305"</f>
        <v>U0024305</v>
      </c>
      <c r="W403" s="1">
        <v>1</v>
      </c>
      <c r="Y403" s="1">
        <v>0</v>
      </c>
      <c r="Z403" s="1">
        <v>0</v>
      </c>
      <c r="AD403" s="1" t="str">
        <f t="shared" si="260"/>
        <v>4520107</v>
      </c>
      <c r="AE403" s="1" t="str">
        <f t="shared" si="261"/>
        <v>DONG HUNG IND. JOINT COMPANY</v>
      </c>
      <c r="AG403" s="1">
        <v>0</v>
      </c>
      <c r="AH403" s="1">
        <v>0</v>
      </c>
      <c r="AI403" s="1" t="str">
        <f t="shared" si="262"/>
        <v>F06</v>
      </c>
      <c r="AJ403" s="1" t="str">
        <f t="shared" si="283"/>
        <v>WOMAN</v>
      </c>
      <c r="AK403" s="1" t="str">
        <f t="shared" si="275"/>
        <v>PA</v>
      </c>
      <c r="AP403" s="1" t="str">
        <f t="shared" si="276"/>
        <v>False</v>
      </c>
      <c r="AR403" s="1" t="str">
        <f t="shared" si="284"/>
        <v>GALAD</v>
      </c>
      <c r="AY403" s="1" t="str">
        <f t="shared" si="277"/>
        <v>PF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 t="str">
        <f>"D GOMMA SUEDE+SYNTHETIC LEAT"</f>
        <v>D GOMMA SUEDE+SYNTHETIC LEAT</v>
      </c>
      <c r="BF403" s="1" t="str">
        <f t="shared" si="278"/>
        <v>Bonis SpA</v>
      </c>
      <c r="BO403" s="1">
        <v>0</v>
      </c>
      <c r="BP403" s="1">
        <v>0</v>
      </c>
      <c r="BQ403" s="1">
        <v>0</v>
      </c>
    </row>
    <row r="404" spans="2:69" x14ac:dyDescent="0.25">
      <c r="B404" s="1">
        <v>1751</v>
      </c>
      <c r="C404" s="1" t="str">
        <f>"GALAD4122S7/SY1"</f>
        <v>GALAD4122S7/SY1</v>
      </c>
      <c r="D404" s="1" t="str">
        <f>"ODA16N00241-629"</f>
        <v>ODA16N00241-629</v>
      </c>
      <c r="E404" s="1" t="str">
        <f>"K8 USPA"</f>
        <v>K8 USPA</v>
      </c>
      <c r="F404" s="1" t="str">
        <f t="shared" si="265"/>
        <v>BONIS SPA</v>
      </c>
      <c r="G404" s="1" t="str">
        <f t="shared" si="266"/>
        <v>STOCK TERRA MP</v>
      </c>
      <c r="H404" s="1" t="str">
        <f>"LIBL"</f>
        <v>LIBL</v>
      </c>
      <c r="J404" s="1">
        <v>1</v>
      </c>
      <c r="K404" s="1">
        <f t="shared" si="285"/>
        <v>8</v>
      </c>
      <c r="L404" s="1" t="str">
        <f t="shared" si="267"/>
        <v>01</v>
      </c>
      <c r="M404" s="1" t="str">
        <f t="shared" si="247"/>
        <v>102</v>
      </c>
      <c r="N404" s="1" t="str">
        <f>"005"</f>
        <v>005</v>
      </c>
      <c r="O404" s="1" t="str">
        <f t="shared" si="268"/>
        <v>00</v>
      </c>
      <c r="P404" s="1" t="str">
        <f t="shared" si="269"/>
        <v>S</v>
      </c>
      <c r="Q404" s="1" t="str">
        <f t="shared" si="270"/>
        <v>P</v>
      </c>
      <c r="R404" s="1" t="str">
        <f t="shared" si="271"/>
        <v>01</v>
      </c>
      <c r="S404" s="1" t="str">
        <f t="shared" si="272"/>
        <v>03</v>
      </c>
      <c r="T404" s="1" t="str">
        <f t="shared" si="273"/>
        <v>False</v>
      </c>
      <c r="U404" s="1" t="str">
        <f t="shared" si="274"/>
        <v>True</v>
      </c>
      <c r="V404" s="1" t="str">
        <f>"U0024305"</f>
        <v>U0024305</v>
      </c>
      <c r="W404" s="1">
        <v>1</v>
      </c>
      <c r="Y404" s="1">
        <v>0</v>
      </c>
      <c r="Z404" s="1">
        <v>0</v>
      </c>
      <c r="AD404" s="1" t="str">
        <f t="shared" si="260"/>
        <v>4520107</v>
      </c>
      <c r="AE404" s="1" t="str">
        <f t="shared" si="261"/>
        <v>DONG HUNG IND. JOINT COMPANY</v>
      </c>
      <c r="AG404" s="1">
        <v>0</v>
      </c>
      <c r="AH404" s="1">
        <v>0</v>
      </c>
      <c r="AI404" s="1" t="str">
        <f t="shared" si="262"/>
        <v>F06</v>
      </c>
      <c r="AJ404" s="1" t="str">
        <f t="shared" si="283"/>
        <v>WOMAN</v>
      </c>
      <c r="AK404" s="1" t="str">
        <f t="shared" si="275"/>
        <v>PA</v>
      </c>
      <c r="AP404" s="1" t="str">
        <f t="shared" si="276"/>
        <v>False</v>
      </c>
      <c r="AR404" s="1" t="str">
        <f t="shared" si="284"/>
        <v>GALAD</v>
      </c>
      <c r="AY404" s="1" t="str">
        <f t="shared" si="277"/>
        <v>PF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 t="str">
        <f>"D GOMMA SUEDE+SYNTHETIC LEAT"</f>
        <v>D GOMMA SUEDE+SYNTHETIC LEAT</v>
      </c>
      <c r="BF404" s="1" t="str">
        <f t="shared" si="278"/>
        <v>Bonis SpA</v>
      </c>
      <c r="BO404" s="1">
        <v>0</v>
      </c>
      <c r="BP404" s="1">
        <v>0</v>
      </c>
      <c r="BQ404" s="1">
        <v>0</v>
      </c>
    </row>
    <row r="405" spans="2:69" x14ac:dyDescent="0.25">
      <c r="B405" s="1">
        <v>1754</v>
      </c>
      <c r="C405" s="1" t="str">
        <f>"TRIXY4155S7/YL1"</f>
        <v>TRIXY4155S7/YL1</v>
      </c>
      <c r="D405" s="1" t="str">
        <f>"ODA16N00242-561"</f>
        <v>ODA16N00242-561</v>
      </c>
      <c r="E405" s="1" t="str">
        <f>"K8 USPA"</f>
        <v>K8 USPA</v>
      </c>
      <c r="F405" s="1" t="str">
        <f t="shared" si="265"/>
        <v>BONIS SPA</v>
      </c>
      <c r="G405" s="1" t="str">
        <f t="shared" si="266"/>
        <v>STOCK TERRA MP</v>
      </c>
      <c r="H405" s="1" t="str">
        <f>"BLK"</f>
        <v>BLK</v>
      </c>
      <c r="J405" s="1">
        <v>1</v>
      </c>
      <c r="K405" s="1">
        <f t="shared" si="285"/>
        <v>8</v>
      </c>
      <c r="L405" s="1" t="str">
        <f t="shared" si="267"/>
        <v>01</v>
      </c>
      <c r="M405" s="1" t="str">
        <f t="shared" si="247"/>
        <v>102</v>
      </c>
      <c r="N405" s="1" t="str">
        <f>"008"</f>
        <v>008</v>
      </c>
      <c r="O405" s="1" t="str">
        <f t="shared" si="268"/>
        <v>00</v>
      </c>
      <c r="P405" s="1" t="str">
        <f t="shared" si="269"/>
        <v>S</v>
      </c>
      <c r="Q405" s="1" t="str">
        <f t="shared" si="270"/>
        <v>P</v>
      </c>
      <c r="R405" s="1" t="str">
        <f t="shared" si="271"/>
        <v>01</v>
      </c>
      <c r="S405" s="1" t="str">
        <f t="shared" si="272"/>
        <v>03</v>
      </c>
      <c r="T405" s="1" t="str">
        <f t="shared" si="273"/>
        <v>False</v>
      </c>
      <c r="U405" s="1" t="str">
        <f t="shared" si="274"/>
        <v>True</v>
      </c>
      <c r="V405" s="1" t="str">
        <f>"U0023791"</f>
        <v>U0023791</v>
      </c>
      <c r="W405" s="1">
        <v>1</v>
      </c>
      <c r="Y405" s="1">
        <v>0</v>
      </c>
      <c r="Z405" s="1">
        <v>0</v>
      </c>
      <c r="AD405" s="1" t="str">
        <f t="shared" si="260"/>
        <v>4520107</v>
      </c>
      <c r="AE405" s="1" t="str">
        <f t="shared" si="261"/>
        <v>DONG HUNG IND. JOINT COMPANY</v>
      </c>
      <c r="AG405" s="1">
        <v>0</v>
      </c>
      <c r="AH405" s="1">
        <v>0</v>
      </c>
      <c r="AI405" s="1" t="str">
        <f t="shared" si="262"/>
        <v>F06</v>
      </c>
      <c r="AJ405" s="1" t="str">
        <f t="shared" si="283"/>
        <v>WOMAN</v>
      </c>
      <c r="AK405" s="1" t="str">
        <f t="shared" si="275"/>
        <v>PA</v>
      </c>
      <c r="AP405" s="1" t="str">
        <f t="shared" si="276"/>
        <v>False</v>
      </c>
      <c r="AR405" s="1" t="str">
        <f>"TRIXY"</f>
        <v>TRIXY</v>
      </c>
      <c r="AY405" s="1" t="str">
        <f t="shared" si="277"/>
        <v>PF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 t="str">
        <f>"Y GOMMA SYNTHETIC WOVEN LEATHE"</f>
        <v>Y GOMMA SYNTHETIC WOVEN LEATHE</v>
      </c>
      <c r="BF405" s="1" t="str">
        <f t="shared" si="278"/>
        <v>Bonis SpA</v>
      </c>
      <c r="BO405" s="1">
        <v>0</v>
      </c>
      <c r="BP405" s="1">
        <v>0</v>
      </c>
      <c r="BQ405" s="1">
        <v>0</v>
      </c>
    </row>
    <row r="406" spans="2:69" x14ac:dyDescent="0.25">
      <c r="B406" s="1">
        <v>1754</v>
      </c>
      <c r="C406" s="1" t="str">
        <f>"TABRY4145S7/MY1"</f>
        <v>TABRY4145S7/MY1</v>
      </c>
      <c r="D406" s="1" t="str">
        <f>"ODA16N00250-015"</f>
        <v>ODA16N00250-015</v>
      </c>
      <c r="E406" s="1" t="str">
        <f>"C12 USPA"</f>
        <v>C12 USPA</v>
      </c>
      <c r="F406" s="1" t="str">
        <f t="shared" si="265"/>
        <v>BONIS SPA</v>
      </c>
      <c r="G406" s="1" t="str">
        <f t="shared" si="266"/>
        <v>STOCK TERRA MP</v>
      </c>
      <c r="H406" s="1" t="str">
        <f>"WHI"</f>
        <v>WHI</v>
      </c>
      <c r="J406" s="1">
        <v>1</v>
      </c>
      <c r="K406" s="1">
        <f t="shared" ref="K406:K407" si="286">12*J406</f>
        <v>12</v>
      </c>
      <c r="L406" s="1" t="str">
        <f t="shared" si="267"/>
        <v>01</v>
      </c>
      <c r="M406" s="1" t="str">
        <f t="shared" si="247"/>
        <v>102</v>
      </c>
      <c r="N406" s="1" t="str">
        <f>"008"</f>
        <v>008</v>
      </c>
      <c r="O406" s="1" t="str">
        <f t="shared" si="268"/>
        <v>00</v>
      </c>
      <c r="P406" s="1" t="str">
        <f t="shared" si="269"/>
        <v>S</v>
      </c>
      <c r="Q406" s="1" t="str">
        <f t="shared" si="270"/>
        <v>P</v>
      </c>
      <c r="R406" s="1" t="str">
        <f t="shared" si="271"/>
        <v>01</v>
      </c>
      <c r="S406" s="1" t="str">
        <f t="shared" si="272"/>
        <v>03</v>
      </c>
      <c r="T406" s="1" t="str">
        <f t="shared" si="273"/>
        <v>False</v>
      </c>
      <c r="U406" s="1" t="str">
        <f t="shared" si="274"/>
        <v>True</v>
      </c>
      <c r="V406" s="1" t="str">
        <f>"U0023791"</f>
        <v>U0023791</v>
      </c>
      <c r="W406" s="1">
        <v>1</v>
      </c>
      <c r="Y406" s="1">
        <v>0</v>
      </c>
      <c r="Z406" s="1">
        <v>0</v>
      </c>
      <c r="AD406" s="1" t="str">
        <f>"4520243"</f>
        <v>4520243</v>
      </c>
      <c r="AE406" s="1" t="str">
        <f>"XIAMEN UNIBEST IMP. EXP. CO."</f>
        <v>XIAMEN UNIBEST IMP. EXP. CO.</v>
      </c>
      <c r="AG406" s="1">
        <v>0</v>
      </c>
      <c r="AH406" s="1">
        <v>0</v>
      </c>
      <c r="AI406" s="1" t="str">
        <f t="shared" si="262"/>
        <v>F06</v>
      </c>
      <c r="AJ406" s="1" t="str">
        <f t="shared" ref="AJ406:AJ424" si="287">"MAN"</f>
        <v>MAN</v>
      </c>
      <c r="AK406" s="1" t="str">
        <f t="shared" si="275"/>
        <v>PA</v>
      </c>
      <c r="AP406" s="1" t="str">
        <f t="shared" si="276"/>
        <v>False</v>
      </c>
      <c r="AR406" s="1" t="str">
        <f>"TABRY"</f>
        <v>TABRY</v>
      </c>
      <c r="AY406" s="1" t="str">
        <f t="shared" si="277"/>
        <v>PF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 t="str">
        <f>"GOMMA-EVA MESH+PU+REAL SUEDE"</f>
        <v>GOMMA-EVA MESH+PU+REAL SUEDE</v>
      </c>
      <c r="BF406" s="1" t="str">
        <f t="shared" si="278"/>
        <v>Bonis SpA</v>
      </c>
      <c r="BO406" s="1">
        <v>0</v>
      </c>
      <c r="BP406" s="1">
        <v>0</v>
      </c>
      <c r="BQ406" s="1">
        <v>0</v>
      </c>
    </row>
    <row r="407" spans="2:69" x14ac:dyDescent="0.25">
      <c r="B407" s="1">
        <v>1754</v>
      </c>
      <c r="C407" s="1" t="str">
        <f>"TABRY4145S7/MY1"</f>
        <v>TABRY4145S7/MY1</v>
      </c>
      <c r="D407" s="1" t="str">
        <f>"ODA16N00250-024"</f>
        <v>ODA16N00250-024</v>
      </c>
      <c r="E407" s="1" t="str">
        <f>"C12 USPA"</f>
        <v>C12 USPA</v>
      </c>
      <c r="F407" s="1" t="str">
        <f t="shared" si="265"/>
        <v>BONIS SPA</v>
      </c>
      <c r="G407" s="1" t="str">
        <f t="shared" si="266"/>
        <v>STOCK TERRA MP</v>
      </c>
      <c r="H407" s="1" t="str">
        <f>"WHI"</f>
        <v>WHI</v>
      </c>
      <c r="J407" s="1">
        <v>1</v>
      </c>
      <c r="K407" s="1">
        <f t="shared" si="286"/>
        <v>12</v>
      </c>
      <c r="L407" s="1" t="str">
        <f t="shared" si="267"/>
        <v>01</v>
      </c>
      <c r="M407" s="1" t="str">
        <f t="shared" si="247"/>
        <v>102</v>
      </c>
      <c r="N407" s="1" t="str">
        <f>"008"</f>
        <v>008</v>
      </c>
      <c r="O407" s="1" t="str">
        <f t="shared" si="268"/>
        <v>00</v>
      </c>
      <c r="P407" s="1" t="str">
        <f t="shared" si="269"/>
        <v>S</v>
      </c>
      <c r="Q407" s="1" t="str">
        <f t="shared" si="270"/>
        <v>P</v>
      </c>
      <c r="R407" s="1" t="str">
        <f t="shared" si="271"/>
        <v>01</v>
      </c>
      <c r="S407" s="1" t="str">
        <f t="shared" si="272"/>
        <v>03</v>
      </c>
      <c r="T407" s="1" t="str">
        <f t="shared" si="273"/>
        <v>False</v>
      </c>
      <c r="U407" s="1" t="str">
        <f t="shared" si="274"/>
        <v>True</v>
      </c>
      <c r="V407" s="1" t="str">
        <f>"U0023791"</f>
        <v>U0023791</v>
      </c>
      <c r="W407" s="1">
        <v>1</v>
      </c>
      <c r="Y407" s="1">
        <v>0</v>
      </c>
      <c r="Z407" s="1">
        <v>0</v>
      </c>
      <c r="AD407" s="1" t="str">
        <f>"4520243"</f>
        <v>4520243</v>
      </c>
      <c r="AE407" s="1" t="str">
        <f>"XIAMEN UNIBEST IMP. EXP. CO."</f>
        <v>XIAMEN UNIBEST IMP. EXP. CO.</v>
      </c>
      <c r="AG407" s="1">
        <v>0</v>
      </c>
      <c r="AH407" s="1">
        <v>0</v>
      </c>
      <c r="AI407" s="1" t="str">
        <f t="shared" si="262"/>
        <v>F06</v>
      </c>
      <c r="AJ407" s="1" t="str">
        <f t="shared" si="287"/>
        <v>MAN</v>
      </c>
      <c r="AK407" s="1" t="str">
        <f t="shared" si="275"/>
        <v>PA</v>
      </c>
      <c r="AP407" s="1" t="str">
        <f t="shared" si="276"/>
        <v>False</v>
      </c>
      <c r="AR407" s="1" t="str">
        <f>"TABRY"</f>
        <v>TABRY</v>
      </c>
      <c r="AY407" s="1" t="str">
        <f t="shared" si="277"/>
        <v>PF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 t="str">
        <f>"GOMMA-EVA MESH+PU+REAL SUEDE"</f>
        <v>GOMMA-EVA MESH+PU+REAL SUEDE</v>
      </c>
      <c r="BF407" s="1" t="str">
        <f t="shared" si="278"/>
        <v>Bonis SpA</v>
      </c>
      <c r="BO407" s="1">
        <v>0</v>
      </c>
      <c r="BP407" s="1">
        <v>0</v>
      </c>
      <c r="BQ407" s="1">
        <v>0</v>
      </c>
    </row>
    <row r="408" spans="2:69" x14ac:dyDescent="0.25">
      <c r="B408" s="1">
        <v>1748</v>
      </c>
      <c r="C408" s="1" t="str">
        <f>"TABRY4145S7/MY1"</f>
        <v>TABRY4145S7/MY1</v>
      </c>
      <c r="D408" s="1" t="str">
        <f>"ODA16N00250-072"</f>
        <v>ODA16N00250-072</v>
      </c>
      <c r="E408" s="1" t="str">
        <f>"A8 USPA"</f>
        <v>A8 USPA</v>
      </c>
      <c r="F408" s="1" t="str">
        <f t="shared" si="265"/>
        <v>BONIS SPA</v>
      </c>
      <c r="G408" s="1" t="str">
        <f t="shared" si="266"/>
        <v>STOCK TERRA MP</v>
      </c>
      <c r="H408" s="1" t="str">
        <f>"MILG"</f>
        <v>MILG</v>
      </c>
      <c r="J408" s="1">
        <v>1</v>
      </c>
      <c r="K408" s="1">
        <f>8*J408</f>
        <v>8</v>
      </c>
      <c r="L408" s="1" t="str">
        <f t="shared" si="267"/>
        <v>01</v>
      </c>
      <c r="M408" s="1" t="str">
        <f t="shared" si="247"/>
        <v>102</v>
      </c>
      <c r="N408" s="1" t="str">
        <f>"002"</f>
        <v>002</v>
      </c>
      <c r="O408" s="1" t="str">
        <f t="shared" si="268"/>
        <v>00</v>
      </c>
      <c r="P408" s="1" t="str">
        <f t="shared" si="269"/>
        <v>S</v>
      </c>
      <c r="Q408" s="1" t="str">
        <f t="shared" si="270"/>
        <v>P</v>
      </c>
      <c r="R408" s="1" t="str">
        <f t="shared" si="271"/>
        <v>01</v>
      </c>
      <c r="S408" s="1" t="str">
        <f t="shared" si="272"/>
        <v>03</v>
      </c>
      <c r="T408" s="1" t="str">
        <f t="shared" si="273"/>
        <v>False</v>
      </c>
      <c r="U408" s="1" t="str">
        <f t="shared" si="274"/>
        <v>True</v>
      </c>
      <c r="V408" s="1" t="str">
        <f>"U0026769"</f>
        <v>U0026769</v>
      </c>
      <c r="W408" s="1">
        <v>1</v>
      </c>
      <c r="Y408" s="1">
        <v>0</v>
      </c>
      <c r="Z408" s="1">
        <v>0</v>
      </c>
      <c r="AD408" s="1" t="str">
        <f>"4520243"</f>
        <v>4520243</v>
      </c>
      <c r="AE408" s="1" t="str">
        <f>"XIAMEN UNIBEST IMP. EXP. CO."</f>
        <v>XIAMEN UNIBEST IMP. EXP. CO.</v>
      </c>
      <c r="AG408" s="1">
        <v>0</v>
      </c>
      <c r="AH408" s="1">
        <v>0</v>
      </c>
      <c r="AI408" s="1" t="str">
        <f t="shared" si="262"/>
        <v>F06</v>
      </c>
      <c r="AJ408" s="1" t="str">
        <f t="shared" si="287"/>
        <v>MAN</v>
      </c>
      <c r="AK408" s="1" t="str">
        <f t="shared" si="275"/>
        <v>PA</v>
      </c>
      <c r="AP408" s="1" t="str">
        <f t="shared" si="276"/>
        <v>False</v>
      </c>
      <c r="AR408" s="1" t="str">
        <f>"TABRY"</f>
        <v>TABRY</v>
      </c>
      <c r="AY408" s="1" t="str">
        <f t="shared" si="277"/>
        <v>PF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 t="str">
        <f>"GOMMA-EVA MESH+PU+REAL SUEDE"</f>
        <v>GOMMA-EVA MESH+PU+REAL SUEDE</v>
      </c>
      <c r="BF408" s="1" t="str">
        <f t="shared" si="278"/>
        <v>Bonis SpA</v>
      </c>
      <c r="BO408" s="1">
        <v>0</v>
      </c>
      <c r="BP408" s="1">
        <v>0</v>
      </c>
      <c r="BQ408" s="1">
        <v>0</v>
      </c>
    </row>
    <row r="409" spans="2:69" x14ac:dyDescent="0.25">
      <c r="B409" s="1">
        <v>1747</v>
      </c>
      <c r="C409" s="1" t="str">
        <f>"GALAN4105S7E/TY2"</f>
        <v>GALAN4105S7E/TY2</v>
      </c>
      <c r="D409" s="1" t="str">
        <f>"ODA16N00258-003"</f>
        <v>ODA16N00258-003</v>
      </c>
      <c r="E409" s="1" t="str">
        <f>"C12 USPA"</f>
        <v>C12 USPA</v>
      </c>
      <c r="F409" s="1" t="str">
        <f t="shared" si="265"/>
        <v>BONIS SPA</v>
      </c>
      <c r="G409" s="1" t="str">
        <f t="shared" si="266"/>
        <v>STOCK TERRA MP</v>
      </c>
      <c r="H409" s="1" t="str">
        <f>"JEANS"</f>
        <v>JEANS</v>
      </c>
      <c r="J409" s="1">
        <v>1</v>
      </c>
      <c r="K409" s="1">
        <f t="shared" ref="K409:K425" si="288">12*J409</f>
        <v>12</v>
      </c>
      <c r="L409" s="1" t="str">
        <f t="shared" si="267"/>
        <v>01</v>
      </c>
      <c r="M409" s="1" t="str">
        <f t="shared" si="247"/>
        <v>102</v>
      </c>
      <c r="N409" s="1" t="str">
        <f>"001"</f>
        <v>001</v>
      </c>
      <c r="O409" s="1" t="str">
        <f t="shared" si="268"/>
        <v>00</v>
      </c>
      <c r="P409" s="1" t="str">
        <f t="shared" si="269"/>
        <v>S</v>
      </c>
      <c r="Q409" s="1" t="str">
        <f t="shared" si="270"/>
        <v>P</v>
      </c>
      <c r="R409" s="1" t="str">
        <f t="shared" si="271"/>
        <v>01</v>
      </c>
      <c r="S409" s="1" t="str">
        <f t="shared" si="272"/>
        <v>03</v>
      </c>
      <c r="T409" s="1" t="str">
        <f t="shared" si="273"/>
        <v>False</v>
      </c>
      <c r="U409" s="1" t="str">
        <f t="shared" si="274"/>
        <v>True</v>
      </c>
      <c r="V409" s="1" t="str">
        <f>"U0024439"</f>
        <v>U0024439</v>
      </c>
      <c r="W409" s="1">
        <v>1</v>
      </c>
      <c r="Y409" s="1">
        <v>0</v>
      </c>
      <c r="Z409" s="1">
        <v>0</v>
      </c>
      <c r="AB409" s="1" t="str">
        <f>"ECOM"</f>
        <v>ECOM</v>
      </c>
      <c r="AD409" s="1" t="str">
        <f t="shared" ref="AD409:AD414" si="289">"4520107"</f>
        <v>4520107</v>
      </c>
      <c r="AE409" s="1" t="str">
        <f t="shared" ref="AE409:AE414" si="290">"DONG HUNG IND. JOINT COMPANY"</f>
        <v>DONG HUNG IND. JOINT COMPANY</v>
      </c>
      <c r="AG409" s="1">
        <v>0</v>
      </c>
      <c r="AH409" s="1">
        <v>0</v>
      </c>
      <c r="AI409" s="1" t="str">
        <f t="shared" si="262"/>
        <v>F06</v>
      </c>
      <c r="AJ409" s="1" t="str">
        <f t="shared" si="287"/>
        <v>MAN</v>
      </c>
      <c r="AK409" s="1" t="str">
        <f t="shared" si="275"/>
        <v>PA</v>
      </c>
      <c r="AP409" s="1" t="str">
        <f t="shared" si="276"/>
        <v>False</v>
      </c>
      <c r="AR409" s="1" t="str">
        <f t="shared" ref="AR409:AR414" si="291">"GALAN"</f>
        <v>GALAN</v>
      </c>
      <c r="AY409" s="1" t="str">
        <f t="shared" si="277"/>
        <v>PF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 t="str">
        <f>"LAN WASHED TEXTILE+ ECO LEATHE"</f>
        <v>LAN WASHED TEXTILE+ ECO LEATHE</v>
      </c>
      <c r="BF409" s="1" t="str">
        <f t="shared" si="278"/>
        <v>Bonis SpA</v>
      </c>
      <c r="BO409" s="1">
        <v>0</v>
      </c>
      <c r="BP409" s="1">
        <v>0</v>
      </c>
      <c r="BQ409" s="1">
        <v>0</v>
      </c>
    </row>
    <row r="410" spans="2:69" x14ac:dyDescent="0.25">
      <c r="B410" s="1">
        <v>1747</v>
      </c>
      <c r="C410" s="1" t="str">
        <f>"GALAN4105S7E/TY2"</f>
        <v>GALAN4105S7E/TY2</v>
      </c>
      <c r="D410" s="1" t="str">
        <f>"ODA16N00258-011"</f>
        <v>ODA16N00258-011</v>
      </c>
      <c r="E410" s="1" t="str">
        <f>"X12 USPA"</f>
        <v>X12 USPA</v>
      </c>
      <c r="F410" s="1" t="str">
        <f t="shared" si="265"/>
        <v>BONIS SPA</v>
      </c>
      <c r="G410" s="1" t="str">
        <f t="shared" si="266"/>
        <v>STOCK TERRA MP</v>
      </c>
      <c r="H410" s="1" t="str">
        <f>"JEANS"</f>
        <v>JEANS</v>
      </c>
      <c r="J410" s="1">
        <v>1</v>
      </c>
      <c r="K410" s="1">
        <f t="shared" si="288"/>
        <v>12</v>
      </c>
      <c r="L410" s="1" t="str">
        <f t="shared" si="267"/>
        <v>01</v>
      </c>
      <c r="M410" s="1" t="str">
        <f t="shared" si="247"/>
        <v>102</v>
      </c>
      <c r="N410" s="1" t="str">
        <f>"001"</f>
        <v>001</v>
      </c>
      <c r="O410" s="1" t="str">
        <f t="shared" si="268"/>
        <v>00</v>
      </c>
      <c r="P410" s="1" t="str">
        <f t="shared" si="269"/>
        <v>S</v>
      </c>
      <c r="Q410" s="1" t="str">
        <f t="shared" si="270"/>
        <v>P</v>
      </c>
      <c r="R410" s="1" t="str">
        <f t="shared" si="271"/>
        <v>01</v>
      </c>
      <c r="S410" s="1" t="str">
        <f t="shared" si="272"/>
        <v>03</v>
      </c>
      <c r="T410" s="1" t="str">
        <f t="shared" si="273"/>
        <v>False</v>
      </c>
      <c r="U410" s="1" t="str">
        <f t="shared" si="274"/>
        <v>True</v>
      </c>
      <c r="V410" s="1" t="str">
        <f>"U0024439"</f>
        <v>U0024439</v>
      </c>
      <c r="W410" s="1">
        <v>1</v>
      </c>
      <c r="Y410" s="1">
        <v>0</v>
      </c>
      <c r="Z410" s="1">
        <v>0</v>
      </c>
      <c r="AB410" s="1" t="str">
        <f>"ECOM"</f>
        <v>ECOM</v>
      </c>
      <c r="AD410" s="1" t="str">
        <f t="shared" si="289"/>
        <v>4520107</v>
      </c>
      <c r="AE410" s="1" t="str">
        <f t="shared" si="290"/>
        <v>DONG HUNG IND. JOINT COMPANY</v>
      </c>
      <c r="AG410" s="1">
        <v>0</v>
      </c>
      <c r="AH410" s="1">
        <v>0</v>
      </c>
      <c r="AI410" s="1" t="str">
        <f t="shared" si="262"/>
        <v>F06</v>
      </c>
      <c r="AJ410" s="1" t="str">
        <f t="shared" si="287"/>
        <v>MAN</v>
      </c>
      <c r="AK410" s="1" t="str">
        <f t="shared" si="275"/>
        <v>PA</v>
      </c>
      <c r="AP410" s="1" t="str">
        <f t="shared" si="276"/>
        <v>False</v>
      </c>
      <c r="AR410" s="1" t="str">
        <f t="shared" si="291"/>
        <v>GALAN</v>
      </c>
      <c r="AY410" s="1" t="str">
        <f t="shared" si="277"/>
        <v>PF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 t="str">
        <f>"LAN WASHED TEXTILE+ ECO LEATHE"</f>
        <v>LAN WASHED TEXTILE+ ECO LEATHE</v>
      </c>
      <c r="BF410" s="1" t="str">
        <f t="shared" si="278"/>
        <v>Bonis SpA</v>
      </c>
      <c r="BO410" s="1">
        <v>0</v>
      </c>
      <c r="BP410" s="1">
        <v>0</v>
      </c>
      <c r="BQ410" s="1">
        <v>0</v>
      </c>
    </row>
    <row r="411" spans="2:69" x14ac:dyDescent="0.25">
      <c r="B411" s="1">
        <v>1751</v>
      </c>
      <c r="C411" s="1" t="str">
        <f>"GALAN4107S7/CL1"</f>
        <v>GALAN4107S7/CL1</v>
      </c>
      <c r="D411" s="1" t="str">
        <f>"ODA16N00263-106"</f>
        <v>ODA16N00263-106</v>
      </c>
      <c r="E411" s="1" t="str">
        <f t="shared" ref="E411:E424" si="292">"C12 USPA"</f>
        <v>C12 USPA</v>
      </c>
      <c r="F411" s="1" t="str">
        <f t="shared" si="265"/>
        <v>BONIS SPA</v>
      </c>
      <c r="G411" s="1" t="str">
        <f t="shared" si="266"/>
        <v>STOCK TERRA MP</v>
      </c>
      <c r="H411" s="1" t="str">
        <f>"BLU"</f>
        <v>BLU</v>
      </c>
      <c r="J411" s="1">
        <v>1</v>
      </c>
      <c r="K411" s="1">
        <f t="shared" si="288"/>
        <v>12</v>
      </c>
      <c r="L411" s="1" t="str">
        <f t="shared" si="267"/>
        <v>01</v>
      </c>
      <c r="M411" s="1" t="str">
        <f t="shared" si="247"/>
        <v>102</v>
      </c>
      <c r="N411" s="1" t="str">
        <f>"005"</f>
        <v>005</v>
      </c>
      <c r="O411" s="1" t="str">
        <f t="shared" si="268"/>
        <v>00</v>
      </c>
      <c r="P411" s="1" t="str">
        <f t="shared" si="269"/>
        <v>S</v>
      </c>
      <c r="Q411" s="1" t="str">
        <f t="shared" si="270"/>
        <v>P</v>
      </c>
      <c r="R411" s="1" t="str">
        <f t="shared" si="271"/>
        <v>01</v>
      </c>
      <c r="S411" s="1" t="str">
        <f t="shared" si="272"/>
        <v>03</v>
      </c>
      <c r="T411" s="1" t="str">
        <f t="shared" si="273"/>
        <v>False</v>
      </c>
      <c r="U411" s="1" t="str">
        <f t="shared" si="274"/>
        <v>True</v>
      </c>
      <c r="V411" s="1" t="str">
        <f>"U0024305"</f>
        <v>U0024305</v>
      </c>
      <c r="W411" s="1">
        <v>1</v>
      </c>
      <c r="Y411" s="1">
        <v>0</v>
      </c>
      <c r="Z411" s="1">
        <v>0</v>
      </c>
      <c r="AD411" s="1" t="str">
        <f t="shared" si="289"/>
        <v>4520107</v>
      </c>
      <c r="AE411" s="1" t="str">
        <f t="shared" si="290"/>
        <v>DONG HUNG IND. JOINT COMPANY</v>
      </c>
      <c r="AG411" s="1">
        <v>0</v>
      </c>
      <c r="AH411" s="1">
        <v>0</v>
      </c>
      <c r="AI411" s="1" t="str">
        <f t="shared" si="262"/>
        <v>F06</v>
      </c>
      <c r="AJ411" s="1" t="str">
        <f t="shared" si="287"/>
        <v>MAN</v>
      </c>
      <c r="AK411" s="1" t="str">
        <f t="shared" si="275"/>
        <v>PA</v>
      </c>
      <c r="AP411" s="1" t="str">
        <f t="shared" si="276"/>
        <v>False</v>
      </c>
      <c r="AR411" s="1" t="str">
        <f t="shared" si="291"/>
        <v>GALAN</v>
      </c>
      <c r="AY411" s="1" t="str">
        <f t="shared" si="277"/>
        <v>PF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 t="str">
        <f>"LAN TEXTILE BATIK+LEATHER"</f>
        <v>LAN TEXTILE BATIK+LEATHER</v>
      </c>
      <c r="BF411" s="1" t="str">
        <f t="shared" si="278"/>
        <v>Bonis SpA</v>
      </c>
      <c r="BO411" s="1">
        <v>0</v>
      </c>
      <c r="BP411" s="1">
        <v>0</v>
      </c>
      <c r="BQ411" s="1">
        <v>0</v>
      </c>
    </row>
    <row r="412" spans="2:69" x14ac:dyDescent="0.25">
      <c r="B412" s="1">
        <v>1751</v>
      </c>
      <c r="C412" s="1" t="str">
        <f>"GALAN4107S7/CL1"</f>
        <v>GALAN4107S7/CL1</v>
      </c>
      <c r="D412" s="1" t="str">
        <f>"ODA16N00263-113"</f>
        <v>ODA16N00263-113</v>
      </c>
      <c r="E412" s="1" t="str">
        <f t="shared" si="292"/>
        <v>C12 USPA</v>
      </c>
      <c r="F412" s="1" t="str">
        <f t="shared" si="265"/>
        <v>BONIS SPA</v>
      </c>
      <c r="G412" s="1" t="str">
        <f t="shared" si="266"/>
        <v>STOCK TERRA MP</v>
      </c>
      <c r="H412" s="1" t="str">
        <f>"BLU"</f>
        <v>BLU</v>
      </c>
      <c r="J412" s="1">
        <v>1</v>
      </c>
      <c r="K412" s="1">
        <f t="shared" si="288"/>
        <v>12</v>
      </c>
      <c r="L412" s="1" t="str">
        <f t="shared" si="267"/>
        <v>01</v>
      </c>
      <c r="M412" s="1" t="str">
        <f t="shared" si="247"/>
        <v>102</v>
      </c>
      <c r="N412" s="1" t="str">
        <f>"005"</f>
        <v>005</v>
      </c>
      <c r="O412" s="1" t="str">
        <f t="shared" si="268"/>
        <v>00</v>
      </c>
      <c r="P412" s="1" t="str">
        <f t="shared" si="269"/>
        <v>S</v>
      </c>
      <c r="Q412" s="1" t="str">
        <f t="shared" si="270"/>
        <v>P</v>
      </c>
      <c r="R412" s="1" t="str">
        <f t="shared" si="271"/>
        <v>01</v>
      </c>
      <c r="S412" s="1" t="str">
        <f t="shared" si="272"/>
        <v>03</v>
      </c>
      <c r="T412" s="1" t="str">
        <f t="shared" si="273"/>
        <v>False</v>
      </c>
      <c r="U412" s="1" t="str">
        <f t="shared" si="274"/>
        <v>True</v>
      </c>
      <c r="V412" s="1" t="str">
        <f>"U0024305"</f>
        <v>U0024305</v>
      </c>
      <c r="W412" s="1">
        <v>1</v>
      </c>
      <c r="Y412" s="1">
        <v>0</v>
      </c>
      <c r="Z412" s="1">
        <v>0</v>
      </c>
      <c r="AD412" s="1" t="str">
        <f t="shared" si="289"/>
        <v>4520107</v>
      </c>
      <c r="AE412" s="1" t="str">
        <f t="shared" si="290"/>
        <v>DONG HUNG IND. JOINT COMPANY</v>
      </c>
      <c r="AG412" s="1">
        <v>0</v>
      </c>
      <c r="AH412" s="1">
        <v>0</v>
      </c>
      <c r="AI412" s="1" t="str">
        <f t="shared" si="262"/>
        <v>F06</v>
      </c>
      <c r="AJ412" s="1" t="str">
        <f t="shared" si="287"/>
        <v>MAN</v>
      </c>
      <c r="AK412" s="1" t="str">
        <f t="shared" si="275"/>
        <v>PA</v>
      </c>
      <c r="AP412" s="1" t="str">
        <f t="shared" si="276"/>
        <v>False</v>
      </c>
      <c r="AR412" s="1" t="str">
        <f t="shared" si="291"/>
        <v>GALAN</v>
      </c>
      <c r="AY412" s="1" t="str">
        <f t="shared" si="277"/>
        <v>PF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 t="str">
        <f>"LAN TEXTILE BATIK+LEATHER"</f>
        <v>LAN TEXTILE BATIK+LEATHER</v>
      </c>
      <c r="BF412" s="1" t="str">
        <f t="shared" si="278"/>
        <v>Bonis SpA</v>
      </c>
      <c r="BO412" s="1">
        <v>0</v>
      </c>
      <c r="BP412" s="1">
        <v>0</v>
      </c>
      <c r="BQ412" s="1">
        <v>0</v>
      </c>
    </row>
    <row r="413" spans="2:69" x14ac:dyDescent="0.25">
      <c r="B413" s="1">
        <v>1748</v>
      </c>
      <c r="C413" s="1" t="str">
        <f>"GALAN4107S7/CL1"</f>
        <v>GALAN4107S7/CL1</v>
      </c>
      <c r="D413" s="1" t="str">
        <f>"ODA16N00263-133"</f>
        <v>ODA16N00263-133</v>
      </c>
      <c r="E413" s="1" t="str">
        <f t="shared" si="292"/>
        <v>C12 USPA</v>
      </c>
      <c r="F413" s="1" t="str">
        <f t="shared" si="265"/>
        <v>BONIS SPA</v>
      </c>
      <c r="G413" s="1" t="str">
        <f t="shared" si="266"/>
        <v>STOCK TERRA MP</v>
      </c>
      <c r="H413" s="1" t="str">
        <f>"GRE"</f>
        <v>GRE</v>
      </c>
      <c r="J413" s="1">
        <v>1</v>
      </c>
      <c r="K413" s="1">
        <f t="shared" si="288"/>
        <v>12</v>
      </c>
      <c r="L413" s="1" t="str">
        <f t="shared" si="267"/>
        <v>01</v>
      </c>
      <c r="M413" s="1" t="str">
        <f t="shared" si="247"/>
        <v>102</v>
      </c>
      <c r="N413" s="1" t="str">
        <f>"002"</f>
        <v>002</v>
      </c>
      <c r="O413" s="1" t="str">
        <f t="shared" si="268"/>
        <v>00</v>
      </c>
      <c r="P413" s="1" t="str">
        <f t="shared" si="269"/>
        <v>S</v>
      </c>
      <c r="Q413" s="1" t="str">
        <f t="shared" si="270"/>
        <v>P</v>
      </c>
      <c r="R413" s="1" t="str">
        <f t="shared" si="271"/>
        <v>01</v>
      </c>
      <c r="S413" s="1" t="str">
        <f t="shared" si="272"/>
        <v>03</v>
      </c>
      <c r="T413" s="1" t="str">
        <f t="shared" si="273"/>
        <v>False</v>
      </c>
      <c r="U413" s="1" t="str">
        <f t="shared" si="274"/>
        <v>True</v>
      </c>
      <c r="V413" s="1" t="str">
        <f>"U0026769"</f>
        <v>U0026769</v>
      </c>
      <c r="W413" s="1">
        <v>1</v>
      </c>
      <c r="Y413" s="1">
        <v>0</v>
      </c>
      <c r="Z413" s="1">
        <v>0</v>
      </c>
      <c r="AD413" s="1" t="str">
        <f t="shared" si="289"/>
        <v>4520107</v>
      </c>
      <c r="AE413" s="1" t="str">
        <f t="shared" si="290"/>
        <v>DONG HUNG IND. JOINT COMPANY</v>
      </c>
      <c r="AG413" s="1">
        <v>0</v>
      </c>
      <c r="AH413" s="1">
        <v>0</v>
      </c>
      <c r="AI413" s="1" t="str">
        <f t="shared" si="262"/>
        <v>F06</v>
      </c>
      <c r="AJ413" s="1" t="str">
        <f t="shared" si="287"/>
        <v>MAN</v>
      </c>
      <c r="AK413" s="1" t="str">
        <f t="shared" si="275"/>
        <v>PA</v>
      </c>
      <c r="AP413" s="1" t="str">
        <f t="shared" si="276"/>
        <v>False</v>
      </c>
      <c r="AR413" s="1" t="str">
        <f t="shared" si="291"/>
        <v>GALAN</v>
      </c>
      <c r="AY413" s="1" t="str">
        <f t="shared" si="277"/>
        <v>PF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 t="str">
        <f>"LAN TEXTILE BATIK+LEATHER"</f>
        <v>LAN TEXTILE BATIK+LEATHER</v>
      </c>
      <c r="BF413" s="1" t="str">
        <f t="shared" si="278"/>
        <v>Bonis SpA</v>
      </c>
      <c r="BO413" s="1">
        <v>0</v>
      </c>
      <c r="BP413" s="1">
        <v>0</v>
      </c>
      <c r="BQ413" s="1">
        <v>0</v>
      </c>
    </row>
    <row r="414" spans="2:69" x14ac:dyDescent="0.25">
      <c r="B414" s="1">
        <v>1748</v>
      </c>
      <c r="C414" s="1" t="str">
        <f>"GALAN4107S7/CL1"</f>
        <v>GALAN4107S7/CL1</v>
      </c>
      <c r="D414" s="1" t="str">
        <f>"ODA16N00263-136"</f>
        <v>ODA16N00263-136</v>
      </c>
      <c r="E414" s="1" t="str">
        <f t="shared" si="292"/>
        <v>C12 USPA</v>
      </c>
      <c r="F414" s="1" t="str">
        <f t="shared" si="265"/>
        <v>BONIS SPA</v>
      </c>
      <c r="G414" s="1" t="str">
        <f t="shared" si="266"/>
        <v>STOCK TERRA MP</v>
      </c>
      <c r="H414" s="1" t="str">
        <f>"GRE"</f>
        <v>GRE</v>
      </c>
      <c r="J414" s="1">
        <v>1</v>
      </c>
      <c r="K414" s="1">
        <f t="shared" si="288"/>
        <v>12</v>
      </c>
      <c r="L414" s="1" t="str">
        <f t="shared" si="267"/>
        <v>01</v>
      </c>
      <c r="M414" s="1" t="str">
        <f t="shared" si="247"/>
        <v>102</v>
      </c>
      <c r="N414" s="1" t="str">
        <f>"002"</f>
        <v>002</v>
      </c>
      <c r="O414" s="1" t="str">
        <f t="shared" si="268"/>
        <v>00</v>
      </c>
      <c r="P414" s="1" t="str">
        <f t="shared" si="269"/>
        <v>S</v>
      </c>
      <c r="Q414" s="1" t="str">
        <f t="shared" si="270"/>
        <v>P</v>
      </c>
      <c r="R414" s="1" t="str">
        <f t="shared" si="271"/>
        <v>01</v>
      </c>
      <c r="S414" s="1" t="str">
        <f t="shared" si="272"/>
        <v>03</v>
      </c>
      <c r="T414" s="1" t="str">
        <f t="shared" si="273"/>
        <v>False</v>
      </c>
      <c r="U414" s="1" t="str">
        <f t="shared" si="274"/>
        <v>True</v>
      </c>
      <c r="V414" s="1" t="str">
        <f>"U0026769"</f>
        <v>U0026769</v>
      </c>
      <c r="W414" s="1">
        <v>1</v>
      </c>
      <c r="Y414" s="1">
        <v>0</v>
      </c>
      <c r="Z414" s="1">
        <v>0</v>
      </c>
      <c r="AD414" s="1" t="str">
        <f t="shared" si="289"/>
        <v>4520107</v>
      </c>
      <c r="AE414" s="1" t="str">
        <f t="shared" si="290"/>
        <v>DONG HUNG IND. JOINT COMPANY</v>
      </c>
      <c r="AG414" s="1">
        <v>0</v>
      </c>
      <c r="AH414" s="1">
        <v>0</v>
      </c>
      <c r="AI414" s="1" t="str">
        <f t="shared" si="262"/>
        <v>F06</v>
      </c>
      <c r="AJ414" s="1" t="str">
        <f t="shared" si="287"/>
        <v>MAN</v>
      </c>
      <c r="AK414" s="1" t="str">
        <f t="shared" si="275"/>
        <v>PA</v>
      </c>
      <c r="AP414" s="1" t="str">
        <f t="shared" si="276"/>
        <v>False</v>
      </c>
      <c r="AR414" s="1" t="str">
        <f t="shared" si="291"/>
        <v>GALAN</v>
      </c>
      <c r="AY414" s="1" t="str">
        <f t="shared" si="277"/>
        <v>PF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 t="str">
        <f>"LAN TEXTILE BATIK+LEATHER"</f>
        <v>LAN TEXTILE BATIK+LEATHER</v>
      </c>
      <c r="BF414" s="1" t="str">
        <f t="shared" si="278"/>
        <v>Bonis SpA</v>
      </c>
      <c r="BO414" s="1">
        <v>0</v>
      </c>
      <c r="BP414" s="1">
        <v>0</v>
      </c>
      <c r="BQ414" s="1">
        <v>0</v>
      </c>
    </row>
    <row r="415" spans="2:69" x14ac:dyDescent="0.25">
      <c r="B415" s="1">
        <v>1753</v>
      </c>
      <c r="C415" s="1" t="str">
        <f>"MARCS4137S7E/C2"</f>
        <v>MARCS4137S7E/C2</v>
      </c>
      <c r="D415" s="1" t="str">
        <f>"ODA16N00266-091"</f>
        <v>ODA16N00266-091</v>
      </c>
      <c r="E415" s="1" t="str">
        <f t="shared" si="292"/>
        <v>C12 USPA</v>
      </c>
      <c r="F415" s="1" t="str">
        <f t="shared" si="265"/>
        <v>BONIS SPA</v>
      </c>
      <c r="G415" s="1" t="str">
        <f t="shared" si="266"/>
        <v>STOCK TERRA MP</v>
      </c>
      <c r="H415" s="1" t="str">
        <f>"BLK"</f>
        <v>BLK</v>
      </c>
      <c r="J415" s="1">
        <v>1</v>
      </c>
      <c r="K415" s="1">
        <f t="shared" si="288"/>
        <v>12</v>
      </c>
      <c r="L415" s="1" t="str">
        <f t="shared" si="267"/>
        <v>01</v>
      </c>
      <c r="M415" s="1" t="str">
        <f t="shared" si="247"/>
        <v>102</v>
      </c>
      <c r="N415" s="1" t="str">
        <f>"007"</f>
        <v>007</v>
      </c>
      <c r="O415" s="1" t="str">
        <f t="shared" si="268"/>
        <v>00</v>
      </c>
      <c r="P415" s="1" t="str">
        <f t="shared" si="269"/>
        <v>S</v>
      </c>
      <c r="Q415" s="1" t="str">
        <f t="shared" si="270"/>
        <v>P</v>
      </c>
      <c r="R415" s="1" t="str">
        <f t="shared" si="271"/>
        <v>01</v>
      </c>
      <c r="S415" s="1" t="str">
        <f t="shared" si="272"/>
        <v>03</v>
      </c>
      <c r="T415" s="1" t="str">
        <f t="shared" si="273"/>
        <v>False</v>
      </c>
      <c r="U415" s="1" t="str">
        <f t="shared" si="274"/>
        <v>True</v>
      </c>
      <c r="V415" s="1" t="str">
        <f>"U0020221"</f>
        <v>U0020221</v>
      </c>
      <c r="W415" s="1">
        <v>1</v>
      </c>
      <c r="Y415" s="1">
        <v>0</v>
      </c>
      <c r="Z415" s="1">
        <v>0</v>
      </c>
      <c r="AB415" s="1" t="str">
        <f t="shared" ref="AB415:AB424" si="293">"ECOM"</f>
        <v>ECOM</v>
      </c>
      <c r="AD415" s="1" t="str">
        <f t="shared" ref="AD415:AD424" si="294">"4520182"</f>
        <v>4520182</v>
      </c>
      <c r="AE415" s="1" t="str">
        <f t="shared" ref="AE415:AE424" si="295">"32 Joint Stock Company (Aseco)"</f>
        <v>32 Joint Stock Company (Aseco)</v>
      </c>
      <c r="AG415" s="1">
        <v>0</v>
      </c>
      <c r="AH415" s="1">
        <v>0</v>
      </c>
      <c r="AI415" s="1" t="str">
        <f>"F11"</f>
        <v>F11</v>
      </c>
      <c r="AJ415" s="1" t="str">
        <f t="shared" si="287"/>
        <v>MAN</v>
      </c>
      <c r="AK415" s="1" t="str">
        <f t="shared" si="275"/>
        <v>PA</v>
      </c>
      <c r="AP415" s="1" t="str">
        <f t="shared" si="276"/>
        <v>False</v>
      </c>
      <c r="AR415" s="1" t="str">
        <f>"MARCS"</f>
        <v>MARCS</v>
      </c>
      <c r="AY415" s="1" t="str">
        <f t="shared" si="277"/>
        <v>PF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 t="str">
        <f>"RCS GOMMA TWILL CANVAS+PU LEAT"</f>
        <v>RCS GOMMA TWILL CANVAS+PU LEAT</v>
      </c>
      <c r="BF415" s="1" t="str">
        <f t="shared" si="278"/>
        <v>Bonis SpA</v>
      </c>
      <c r="BO415" s="1">
        <v>0</v>
      </c>
      <c r="BP415" s="1">
        <v>0</v>
      </c>
      <c r="BQ415" s="1">
        <v>0</v>
      </c>
    </row>
    <row r="416" spans="2:69" x14ac:dyDescent="0.25">
      <c r="B416" s="1">
        <v>1751</v>
      </c>
      <c r="C416" s="1" t="str">
        <f>"MARCS4137S7E/C2"</f>
        <v>MARCS4137S7E/C2</v>
      </c>
      <c r="D416" s="1" t="str">
        <f>"ODA16N00266-109"</f>
        <v>ODA16N00266-109</v>
      </c>
      <c r="E416" s="1" t="str">
        <f t="shared" si="292"/>
        <v>C12 USPA</v>
      </c>
      <c r="F416" s="1" t="str">
        <f t="shared" si="265"/>
        <v>BONIS SPA</v>
      </c>
      <c r="G416" s="1" t="str">
        <f t="shared" si="266"/>
        <v>STOCK TERRA MP</v>
      </c>
      <c r="H416" s="1" t="str">
        <f>"DKBL"</f>
        <v>DKBL</v>
      </c>
      <c r="J416" s="1">
        <v>1</v>
      </c>
      <c r="K416" s="1">
        <f t="shared" si="288"/>
        <v>12</v>
      </c>
      <c r="L416" s="1" t="str">
        <f t="shared" si="267"/>
        <v>01</v>
      </c>
      <c r="M416" s="1" t="str">
        <f t="shared" si="247"/>
        <v>102</v>
      </c>
      <c r="N416" s="1" t="str">
        <f>"005"</f>
        <v>005</v>
      </c>
      <c r="O416" s="1" t="str">
        <f t="shared" si="268"/>
        <v>00</v>
      </c>
      <c r="P416" s="1" t="str">
        <f t="shared" si="269"/>
        <v>S</v>
      </c>
      <c r="Q416" s="1" t="str">
        <f t="shared" si="270"/>
        <v>P</v>
      </c>
      <c r="R416" s="1" t="str">
        <f t="shared" si="271"/>
        <v>01</v>
      </c>
      <c r="S416" s="1" t="str">
        <f t="shared" si="272"/>
        <v>03</v>
      </c>
      <c r="T416" s="1" t="str">
        <f t="shared" si="273"/>
        <v>False</v>
      </c>
      <c r="U416" s="1" t="str">
        <f t="shared" si="274"/>
        <v>True</v>
      </c>
      <c r="V416" s="1" t="str">
        <f>"U0024305"</f>
        <v>U0024305</v>
      </c>
      <c r="W416" s="1">
        <v>1</v>
      </c>
      <c r="Y416" s="1">
        <v>0</v>
      </c>
      <c r="Z416" s="1">
        <v>0</v>
      </c>
      <c r="AB416" s="1" t="str">
        <f t="shared" si="293"/>
        <v>ECOM</v>
      </c>
      <c r="AD416" s="1" t="str">
        <f t="shared" si="294"/>
        <v>4520182</v>
      </c>
      <c r="AE416" s="1" t="str">
        <f t="shared" si="295"/>
        <v>32 Joint Stock Company (Aseco)</v>
      </c>
      <c r="AG416" s="1">
        <v>0</v>
      </c>
      <c r="AH416" s="1">
        <v>0</v>
      </c>
      <c r="AI416" s="1" t="str">
        <f>"F06"</f>
        <v>F06</v>
      </c>
      <c r="AJ416" s="1" t="str">
        <f t="shared" si="287"/>
        <v>MAN</v>
      </c>
      <c r="AK416" s="1" t="str">
        <f t="shared" si="275"/>
        <v>PA</v>
      </c>
      <c r="AP416" s="1" t="str">
        <f t="shared" si="276"/>
        <v>False</v>
      </c>
      <c r="AR416" s="1" t="str">
        <f>"MARCS"</f>
        <v>MARCS</v>
      </c>
      <c r="AY416" s="1" t="str">
        <f t="shared" si="277"/>
        <v>PF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 t="str">
        <f>"RCS GOMMA TWILL CANVAS+PU LEAT"</f>
        <v>RCS GOMMA TWILL CANVAS+PU LEAT</v>
      </c>
      <c r="BF416" s="1" t="str">
        <f t="shared" si="278"/>
        <v>Bonis SpA</v>
      </c>
      <c r="BO416" s="1">
        <v>0</v>
      </c>
      <c r="BP416" s="1">
        <v>0</v>
      </c>
      <c r="BQ416" s="1">
        <v>0</v>
      </c>
    </row>
    <row r="417" spans="2:69" x14ac:dyDescent="0.25">
      <c r="B417" s="1">
        <v>1753</v>
      </c>
      <c r="C417" s="1" t="str">
        <f>"MARCS4137S7E/C2"</f>
        <v>MARCS4137S7E/C2</v>
      </c>
      <c r="D417" s="1" t="str">
        <f>"ODA16N00266-133"</f>
        <v>ODA16N00266-133</v>
      </c>
      <c r="E417" s="1" t="str">
        <f t="shared" si="292"/>
        <v>C12 USPA</v>
      </c>
      <c r="F417" s="1" t="str">
        <f t="shared" si="265"/>
        <v>BONIS SPA</v>
      </c>
      <c r="G417" s="1" t="str">
        <f t="shared" si="266"/>
        <v>STOCK TERRA MP</v>
      </c>
      <c r="H417" s="1" t="str">
        <f>"WHI"</f>
        <v>WHI</v>
      </c>
      <c r="J417" s="1">
        <v>1</v>
      </c>
      <c r="K417" s="1">
        <f t="shared" si="288"/>
        <v>12</v>
      </c>
      <c r="L417" s="1" t="str">
        <f t="shared" si="267"/>
        <v>01</v>
      </c>
      <c r="M417" s="1" t="str">
        <f t="shared" si="247"/>
        <v>102</v>
      </c>
      <c r="N417" s="1" t="str">
        <f>"007"</f>
        <v>007</v>
      </c>
      <c r="O417" s="1" t="str">
        <f t="shared" si="268"/>
        <v>00</v>
      </c>
      <c r="P417" s="1" t="str">
        <f t="shared" si="269"/>
        <v>S</v>
      </c>
      <c r="Q417" s="1" t="str">
        <f t="shared" si="270"/>
        <v>P</v>
      </c>
      <c r="R417" s="1" t="str">
        <f t="shared" si="271"/>
        <v>01</v>
      </c>
      <c r="S417" s="1" t="str">
        <f t="shared" si="272"/>
        <v>03</v>
      </c>
      <c r="T417" s="1" t="str">
        <f t="shared" si="273"/>
        <v>False</v>
      </c>
      <c r="U417" s="1" t="str">
        <f t="shared" si="274"/>
        <v>True</v>
      </c>
      <c r="V417" s="1" t="str">
        <f>"U0020221"</f>
        <v>U0020221</v>
      </c>
      <c r="W417" s="1">
        <v>1</v>
      </c>
      <c r="Y417" s="1">
        <v>0</v>
      </c>
      <c r="Z417" s="1">
        <v>0</v>
      </c>
      <c r="AB417" s="1" t="str">
        <f t="shared" si="293"/>
        <v>ECOM</v>
      </c>
      <c r="AD417" s="1" t="str">
        <f t="shared" si="294"/>
        <v>4520182</v>
      </c>
      <c r="AE417" s="1" t="str">
        <f t="shared" si="295"/>
        <v>32 Joint Stock Company (Aseco)</v>
      </c>
      <c r="AG417" s="1">
        <v>0</v>
      </c>
      <c r="AH417" s="1">
        <v>0</v>
      </c>
      <c r="AI417" s="1" t="str">
        <f>"F11"</f>
        <v>F11</v>
      </c>
      <c r="AJ417" s="1" t="str">
        <f t="shared" si="287"/>
        <v>MAN</v>
      </c>
      <c r="AK417" s="1" t="str">
        <f t="shared" si="275"/>
        <v>PA</v>
      </c>
      <c r="AP417" s="1" t="str">
        <f t="shared" si="276"/>
        <v>False</v>
      </c>
      <c r="AR417" s="1" t="str">
        <f>"MARCS"</f>
        <v>MARCS</v>
      </c>
      <c r="AY417" s="1" t="str">
        <f t="shared" si="277"/>
        <v>PF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 t="str">
        <f>"RCS GOMMA TWILL CANVAS+PU LEAT"</f>
        <v>RCS GOMMA TWILL CANVAS+PU LEAT</v>
      </c>
      <c r="BF417" s="1" t="str">
        <f t="shared" si="278"/>
        <v>Bonis SpA</v>
      </c>
      <c r="BO417" s="1">
        <v>0</v>
      </c>
      <c r="BP417" s="1">
        <v>0</v>
      </c>
      <c r="BQ417" s="1">
        <v>0</v>
      </c>
    </row>
    <row r="418" spans="2:69" x14ac:dyDescent="0.25">
      <c r="B418" s="1">
        <v>1756</v>
      </c>
      <c r="C418" s="1" t="str">
        <f t="shared" ref="C418:C424" si="296">"NOBIL4090S7E/NH2"</f>
        <v>NOBIL4090S7E/NH2</v>
      </c>
      <c r="D418" s="1" t="str">
        <f>"ODA16N00266-427"</f>
        <v>ODA16N00266-427</v>
      </c>
      <c r="E418" s="1" t="str">
        <f t="shared" si="292"/>
        <v>C12 USPA</v>
      </c>
      <c r="F418" s="1" t="str">
        <f t="shared" si="265"/>
        <v>BONIS SPA</v>
      </c>
      <c r="G418" s="1" t="str">
        <f t="shared" si="266"/>
        <v>STOCK TERRA MP</v>
      </c>
      <c r="H418" s="1" t="str">
        <f t="shared" ref="H418:H424" si="297">"AVIO"</f>
        <v>AVIO</v>
      </c>
      <c r="J418" s="1">
        <v>1</v>
      </c>
      <c r="K418" s="1">
        <f t="shared" si="288"/>
        <v>12</v>
      </c>
      <c r="L418" s="1" t="str">
        <f t="shared" si="267"/>
        <v>01</v>
      </c>
      <c r="M418" s="1" t="str">
        <f t="shared" si="247"/>
        <v>102</v>
      </c>
      <c r="N418" s="1" t="str">
        <f>"010"</f>
        <v>010</v>
      </c>
      <c r="O418" s="1" t="str">
        <f t="shared" si="268"/>
        <v>00</v>
      </c>
      <c r="P418" s="1" t="str">
        <f t="shared" si="269"/>
        <v>S</v>
      </c>
      <c r="Q418" s="1" t="str">
        <f t="shared" si="270"/>
        <v>P</v>
      </c>
      <c r="R418" s="1" t="str">
        <f t="shared" si="271"/>
        <v>01</v>
      </c>
      <c r="S418" s="1" t="str">
        <f t="shared" si="272"/>
        <v>03</v>
      </c>
      <c r="T418" s="1" t="str">
        <f t="shared" si="273"/>
        <v>False</v>
      </c>
      <c r="U418" s="1" t="str">
        <f t="shared" si="274"/>
        <v>True</v>
      </c>
      <c r="V418" s="1" t="str">
        <f>"U0024205"</f>
        <v>U0024205</v>
      </c>
      <c r="W418" s="1">
        <v>1</v>
      </c>
      <c r="Y418" s="1">
        <v>0</v>
      </c>
      <c r="Z418" s="1">
        <v>0</v>
      </c>
      <c r="AB418" s="1" t="str">
        <f t="shared" si="293"/>
        <v>ECOM</v>
      </c>
      <c r="AD418" s="1" t="str">
        <f t="shared" si="294"/>
        <v>4520182</v>
      </c>
      <c r="AE418" s="1" t="str">
        <f t="shared" si="295"/>
        <v>32 Joint Stock Company (Aseco)</v>
      </c>
      <c r="AG418" s="1">
        <v>0</v>
      </c>
      <c r="AH418" s="1">
        <v>0</v>
      </c>
      <c r="AI418" s="1" t="str">
        <f t="shared" ref="AI418:AI428" si="298">"F06"</f>
        <v>F06</v>
      </c>
      <c r="AJ418" s="1" t="str">
        <f t="shared" si="287"/>
        <v>MAN</v>
      </c>
      <c r="AK418" s="1" t="str">
        <f t="shared" si="275"/>
        <v>PA</v>
      </c>
      <c r="AP418" s="1" t="str">
        <f t="shared" si="276"/>
        <v>False</v>
      </c>
      <c r="AR418" s="1" t="str">
        <f t="shared" ref="AR418:AR424" si="299">"NOBIL"</f>
        <v>NOBIL</v>
      </c>
      <c r="AY418" s="1" t="str">
        <f t="shared" si="277"/>
        <v>PF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 t="str">
        <f t="shared" ref="BE418:BE424" si="300">"BBER-EVA  NYLON+MICROSUE"</f>
        <v>BBER-EVA  NYLON+MICROSUE</v>
      </c>
      <c r="BF418" s="1" t="str">
        <f t="shared" si="278"/>
        <v>Bonis SpA</v>
      </c>
      <c r="BO418" s="1">
        <v>0</v>
      </c>
      <c r="BP418" s="1">
        <v>0</v>
      </c>
      <c r="BQ418" s="1">
        <v>0</v>
      </c>
    </row>
    <row r="419" spans="2:69" x14ac:dyDescent="0.25">
      <c r="B419" s="1">
        <v>1757</v>
      </c>
      <c r="C419" s="1" t="str">
        <f t="shared" si="296"/>
        <v>NOBIL4090S7E/NH2</v>
      </c>
      <c r="D419" s="1" t="str">
        <f>"ODA16N00266-429"</f>
        <v>ODA16N00266-429</v>
      </c>
      <c r="E419" s="1" t="str">
        <f t="shared" si="292"/>
        <v>C12 USPA</v>
      </c>
      <c r="F419" s="1" t="str">
        <f t="shared" si="265"/>
        <v>BONIS SPA</v>
      </c>
      <c r="G419" s="1" t="str">
        <f t="shared" si="266"/>
        <v>STOCK TERRA MP</v>
      </c>
      <c r="H419" s="1" t="str">
        <f t="shared" si="297"/>
        <v>AVIO</v>
      </c>
      <c r="J419" s="1">
        <v>1</v>
      </c>
      <c r="K419" s="1">
        <f t="shared" si="288"/>
        <v>12</v>
      </c>
      <c r="L419" s="1" t="str">
        <f t="shared" si="267"/>
        <v>01</v>
      </c>
      <c r="M419" s="1" t="str">
        <f t="shared" si="247"/>
        <v>102</v>
      </c>
      <c r="N419" s="1" t="str">
        <f>"011"</f>
        <v>011</v>
      </c>
      <c r="O419" s="1" t="str">
        <f t="shared" si="268"/>
        <v>00</v>
      </c>
      <c r="P419" s="1" t="str">
        <f t="shared" si="269"/>
        <v>S</v>
      </c>
      <c r="Q419" s="1" t="str">
        <f t="shared" si="270"/>
        <v>P</v>
      </c>
      <c r="R419" s="1" t="str">
        <f t="shared" si="271"/>
        <v>01</v>
      </c>
      <c r="S419" s="1" t="str">
        <f t="shared" si="272"/>
        <v>03</v>
      </c>
      <c r="T419" s="1" t="str">
        <f t="shared" si="273"/>
        <v>False</v>
      </c>
      <c r="U419" s="1" t="str">
        <f t="shared" si="274"/>
        <v>True</v>
      </c>
      <c r="V419" s="1" t="str">
        <f>"U0023787"</f>
        <v>U0023787</v>
      </c>
      <c r="W419" s="1">
        <v>1</v>
      </c>
      <c r="Y419" s="1">
        <v>0</v>
      </c>
      <c r="Z419" s="1">
        <v>0</v>
      </c>
      <c r="AB419" s="1" t="str">
        <f t="shared" si="293"/>
        <v>ECOM</v>
      </c>
      <c r="AD419" s="1" t="str">
        <f t="shared" si="294"/>
        <v>4520182</v>
      </c>
      <c r="AE419" s="1" t="str">
        <f t="shared" si="295"/>
        <v>32 Joint Stock Company (Aseco)</v>
      </c>
      <c r="AG419" s="1">
        <v>0</v>
      </c>
      <c r="AH419" s="1">
        <v>0</v>
      </c>
      <c r="AI419" s="1" t="str">
        <f t="shared" si="298"/>
        <v>F06</v>
      </c>
      <c r="AJ419" s="1" t="str">
        <f t="shared" si="287"/>
        <v>MAN</v>
      </c>
      <c r="AK419" s="1" t="str">
        <f t="shared" si="275"/>
        <v>PA</v>
      </c>
      <c r="AP419" s="1" t="str">
        <f t="shared" si="276"/>
        <v>False</v>
      </c>
      <c r="AR419" s="1" t="str">
        <f t="shared" si="299"/>
        <v>NOBIL</v>
      </c>
      <c r="AY419" s="1" t="str">
        <f t="shared" si="277"/>
        <v>PF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 t="str">
        <f t="shared" si="300"/>
        <v>BBER-EVA  NYLON+MICROSUE</v>
      </c>
      <c r="BF419" s="1" t="str">
        <f t="shared" si="278"/>
        <v>Bonis SpA</v>
      </c>
      <c r="BO419" s="1">
        <v>0</v>
      </c>
      <c r="BP419" s="1">
        <v>0</v>
      </c>
      <c r="BQ419" s="1">
        <v>0</v>
      </c>
    </row>
    <row r="420" spans="2:69" x14ac:dyDescent="0.25">
      <c r="B420" s="1">
        <v>1757</v>
      </c>
      <c r="C420" s="1" t="str">
        <f t="shared" si="296"/>
        <v>NOBIL4090S7E/NH2</v>
      </c>
      <c r="D420" s="1" t="str">
        <f>"ODA16N00266-432"</f>
        <v>ODA16N00266-432</v>
      </c>
      <c r="E420" s="1" t="str">
        <f t="shared" si="292"/>
        <v>C12 USPA</v>
      </c>
      <c r="F420" s="1" t="str">
        <f t="shared" si="265"/>
        <v>BONIS SPA</v>
      </c>
      <c r="G420" s="1" t="str">
        <f t="shared" si="266"/>
        <v>STOCK TERRA MP</v>
      </c>
      <c r="H420" s="1" t="str">
        <f t="shared" si="297"/>
        <v>AVIO</v>
      </c>
      <c r="J420" s="1">
        <v>1</v>
      </c>
      <c r="K420" s="1">
        <f t="shared" si="288"/>
        <v>12</v>
      </c>
      <c r="L420" s="1" t="str">
        <f t="shared" si="267"/>
        <v>01</v>
      </c>
      <c r="M420" s="1" t="str">
        <f t="shared" si="247"/>
        <v>102</v>
      </c>
      <c r="N420" s="1" t="str">
        <f>"011"</f>
        <v>011</v>
      </c>
      <c r="O420" s="1" t="str">
        <f t="shared" si="268"/>
        <v>00</v>
      </c>
      <c r="P420" s="1" t="str">
        <f t="shared" si="269"/>
        <v>S</v>
      </c>
      <c r="Q420" s="1" t="str">
        <f t="shared" si="270"/>
        <v>P</v>
      </c>
      <c r="R420" s="1" t="str">
        <f t="shared" si="271"/>
        <v>01</v>
      </c>
      <c r="S420" s="1" t="str">
        <f t="shared" si="272"/>
        <v>03</v>
      </c>
      <c r="T420" s="1" t="str">
        <f t="shared" si="273"/>
        <v>False</v>
      </c>
      <c r="U420" s="1" t="str">
        <f t="shared" si="274"/>
        <v>True</v>
      </c>
      <c r="V420" s="1" t="str">
        <f>"U0023787"</f>
        <v>U0023787</v>
      </c>
      <c r="W420" s="1">
        <v>1</v>
      </c>
      <c r="Y420" s="1">
        <v>0</v>
      </c>
      <c r="Z420" s="1">
        <v>0</v>
      </c>
      <c r="AB420" s="1" t="str">
        <f t="shared" si="293"/>
        <v>ECOM</v>
      </c>
      <c r="AD420" s="1" t="str">
        <f t="shared" si="294"/>
        <v>4520182</v>
      </c>
      <c r="AE420" s="1" t="str">
        <f t="shared" si="295"/>
        <v>32 Joint Stock Company (Aseco)</v>
      </c>
      <c r="AG420" s="1">
        <v>0</v>
      </c>
      <c r="AH420" s="1">
        <v>0</v>
      </c>
      <c r="AI420" s="1" t="str">
        <f t="shared" si="298"/>
        <v>F06</v>
      </c>
      <c r="AJ420" s="1" t="str">
        <f t="shared" si="287"/>
        <v>MAN</v>
      </c>
      <c r="AK420" s="1" t="str">
        <f t="shared" si="275"/>
        <v>PA</v>
      </c>
      <c r="AP420" s="1" t="str">
        <f t="shared" si="276"/>
        <v>False</v>
      </c>
      <c r="AR420" s="1" t="str">
        <f t="shared" si="299"/>
        <v>NOBIL</v>
      </c>
      <c r="AY420" s="1" t="str">
        <f t="shared" si="277"/>
        <v>PF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 t="str">
        <f t="shared" si="300"/>
        <v>BBER-EVA  NYLON+MICROSUE</v>
      </c>
      <c r="BF420" s="1" t="str">
        <f t="shared" si="278"/>
        <v>Bonis SpA</v>
      </c>
      <c r="BO420" s="1">
        <v>0</v>
      </c>
      <c r="BP420" s="1">
        <v>0</v>
      </c>
      <c r="BQ420" s="1">
        <v>0</v>
      </c>
    </row>
    <row r="421" spans="2:69" x14ac:dyDescent="0.25">
      <c r="B421" s="1">
        <v>1757</v>
      </c>
      <c r="C421" s="1" t="str">
        <f t="shared" si="296"/>
        <v>NOBIL4090S7E/NH2</v>
      </c>
      <c r="D421" s="1" t="str">
        <f>"ODA16N00266-433"</f>
        <v>ODA16N00266-433</v>
      </c>
      <c r="E421" s="1" t="str">
        <f t="shared" si="292"/>
        <v>C12 USPA</v>
      </c>
      <c r="F421" s="1" t="str">
        <f t="shared" si="265"/>
        <v>BONIS SPA</v>
      </c>
      <c r="G421" s="1" t="str">
        <f t="shared" si="266"/>
        <v>STOCK TERRA MP</v>
      </c>
      <c r="H421" s="1" t="str">
        <f t="shared" si="297"/>
        <v>AVIO</v>
      </c>
      <c r="J421" s="1">
        <v>1</v>
      </c>
      <c r="K421" s="1">
        <f t="shared" si="288"/>
        <v>12</v>
      </c>
      <c r="L421" s="1" t="str">
        <f t="shared" si="267"/>
        <v>01</v>
      </c>
      <c r="M421" s="1" t="str">
        <f t="shared" si="247"/>
        <v>102</v>
      </c>
      <c r="N421" s="1" t="str">
        <f>"011"</f>
        <v>011</v>
      </c>
      <c r="O421" s="1" t="str">
        <f t="shared" si="268"/>
        <v>00</v>
      </c>
      <c r="P421" s="1" t="str">
        <f t="shared" si="269"/>
        <v>S</v>
      </c>
      <c r="Q421" s="1" t="str">
        <f t="shared" si="270"/>
        <v>P</v>
      </c>
      <c r="R421" s="1" t="str">
        <f t="shared" si="271"/>
        <v>01</v>
      </c>
      <c r="S421" s="1" t="str">
        <f t="shared" si="272"/>
        <v>03</v>
      </c>
      <c r="T421" s="1" t="str">
        <f t="shared" si="273"/>
        <v>False</v>
      </c>
      <c r="U421" s="1" t="str">
        <f t="shared" si="274"/>
        <v>True</v>
      </c>
      <c r="V421" s="1" t="str">
        <f>"U0023787"</f>
        <v>U0023787</v>
      </c>
      <c r="W421" s="1">
        <v>1</v>
      </c>
      <c r="Y421" s="1">
        <v>0</v>
      </c>
      <c r="Z421" s="1">
        <v>0</v>
      </c>
      <c r="AB421" s="1" t="str">
        <f t="shared" si="293"/>
        <v>ECOM</v>
      </c>
      <c r="AD421" s="1" t="str">
        <f t="shared" si="294"/>
        <v>4520182</v>
      </c>
      <c r="AE421" s="1" t="str">
        <f t="shared" si="295"/>
        <v>32 Joint Stock Company (Aseco)</v>
      </c>
      <c r="AG421" s="1">
        <v>0</v>
      </c>
      <c r="AH421" s="1">
        <v>0</v>
      </c>
      <c r="AI421" s="1" t="str">
        <f t="shared" si="298"/>
        <v>F06</v>
      </c>
      <c r="AJ421" s="1" t="str">
        <f t="shared" si="287"/>
        <v>MAN</v>
      </c>
      <c r="AK421" s="1" t="str">
        <f t="shared" si="275"/>
        <v>PA</v>
      </c>
      <c r="AP421" s="1" t="str">
        <f t="shared" si="276"/>
        <v>False</v>
      </c>
      <c r="AR421" s="1" t="str">
        <f t="shared" si="299"/>
        <v>NOBIL</v>
      </c>
      <c r="AY421" s="1" t="str">
        <f t="shared" si="277"/>
        <v>PF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 t="str">
        <f t="shared" si="300"/>
        <v>BBER-EVA  NYLON+MICROSUE</v>
      </c>
      <c r="BF421" s="1" t="str">
        <f t="shared" si="278"/>
        <v>Bonis SpA</v>
      </c>
      <c r="BO421" s="1">
        <v>0</v>
      </c>
      <c r="BP421" s="1">
        <v>0</v>
      </c>
      <c r="BQ421" s="1">
        <v>0</v>
      </c>
    </row>
    <row r="422" spans="2:69" x14ac:dyDescent="0.25">
      <c r="B422" s="1">
        <v>1756</v>
      </c>
      <c r="C422" s="1" t="str">
        <f t="shared" si="296"/>
        <v>NOBIL4090S7E/NH2</v>
      </c>
      <c r="D422" s="1" t="str">
        <f>"ODA16N00266-434"</f>
        <v>ODA16N00266-434</v>
      </c>
      <c r="E422" s="1" t="str">
        <f t="shared" si="292"/>
        <v>C12 USPA</v>
      </c>
      <c r="F422" s="1" t="str">
        <f t="shared" si="265"/>
        <v>BONIS SPA</v>
      </c>
      <c r="G422" s="1" t="str">
        <f t="shared" si="266"/>
        <v>STOCK TERRA MP</v>
      </c>
      <c r="H422" s="1" t="str">
        <f t="shared" si="297"/>
        <v>AVIO</v>
      </c>
      <c r="J422" s="1">
        <v>1</v>
      </c>
      <c r="K422" s="1">
        <f t="shared" si="288"/>
        <v>12</v>
      </c>
      <c r="L422" s="1" t="str">
        <f t="shared" si="267"/>
        <v>01</v>
      </c>
      <c r="M422" s="1" t="str">
        <f t="shared" si="247"/>
        <v>102</v>
      </c>
      <c r="N422" s="1" t="str">
        <f>"010"</f>
        <v>010</v>
      </c>
      <c r="O422" s="1" t="str">
        <f t="shared" si="268"/>
        <v>00</v>
      </c>
      <c r="P422" s="1" t="str">
        <f t="shared" si="269"/>
        <v>S</v>
      </c>
      <c r="Q422" s="1" t="str">
        <f t="shared" si="270"/>
        <v>P</v>
      </c>
      <c r="R422" s="1" t="str">
        <f t="shared" si="271"/>
        <v>01</v>
      </c>
      <c r="S422" s="1" t="str">
        <f t="shared" si="272"/>
        <v>03</v>
      </c>
      <c r="T422" s="1" t="str">
        <f t="shared" si="273"/>
        <v>False</v>
      </c>
      <c r="U422" s="1" t="str">
        <f t="shared" si="274"/>
        <v>True</v>
      </c>
      <c r="V422" s="1" t="str">
        <f>"U0024205"</f>
        <v>U0024205</v>
      </c>
      <c r="W422" s="1">
        <v>1</v>
      </c>
      <c r="Y422" s="1">
        <v>0</v>
      </c>
      <c r="Z422" s="1">
        <v>0</v>
      </c>
      <c r="AB422" s="1" t="str">
        <f t="shared" si="293"/>
        <v>ECOM</v>
      </c>
      <c r="AD422" s="1" t="str">
        <f t="shared" si="294"/>
        <v>4520182</v>
      </c>
      <c r="AE422" s="1" t="str">
        <f t="shared" si="295"/>
        <v>32 Joint Stock Company (Aseco)</v>
      </c>
      <c r="AG422" s="1">
        <v>0</v>
      </c>
      <c r="AH422" s="1">
        <v>0</v>
      </c>
      <c r="AI422" s="1" t="str">
        <f t="shared" si="298"/>
        <v>F06</v>
      </c>
      <c r="AJ422" s="1" t="str">
        <f t="shared" si="287"/>
        <v>MAN</v>
      </c>
      <c r="AK422" s="1" t="str">
        <f t="shared" si="275"/>
        <v>PA</v>
      </c>
      <c r="AP422" s="1" t="str">
        <f t="shared" si="276"/>
        <v>False</v>
      </c>
      <c r="AR422" s="1" t="str">
        <f t="shared" si="299"/>
        <v>NOBIL</v>
      </c>
      <c r="AY422" s="1" t="str">
        <f t="shared" si="277"/>
        <v>PF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 t="str">
        <f t="shared" si="300"/>
        <v>BBER-EVA  NYLON+MICROSUE</v>
      </c>
      <c r="BF422" s="1" t="str">
        <f t="shared" si="278"/>
        <v>Bonis SpA</v>
      </c>
      <c r="BO422" s="1">
        <v>0</v>
      </c>
      <c r="BP422" s="1">
        <v>0</v>
      </c>
      <c r="BQ422" s="1">
        <v>0</v>
      </c>
    </row>
    <row r="423" spans="2:69" x14ac:dyDescent="0.25">
      <c r="B423" s="1">
        <v>1756</v>
      </c>
      <c r="C423" s="1" t="str">
        <f t="shared" si="296"/>
        <v>NOBIL4090S7E/NH2</v>
      </c>
      <c r="D423" s="1" t="str">
        <f>"ODA16N00266-435"</f>
        <v>ODA16N00266-435</v>
      </c>
      <c r="E423" s="1" t="str">
        <f t="shared" si="292"/>
        <v>C12 USPA</v>
      </c>
      <c r="F423" s="1" t="str">
        <f t="shared" si="265"/>
        <v>BONIS SPA</v>
      </c>
      <c r="G423" s="1" t="str">
        <f t="shared" si="266"/>
        <v>STOCK TERRA MP</v>
      </c>
      <c r="H423" s="1" t="str">
        <f t="shared" si="297"/>
        <v>AVIO</v>
      </c>
      <c r="J423" s="1">
        <v>1</v>
      </c>
      <c r="K423" s="1">
        <f t="shared" si="288"/>
        <v>12</v>
      </c>
      <c r="L423" s="1" t="str">
        <f t="shared" si="267"/>
        <v>01</v>
      </c>
      <c r="M423" s="1" t="str">
        <f t="shared" si="247"/>
        <v>102</v>
      </c>
      <c r="N423" s="1" t="str">
        <f>"010"</f>
        <v>010</v>
      </c>
      <c r="O423" s="1" t="str">
        <f t="shared" si="268"/>
        <v>00</v>
      </c>
      <c r="P423" s="1" t="str">
        <f t="shared" si="269"/>
        <v>S</v>
      </c>
      <c r="Q423" s="1" t="str">
        <f t="shared" si="270"/>
        <v>P</v>
      </c>
      <c r="R423" s="1" t="str">
        <f t="shared" si="271"/>
        <v>01</v>
      </c>
      <c r="S423" s="1" t="str">
        <f t="shared" si="272"/>
        <v>03</v>
      </c>
      <c r="T423" s="1" t="str">
        <f t="shared" si="273"/>
        <v>False</v>
      </c>
      <c r="U423" s="1" t="str">
        <f t="shared" si="274"/>
        <v>True</v>
      </c>
      <c r="V423" s="1" t="str">
        <f>"U0024205"</f>
        <v>U0024205</v>
      </c>
      <c r="W423" s="1">
        <v>1</v>
      </c>
      <c r="Y423" s="1">
        <v>0</v>
      </c>
      <c r="Z423" s="1">
        <v>0</v>
      </c>
      <c r="AB423" s="1" t="str">
        <f t="shared" si="293"/>
        <v>ECOM</v>
      </c>
      <c r="AD423" s="1" t="str">
        <f t="shared" si="294"/>
        <v>4520182</v>
      </c>
      <c r="AE423" s="1" t="str">
        <f t="shared" si="295"/>
        <v>32 Joint Stock Company (Aseco)</v>
      </c>
      <c r="AG423" s="1">
        <v>0</v>
      </c>
      <c r="AH423" s="1">
        <v>0</v>
      </c>
      <c r="AI423" s="1" t="str">
        <f t="shared" si="298"/>
        <v>F06</v>
      </c>
      <c r="AJ423" s="1" t="str">
        <f t="shared" si="287"/>
        <v>MAN</v>
      </c>
      <c r="AK423" s="1" t="str">
        <f t="shared" si="275"/>
        <v>PA</v>
      </c>
      <c r="AP423" s="1" t="str">
        <f t="shared" si="276"/>
        <v>False</v>
      </c>
      <c r="AR423" s="1" t="str">
        <f t="shared" si="299"/>
        <v>NOBIL</v>
      </c>
      <c r="AY423" s="1" t="str">
        <f t="shared" si="277"/>
        <v>PF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 t="str">
        <f t="shared" si="300"/>
        <v>BBER-EVA  NYLON+MICROSUE</v>
      </c>
      <c r="BF423" s="1" t="str">
        <f t="shared" si="278"/>
        <v>Bonis SpA</v>
      </c>
      <c r="BO423" s="1">
        <v>0</v>
      </c>
      <c r="BP423" s="1">
        <v>0</v>
      </c>
      <c r="BQ423" s="1">
        <v>0</v>
      </c>
    </row>
    <row r="424" spans="2:69" x14ac:dyDescent="0.25">
      <c r="B424" s="1">
        <v>1757</v>
      </c>
      <c r="C424" s="1" t="str">
        <f t="shared" si="296"/>
        <v>NOBIL4090S7E/NH2</v>
      </c>
      <c r="D424" s="1" t="str">
        <f>"ODA16N00266-437"</f>
        <v>ODA16N00266-437</v>
      </c>
      <c r="E424" s="1" t="str">
        <f t="shared" si="292"/>
        <v>C12 USPA</v>
      </c>
      <c r="F424" s="1" t="str">
        <f t="shared" si="265"/>
        <v>BONIS SPA</v>
      </c>
      <c r="G424" s="1" t="str">
        <f t="shared" si="266"/>
        <v>STOCK TERRA MP</v>
      </c>
      <c r="H424" s="1" t="str">
        <f t="shared" si="297"/>
        <v>AVIO</v>
      </c>
      <c r="J424" s="1">
        <v>1</v>
      </c>
      <c r="K424" s="1">
        <f t="shared" si="288"/>
        <v>12</v>
      </c>
      <c r="L424" s="1" t="str">
        <f t="shared" si="267"/>
        <v>01</v>
      </c>
      <c r="M424" s="1" t="str">
        <f t="shared" si="247"/>
        <v>102</v>
      </c>
      <c r="N424" s="1" t="str">
        <f>"011"</f>
        <v>011</v>
      </c>
      <c r="O424" s="1" t="str">
        <f t="shared" si="268"/>
        <v>00</v>
      </c>
      <c r="P424" s="1" t="str">
        <f t="shared" si="269"/>
        <v>S</v>
      </c>
      <c r="Q424" s="1" t="str">
        <f t="shared" si="270"/>
        <v>P</v>
      </c>
      <c r="R424" s="1" t="str">
        <f t="shared" si="271"/>
        <v>01</v>
      </c>
      <c r="S424" s="1" t="str">
        <f t="shared" si="272"/>
        <v>03</v>
      </c>
      <c r="T424" s="1" t="str">
        <f t="shared" si="273"/>
        <v>False</v>
      </c>
      <c r="U424" s="1" t="str">
        <f t="shared" si="274"/>
        <v>True</v>
      </c>
      <c r="V424" s="1" t="str">
        <f>"U0023787"</f>
        <v>U0023787</v>
      </c>
      <c r="W424" s="1">
        <v>1</v>
      </c>
      <c r="Y424" s="1">
        <v>0</v>
      </c>
      <c r="Z424" s="1">
        <v>0</v>
      </c>
      <c r="AB424" s="1" t="str">
        <f t="shared" si="293"/>
        <v>ECOM</v>
      </c>
      <c r="AD424" s="1" t="str">
        <f t="shared" si="294"/>
        <v>4520182</v>
      </c>
      <c r="AE424" s="1" t="str">
        <f t="shared" si="295"/>
        <v>32 Joint Stock Company (Aseco)</v>
      </c>
      <c r="AG424" s="1">
        <v>0</v>
      </c>
      <c r="AH424" s="1">
        <v>0</v>
      </c>
      <c r="AI424" s="1" t="str">
        <f t="shared" si="298"/>
        <v>F06</v>
      </c>
      <c r="AJ424" s="1" t="str">
        <f t="shared" si="287"/>
        <v>MAN</v>
      </c>
      <c r="AK424" s="1" t="str">
        <f t="shared" si="275"/>
        <v>PA</v>
      </c>
      <c r="AP424" s="1" t="str">
        <f t="shared" si="276"/>
        <v>False</v>
      </c>
      <c r="AR424" s="1" t="str">
        <f t="shared" si="299"/>
        <v>NOBIL</v>
      </c>
      <c r="AY424" s="1" t="str">
        <f t="shared" si="277"/>
        <v>PF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 t="str">
        <f t="shared" si="300"/>
        <v>BBER-EVA  NYLON+MICROSUE</v>
      </c>
      <c r="BF424" s="1" t="str">
        <f t="shared" si="278"/>
        <v>Bonis SpA</v>
      </c>
      <c r="BO424" s="1">
        <v>0</v>
      </c>
      <c r="BP424" s="1">
        <v>0</v>
      </c>
      <c r="BQ424" s="1">
        <v>0</v>
      </c>
    </row>
    <row r="425" spans="2:69" x14ac:dyDescent="0.25">
      <c r="B425" s="1">
        <v>1747</v>
      </c>
      <c r="C425" s="1" t="str">
        <f>"EGEO4169S7/Y1"</f>
        <v>EGEO4169S7/Y1</v>
      </c>
      <c r="D425" s="1" t="str">
        <f>"ODA16N00292-018"</f>
        <v>ODA16N00292-018</v>
      </c>
      <c r="E425" s="1" t="str">
        <f>"D12 USPA"</f>
        <v>D12 USPA</v>
      </c>
      <c r="F425" s="1" t="str">
        <f t="shared" si="265"/>
        <v>BONIS SPA</v>
      </c>
      <c r="G425" s="1" t="str">
        <f t="shared" si="266"/>
        <v>STOCK TERRA MP</v>
      </c>
      <c r="H425" s="1" t="str">
        <f>"WHI"</f>
        <v>WHI</v>
      </c>
      <c r="J425" s="1">
        <v>1</v>
      </c>
      <c r="K425" s="1">
        <f t="shared" si="288"/>
        <v>12</v>
      </c>
      <c r="L425" s="1" t="str">
        <f t="shared" si="267"/>
        <v>01</v>
      </c>
      <c r="M425" s="1" t="str">
        <f t="shared" si="247"/>
        <v>102</v>
      </c>
      <c r="N425" s="1" t="str">
        <f>"001"</f>
        <v>001</v>
      </c>
      <c r="O425" s="1" t="str">
        <f t="shared" si="268"/>
        <v>00</v>
      </c>
      <c r="P425" s="1" t="str">
        <f t="shared" si="269"/>
        <v>S</v>
      </c>
      <c r="Q425" s="1" t="str">
        <f t="shared" si="270"/>
        <v>P</v>
      </c>
      <c r="R425" s="1" t="str">
        <f t="shared" si="271"/>
        <v>01</v>
      </c>
      <c r="S425" s="1" t="str">
        <f t="shared" si="272"/>
        <v>03</v>
      </c>
      <c r="T425" s="1" t="str">
        <f t="shared" si="273"/>
        <v>False</v>
      </c>
      <c r="U425" s="1" t="str">
        <f t="shared" si="274"/>
        <v>True</v>
      </c>
      <c r="V425" s="1" t="str">
        <f>"U0024439"</f>
        <v>U0024439</v>
      </c>
      <c r="W425" s="1">
        <v>1</v>
      </c>
      <c r="Y425" s="1">
        <v>0</v>
      </c>
      <c r="Z425" s="1">
        <v>0</v>
      </c>
      <c r="AD425" s="1" t="str">
        <f t="shared" ref="AD425:AD447" si="301">"4520271"</f>
        <v>4520271</v>
      </c>
      <c r="AE425" s="1" t="str">
        <f t="shared" ref="AE425:AE447" si="302">"FUZHOU KINGDOM SHOES CO., LTD"</f>
        <v>FUZHOU KINGDOM SHOES CO., LTD</v>
      </c>
      <c r="AG425" s="1">
        <v>0</v>
      </c>
      <c r="AH425" s="1">
        <v>0</v>
      </c>
      <c r="AI425" s="1" t="str">
        <f t="shared" si="298"/>
        <v>F06</v>
      </c>
      <c r="AJ425" s="1" t="str">
        <f t="shared" ref="AJ425:AJ430" si="303">"WOMAN"</f>
        <v>WOMAN</v>
      </c>
      <c r="AK425" s="1" t="str">
        <f t="shared" si="275"/>
        <v>PA</v>
      </c>
      <c r="AP425" s="1" t="str">
        <f t="shared" si="276"/>
        <v>False</v>
      </c>
      <c r="AR425" s="1" t="str">
        <f>"EGEO"</f>
        <v>EGEO</v>
      </c>
      <c r="AY425" s="1" t="str">
        <f t="shared" si="277"/>
        <v>PF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 t="str">
        <f>"GEO TOMAIA SYNTHETIC"</f>
        <v>GEO TOMAIA SYNTHETIC</v>
      </c>
      <c r="BF425" s="1" t="str">
        <f t="shared" si="278"/>
        <v>Bonis SpA</v>
      </c>
      <c r="BO425" s="1">
        <v>0</v>
      </c>
      <c r="BP425" s="1">
        <v>0</v>
      </c>
      <c r="BQ425" s="1">
        <v>0</v>
      </c>
    </row>
    <row r="426" spans="2:69" x14ac:dyDescent="0.25">
      <c r="B426" s="1">
        <v>1756</v>
      </c>
      <c r="C426" s="1" t="str">
        <f>"ETNA4094S7/Y1"</f>
        <v>ETNA4094S7/Y1</v>
      </c>
      <c r="D426" s="1" t="str">
        <f>"ODA16N00296-035"</f>
        <v>ODA16N00296-035</v>
      </c>
      <c r="E426" s="1" t="str">
        <f>"K8 USPA"</f>
        <v>K8 USPA</v>
      </c>
      <c r="F426" s="1" t="str">
        <f t="shared" si="265"/>
        <v>BONIS SPA</v>
      </c>
      <c r="G426" s="1" t="str">
        <f t="shared" si="266"/>
        <v>STOCK TERRA MP</v>
      </c>
      <c r="H426" s="1" t="str">
        <f>"BLK"</f>
        <v>BLK</v>
      </c>
      <c r="J426" s="1">
        <v>1</v>
      </c>
      <c r="K426" s="1">
        <f t="shared" ref="K426:K428" si="304">8*J426</f>
        <v>8</v>
      </c>
      <c r="L426" s="1" t="str">
        <f t="shared" si="267"/>
        <v>01</v>
      </c>
      <c r="M426" s="1" t="str">
        <f t="shared" si="247"/>
        <v>102</v>
      </c>
      <c r="N426" s="1" t="str">
        <f>"010"</f>
        <v>010</v>
      </c>
      <c r="O426" s="1" t="str">
        <f t="shared" si="268"/>
        <v>00</v>
      </c>
      <c r="P426" s="1" t="str">
        <f t="shared" si="269"/>
        <v>S</v>
      </c>
      <c r="Q426" s="1" t="str">
        <f t="shared" si="270"/>
        <v>P</v>
      </c>
      <c r="R426" s="1" t="str">
        <f t="shared" si="271"/>
        <v>01</v>
      </c>
      <c r="S426" s="1" t="str">
        <f t="shared" si="272"/>
        <v>03</v>
      </c>
      <c r="T426" s="1" t="str">
        <f t="shared" si="273"/>
        <v>False</v>
      </c>
      <c r="U426" s="1" t="str">
        <f t="shared" si="274"/>
        <v>True</v>
      </c>
      <c r="V426" s="1" t="str">
        <f>"U0024205"</f>
        <v>U0024205</v>
      </c>
      <c r="W426" s="1">
        <v>1</v>
      </c>
      <c r="Y426" s="1">
        <v>0</v>
      </c>
      <c r="Z426" s="1">
        <v>0</v>
      </c>
      <c r="AD426" s="1" t="str">
        <f t="shared" si="301"/>
        <v>4520271</v>
      </c>
      <c r="AE426" s="1" t="str">
        <f t="shared" si="302"/>
        <v>FUZHOU KINGDOM SHOES CO., LTD</v>
      </c>
      <c r="AG426" s="1">
        <v>0</v>
      </c>
      <c r="AH426" s="1">
        <v>0</v>
      </c>
      <c r="AI426" s="1" t="str">
        <f t="shared" si="298"/>
        <v>F06</v>
      </c>
      <c r="AJ426" s="1" t="str">
        <f t="shared" si="303"/>
        <v>WOMAN</v>
      </c>
      <c r="AK426" s="1" t="str">
        <f t="shared" si="275"/>
        <v>PA</v>
      </c>
      <c r="AP426" s="1" t="str">
        <f t="shared" si="276"/>
        <v>False</v>
      </c>
      <c r="AR426" s="1" t="str">
        <f>"ETNA"</f>
        <v>ETNA</v>
      </c>
      <c r="AY426" s="1" t="str">
        <f t="shared" si="277"/>
        <v>PF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 t="str">
        <f>"A+TOMAIA PU"</f>
        <v>A+TOMAIA PU</v>
      </c>
      <c r="BF426" s="1" t="str">
        <f t="shared" si="278"/>
        <v>Bonis SpA</v>
      </c>
      <c r="BO426" s="1">
        <v>0</v>
      </c>
      <c r="BP426" s="1">
        <v>0</v>
      </c>
      <c r="BQ426" s="1">
        <v>0</v>
      </c>
    </row>
    <row r="427" spans="2:69" x14ac:dyDescent="0.25">
      <c r="B427" s="1">
        <v>1756</v>
      </c>
      <c r="C427" s="1" t="str">
        <f>"ETNA4094S7/Y1"</f>
        <v>ETNA4094S7/Y1</v>
      </c>
      <c r="D427" s="1" t="str">
        <f>"ODA16N00296-036"</f>
        <v>ODA16N00296-036</v>
      </c>
      <c r="E427" s="1" t="str">
        <f>"K8 USPA"</f>
        <v>K8 USPA</v>
      </c>
      <c r="F427" s="1" t="str">
        <f t="shared" si="265"/>
        <v>BONIS SPA</v>
      </c>
      <c r="G427" s="1" t="str">
        <f t="shared" si="266"/>
        <v>STOCK TERRA MP</v>
      </c>
      <c r="H427" s="1" t="str">
        <f>"BLK"</f>
        <v>BLK</v>
      </c>
      <c r="J427" s="1">
        <v>1</v>
      </c>
      <c r="K427" s="1">
        <f t="shared" si="304"/>
        <v>8</v>
      </c>
      <c r="L427" s="1" t="str">
        <f t="shared" si="267"/>
        <v>01</v>
      </c>
      <c r="M427" s="1" t="str">
        <f t="shared" ref="M427:M490" si="305">"102"</f>
        <v>102</v>
      </c>
      <c r="N427" s="1" t="str">
        <f>"010"</f>
        <v>010</v>
      </c>
      <c r="O427" s="1" t="str">
        <f t="shared" si="268"/>
        <v>00</v>
      </c>
      <c r="P427" s="1" t="str">
        <f t="shared" si="269"/>
        <v>S</v>
      </c>
      <c r="Q427" s="1" t="str">
        <f t="shared" si="270"/>
        <v>P</v>
      </c>
      <c r="R427" s="1" t="str">
        <f t="shared" si="271"/>
        <v>01</v>
      </c>
      <c r="S427" s="1" t="str">
        <f t="shared" si="272"/>
        <v>03</v>
      </c>
      <c r="T427" s="1" t="str">
        <f t="shared" si="273"/>
        <v>False</v>
      </c>
      <c r="U427" s="1" t="str">
        <f t="shared" si="274"/>
        <v>True</v>
      </c>
      <c r="V427" s="1" t="str">
        <f>"U0024205"</f>
        <v>U0024205</v>
      </c>
      <c r="W427" s="1">
        <v>1</v>
      </c>
      <c r="Y427" s="1">
        <v>0</v>
      </c>
      <c r="Z427" s="1">
        <v>0</v>
      </c>
      <c r="AD427" s="1" t="str">
        <f t="shared" si="301"/>
        <v>4520271</v>
      </c>
      <c r="AE427" s="1" t="str">
        <f t="shared" si="302"/>
        <v>FUZHOU KINGDOM SHOES CO., LTD</v>
      </c>
      <c r="AG427" s="1">
        <v>0</v>
      </c>
      <c r="AH427" s="1">
        <v>0</v>
      </c>
      <c r="AI427" s="1" t="str">
        <f t="shared" si="298"/>
        <v>F06</v>
      </c>
      <c r="AJ427" s="1" t="str">
        <f t="shared" si="303"/>
        <v>WOMAN</v>
      </c>
      <c r="AK427" s="1" t="str">
        <f t="shared" si="275"/>
        <v>PA</v>
      </c>
      <c r="AP427" s="1" t="str">
        <f t="shared" si="276"/>
        <v>False</v>
      </c>
      <c r="AR427" s="1" t="str">
        <f>"ETNA"</f>
        <v>ETNA</v>
      </c>
      <c r="AY427" s="1" t="str">
        <f t="shared" si="277"/>
        <v>PF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 t="str">
        <f>"A+TOMAIA PU"</f>
        <v>A+TOMAIA PU</v>
      </c>
      <c r="BF427" s="1" t="str">
        <f t="shared" si="278"/>
        <v>Bonis SpA</v>
      </c>
      <c r="BO427" s="1">
        <v>0</v>
      </c>
      <c r="BP427" s="1">
        <v>0</v>
      </c>
      <c r="BQ427" s="1">
        <v>0</v>
      </c>
    </row>
    <row r="428" spans="2:69" x14ac:dyDescent="0.25">
      <c r="B428" s="1">
        <v>1756</v>
      </c>
      <c r="C428" s="1" t="str">
        <f>"ETNA4094S7/Y1"</f>
        <v>ETNA4094S7/Y1</v>
      </c>
      <c r="D428" s="1" t="str">
        <f>"ODA16N00296-039"</f>
        <v>ODA16N00296-039</v>
      </c>
      <c r="E428" s="1" t="str">
        <f>"K8 USPA"</f>
        <v>K8 USPA</v>
      </c>
      <c r="F428" s="1" t="str">
        <f t="shared" si="265"/>
        <v>BONIS SPA</v>
      </c>
      <c r="G428" s="1" t="str">
        <f t="shared" si="266"/>
        <v>STOCK TERRA MP</v>
      </c>
      <c r="H428" s="1" t="str">
        <f>"BLK"</f>
        <v>BLK</v>
      </c>
      <c r="J428" s="1">
        <v>1</v>
      </c>
      <c r="K428" s="1">
        <f t="shared" si="304"/>
        <v>8</v>
      </c>
      <c r="L428" s="1" t="str">
        <f t="shared" si="267"/>
        <v>01</v>
      </c>
      <c r="M428" s="1" t="str">
        <f t="shared" si="305"/>
        <v>102</v>
      </c>
      <c r="N428" s="1" t="str">
        <f>"010"</f>
        <v>010</v>
      </c>
      <c r="O428" s="1" t="str">
        <f t="shared" si="268"/>
        <v>00</v>
      </c>
      <c r="P428" s="1" t="str">
        <f t="shared" si="269"/>
        <v>S</v>
      </c>
      <c r="Q428" s="1" t="str">
        <f t="shared" si="270"/>
        <v>P</v>
      </c>
      <c r="R428" s="1" t="str">
        <f t="shared" si="271"/>
        <v>01</v>
      </c>
      <c r="S428" s="1" t="str">
        <f t="shared" si="272"/>
        <v>03</v>
      </c>
      <c r="T428" s="1" t="str">
        <f t="shared" si="273"/>
        <v>False</v>
      </c>
      <c r="U428" s="1" t="str">
        <f t="shared" si="274"/>
        <v>True</v>
      </c>
      <c r="V428" s="1" t="str">
        <f>"U0024205"</f>
        <v>U0024205</v>
      </c>
      <c r="W428" s="1">
        <v>1</v>
      </c>
      <c r="Y428" s="1">
        <v>0</v>
      </c>
      <c r="Z428" s="1">
        <v>0</v>
      </c>
      <c r="AD428" s="1" t="str">
        <f t="shared" si="301"/>
        <v>4520271</v>
      </c>
      <c r="AE428" s="1" t="str">
        <f t="shared" si="302"/>
        <v>FUZHOU KINGDOM SHOES CO., LTD</v>
      </c>
      <c r="AG428" s="1">
        <v>0</v>
      </c>
      <c r="AH428" s="1">
        <v>0</v>
      </c>
      <c r="AI428" s="1" t="str">
        <f t="shared" si="298"/>
        <v>F06</v>
      </c>
      <c r="AJ428" s="1" t="str">
        <f t="shared" si="303"/>
        <v>WOMAN</v>
      </c>
      <c r="AK428" s="1" t="str">
        <f t="shared" si="275"/>
        <v>PA</v>
      </c>
      <c r="AP428" s="1" t="str">
        <f t="shared" si="276"/>
        <v>False</v>
      </c>
      <c r="AR428" s="1" t="str">
        <f>"ETNA"</f>
        <v>ETNA</v>
      </c>
      <c r="AY428" s="1" t="str">
        <f t="shared" si="277"/>
        <v>PF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 t="str">
        <f>"A+TOMAIA PU"</f>
        <v>A+TOMAIA PU</v>
      </c>
      <c r="BF428" s="1" t="str">
        <f t="shared" si="278"/>
        <v>Bonis SpA</v>
      </c>
      <c r="BO428" s="1">
        <v>0</v>
      </c>
      <c r="BP428" s="1">
        <v>0</v>
      </c>
      <c r="BQ428" s="1">
        <v>0</v>
      </c>
    </row>
    <row r="429" spans="2:69" x14ac:dyDescent="0.25">
      <c r="B429" s="1">
        <v>1753</v>
      </c>
      <c r="C429" s="1" t="str">
        <f>"ETNA4094S7/Y1"</f>
        <v>ETNA4094S7/Y1</v>
      </c>
      <c r="D429" s="1" t="str">
        <f>"ODA16N00296-055"</f>
        <v>ODA16N00296-055</v>
      </c>
      <c r="E429" s="1" t="str">
        <f>"R12 USPA"</f>
        <v>R12 USPA</v>
      </c>
      <c r="F429" s="1" t="str">
        <f t="shared" si="265"/>
        <v>BONIS SPA</v>
      </c>
      <c r="G429" s="1" t="str">
        <f t="shared" si="266"/>
        <v>STOCK TERRA MP</v>
      </c>
      <c r="H429" s="1" t="str">
        <f>"BLK"</f>
        <v>BLK</v>
      </c>
      <c r="J429" s="1">
        <v>1</v>
      </c>
      <c r="K429" s="1">
        <f>12*J429</f>
        <v>12</v>
      </c>
      <c r="L429" s="1" t="str">
        <f t="shared" si="267"/>
        <v>01</v>
      </c>
      <c r="M429" s="1" t="str">
        <f t="shared" si="305"/>
        <v>102</v>
      </c>
      <c r="N429" s="1" t="str">
        <f>"007"</f>
        <v>007</v>
      </c>
      <c r="O429" s="1" t="str">
        <f t="shared" si="268"/>
        <v>00</v>
      </c>
      <c r="P429" s="1" t="str">
        <f t="shared" si="269"/>
        <v>S</v>
      </c>
      <c r="Q429" s="1" t="str">
        <f t="shared" si="270"/>
        <v>P</v>
      </c>
      <c r="R429" s="1" t="str">
        <f t="shared" si="271"/>
        <v>01</v>
      </c>
      <c r="S429" s="1" t="str">
        <f t="shared" si="272"/>
        <v>03</v>
      </c>
      <c r="T429" s="1" t="str">
        <f t="shared" si="273"/>
        <v>False</v>
      </c>
      <c r="U429" s="1" t="str">
        <f t="shared" si="274"/>
        <v>True</v>
      </c>
      <c r="V429" s="1" t="str">
        <f>"U0020221"</f>
        <v>U0020221</v>
      </c>
      <c r="W429" s="1">
        <v>1</v>
      </c>
      <c r="Y429" s="1">
        <v>0</v>
      </c>
      <c r="Z429" s="1">
        <v>0</v>
      </c>
      <c r="AD429" s="1" t="str">
        <f t="shared" si="301"/>
        <v>4520271</v>
      </c>
      <c r="AE429" s="1" t="str">
        <f t="shared" si="302"/>
        <v>FUZHOU KINGDOM SHOES CO., LTD</v>
      </c>
      <c r="AG429" s="1">
        <v>0</v>
      </c>
      <c r="AH429" s="1">
        <v>0</v>
      </c>
      <c r="AI429" s="1" t="str">
        <f>"F11"</f>
        <v>F11</v>
      </c>
      <c r="AJ429" s="1" t="str">
        <f t="shared" si="303"/>
        <v>WOMAN</v>
      </c>
      <c r="AK429" s="1" t="str">
        <f t="shared" si="275"/>
        <v>PA</v>
      </c>
      <c r="AP429" s="1" t="str">
        <f t="shared" si="276"/>
        <v>False</v>
      </c>
      <c r="AR429" s="1" t="str">
        <f>"ETNA"</f>
        <v>ETNA</v>
      </c>
      <c r="AY429" s="1" t="str">
        <f t="shared" si="277"/>
        <v>PF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 t="str">
        <f>"A+TOMAIA PU"</f>
        <v>A+TOMAIA PU</v>
      </c>
      <c r="BF429" s="1" t="str">
        <f t="shared" si="278"/>
        <v>Bonis SpA</v>
      </c>
      <c r="BO429" s="1">
        <v>0</v>
      </c>
      <c r="BP429" s="1">
        <v>0</v>
      </c>
      <c r="BQ429" s="1">
        <v>0</v>
      </c>
    </row>
    <row r="430" spans="2:69" x14ac:dyDescent="0.25">
      <c r="B430" s="1">
        <v>1747</v>
      </c>
      <c r="C430" s="1" t="str">
        <f>"ETNA4094S7/Y1"</f>
        <v>ETNA4094S7/Y1</v>
      </c>
      <c r="D430" s="1" t="str">
        <f>"ODA16N00296-163"</f>
        <v>ODA16N00296-163</v>
      </c>
      <c r="E430" s="1" t="str">
        <f>"K8 USPA"</f>
        <v>K8 USPA</v>
      </c>
      <c r="F430" s="1" t="str">
        <f t="shared" si="265"/>
        <v>BONIS SPA</v>
      </c>
      <c r="G430" s="1" t="str">
        <f t="shared" si="266"/>
        <v>STOCK TERRA MP</v>
      </c>
      <c r="H430" s="1" t="str">
        <f>"GOLD"</f>
        <v>GOLD</v>
      </c>
      <c r="J430" s="1">
        <v>1</v>
      </c>
      <c r="K430" s="1">
        <f t="shared" ref="K430:K442" si="306">8*J430</f>
        <v>8</v>
      </c>
      <c r="L430" s="1" t="str">
        <f t="shared" si="267"/>
        <v>01</v>
      </c>
      <c r="M430" s="1" t="str">
        <f t="shared" si="305"/>
        <v>102</v>
      </c>
      <c r="N430" s="1" t="str">
        <f>"001"</f>
        <v>001</v>
      </c>
      <c r="O430" s="1" t="str">
        <f t="shared" si="268"/>
        <v>00</v>
      </c>
      <c r="P430" s="1" t="str">
        <f t="shared" si="269"/>
        <v>S</v>
      </c>
      <c r="Q430" s="1" t="str">
        <f t="shared" si="270"/>
        <v>P</v>
      </c>
      <c r="R430" s="1" t="str">
        <f t="shared" si="271"/>
        <v>01</v>
      </c>
      <c r="S430" s="1" t="str">
        <f t="shared" si="272"/>
        <v>03</v>
      </c>
      <c r="T430" s="1" t="str">
        <f t="shared" si="273"/>
        <v>False</v>
      </c>
      <c r="U430" s="1" t="str">
        <f t="shared" si="274"/>
        <v>True</v>
      </c>
      <c r="V430" s="1" t="str">
        <f>"U0024439"</f>
        <v>U0024439</v>
      </c>
      <c r="W430" s="1">
        <v>1</v>
      </c>
      <c r="Y430" s="1">
        <v>0</v>
      </c>
      <c r="Z430" s="1">
        <v>0</v>
      </c>
      <c r="AD430" s="1" t="str">
        <f t="shared" si="301"/>
        <v>4520271</v>
      </c>
      <c r="AE430" s="1" t="str">
        <f t="shared" si="302"/>
        <v>FUZHOU KINGDOM SHOES CO., LTD</v>
      </c>
      <c r="AG430" s="1">
        <v>0</v>
      </c>
      <c r="AH430" s="1">
        <v>0</v>
      </c>
      <c r="AI430" s="1" t="str">
        <f t="shared" ref="AI430:AI448" si="307">"F06"</f>
        <v>F06</v>
      </c>
      <c r="AJ430" s="1" t="str">
        <f t="shared" si="303"/>
        <v>WOMAN</v>
      </c>
      <c r="AK430" s="1" t="str">
        <f t="shared" si="275"/>
        <v>PA</v>
      </c>
      <c r="AP430" s="1" t="str">
        <f t="shared" si="276"/>
        <v>False</v>
      </c>
      <c r="AR430" s="1" t="str">
        <f>"ETNA"</f>
        <v>ETNA</v>
      </c>
      <c r="AY430" s="1" t="str">
        <f t="shared" si="277"/>
        <v>PF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 t="str">
        <f>"A+TOMAIA PU"</f>
        <v>A+TOMAIA PU</v>
      </c>
      <c r="BF430" s="1" t="str">
        <f t="shared" si="278"/>
        <v>Bonis SpA</v>
      </c>
      <c r="BO430" s="1">
        <v>0</v>
      </c>
      <c r="BP430" s="1">
        <v>0</v>
      </c>
      <c r="BQ430" s="1">
        <v>0</v>
      </c>
    </row>
    <row r="431" spans="2:69" x14ac:dyDescent="0.25">
      <c r="B431" s="1">
        <v>1758</v>
      </c>
      <c r="C431" s="1" t="str">
        <f t="shared" ref="C431:C443" si="308">"VAIAN4207S7/G1"</f>
        <v>VAIAN4207S7/G1</v>
      </c>
      <c r="D431" s="1" t="str">
        <f>"ODA16N00302-172"</f>
        <v>ODA16N00302-172</v>
      </c>
      <c r="E431" s="1" t="str">
        <f t="shared" ref="E431:E442" si="309">"A8 USPA"</f>
        <v>A8 USPA</v>
      </c>
      <c r="F431" s="1" t="str">
        <f t="shared" si="265"/>
        <v>BONIS SPA</v>
      </c>
      <c r="G431" s="1" t="str">
        <f t="shared" si="266"/>
        <v>STOCK TERRA MP</v>
      </c>
      <c r="H431" s="1" t="str">
        <f t="shared" ref="H431:H443" si="310">"DKBL"</f>
        <v>DKBL</v>
      </c>
      <c r="J431" s="1">
        <v>1</v>
      </c>
      <c r="K431" s="1">
        <f t="shared" si="306"/>
        <v>8</v>
      </c>
      <c r="L431" s="1" t="str">
        <f t="shared" si="267"/>
        <v>01</v>
      </c>
      <c r="M431" s="1" t="str">
        <f t="shared" si="305"/>
        <v>102</v>
      </c>
      <c r="N431" s="1" t="str">
        <f t="shared" ref="N431:N447" si="311">"012"</f>
        <v>012</v>
      </c>
      <c r="O431" s="1" t="str">
        <f t="shared" si="268"/>
        <v>00</v>
      </c>
      <c r="P431" s="1" t="str">
        <f t="shared" si="269"/>
        <v>S</v>
      </c>
      <c r="Q431" s="1" t="str">
        <f t="shared" si="270"/>
        <v>P</v>
      </c>
      <c r="R431" s="1" t="str">
        <f t="shared" si="271"/>
        <v>01</v>
      </c>
      <c r="S431" s="1" t="str">
        <f t="shared" si="272"/>
        <v>03</v>
      </c>
      <c r="T431" s="1" t="str">
        <f t="shared" si="273"/>
        <v>False</v>
      </c>
      <c r="U431" s="1" t="str">
        <f t="shared" si="274"/>
        <v>True</v>
      </c>
      <c r="V431" s="1" t="str">
        <f t="shared" ref="V431:V447" si="312">"U0032634"</f>
        <v>U0032634</v>
      </c>
      <c r="W431" s="1">
        <v>1</v>
      </c>
      <c r="Y431" s="1">
        <v>0</v>
      </c>
      <c r="Z431" s="1">
        <v>0</v>
      </c>
      <c r="AD431" s="1" t="str">
        <f t="shared" si="301"/>
        <v>4520271</v>
      </c>
      <c r="AE431" s="1" t="str">
        <f t="shared" si="302"/>
        <v>FUZHOU KINGDOM SHOES CO., LTD</v>
      </c>
      <c r="AG431" s="1">
        <v>0</v>
      </c>
      <c r="AH431" s="1">
        <v>0</v>
      </c>
      <c r="AI431" s="1" t="str">
        <f t="shared" si="307"/>
        <v>F06</v>
      </c>
      <c r="AJ431" s="1" t="str">
        <f t="shared" ref="AJ431:AJ447" si="313">"UNISEX"</f>
        <v>UNISEX</v>
      </c>
      <c r="AK431" s="1" t="str">
        <f t="shared" si="275"/>
        <v>PA</v>
      </c>
      <c r="AP431" s="1" t="str">
        <f t="shared" si="276"/>
        <v>False</v>
      </c>
      <c r="AR431" s="1" t="str">
        <f t="shared" ref="AR431:AR447" si="314">"VAIAN"</f>
        <v>VAIAN</v>
      </c>
      <c r="AY431" s="1" t="str">
        <f t="shared" si="277"/>
        <v>PF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 t="str">
        <f t="shared" ref="BE431:BE447" si="315">"TOMAIA GOMMA"</f>
        <v>TOMAIA GOMMA</v>
      </c>
      <c r="BF431" s="1" t="str">
        <f t="shared" si="278"/>
        <v>Bonis SpA</v>
      </c>
      <c r="BO431" s="1">
        <v>0</v>
      </c>
      <c r="BP431" s="1">
        <v>0</v>
      </c>
      <c r="BQ431" s="1">
        <v>0</v>
      </c>
    </row>
    <row r="432" spans="2:69" x14ac:dyDescent="0.25">
      <c r="B432" s="1">
        <v>1758</v>
      </c>
      <c r="C432" s="1" t="str">
        <f t="shared" si="308"/>
        <v>VAIAN4207S7/G1</v>
      </c>
      <c r="D432" s="1" t="str">
        <f>"ODA16N00302-177"</f>
        <v>ODA16N00302-177</v>
      </c>
      <c r="E432" s="1" t="str">
        <f t="shared" si="309"/>
        <v>A8 USPA</v>
      </c>
      <c r="F432" s="1" t="str">
        <f t="shared" si="265"/>
        <v>BONIS SPA</v>
      </c>
      <c r="G432" s="1" t="str">
        <f t="shared" si="266"/>
        <v>STOCK TERRA MP</v>
      </c>
      <c r="H432" s="1" t="str">
        <f t="shared" si="310"/>
        <v>DKBL</v>
      </c>
      <c r="J432" s="1">
        <v>1</v>
      </c>
      <c r="K432" s="1">
        <f t="shared" si="306"/>
        <v>8</v>
      </c>
      <c r="L432" s="1" t="str">
        <f t="shared" si="267"/>
        <v>01</v>
      </c>
      <c r="M432" s="1" t="str">
        <f t="shared" si="305"/>
        <v>102</v>
      </c>
      <c r="N432" s="1" t="str">
        <f t="shared" si="311"/>
        <v>012</v>
      </c>
      <c r="O432" s="1" t="str">
        <f t="shared" si="268"/>
        <v>00</v>
      </c>
      <c r="P432" s="1" t="str">
        <f t="shared" si="269"/>
        <v>S</v>
      </c>
      <c r="Q432" s="1" t="str">
        <f t="shared" si="270"/>
        <v>P</v>
      </c>
      <c r="R432" s="1" t="str">
        <f t="shared" si="271"/>
        <v>01</v>
      </c>
      <c r="S432" s="1" t="str">
        <f t="shared" si="272"/>
        <v>03</v>
      </c>
      <c r="T432" s="1" t="str">
        <f t="shared" si="273"/>
        <v>False</v>
      </c>
      <c r="U432" s="1" t="str">
        <f t="shared" si="274"/>
        <v>True</v>
      </c>
      <c r="V432" s="1" t="str">
        <f t="shared" si="312"/>
        <v>U0032634</v>
      </c>
      <c r="W432" s="1">
        <v>1</v>
      </c>
      <c r="Y432" s="1">
        <v>0</v>
      </c>
      <c r="Z432" s="1">
        <v>0</v>
      </c>
      <c r="AD432" s="1" t="str">
        <f t="shared" si="301"/>
        <v>4520271</v>
      </c>
      <c r="AE432" s="1" t="str">
        <f t="shared" si="302"/>
        <v>FUZHOU KINGDOM SHOES CO., LTD</v>
      </c>
      <c r="AG432" s="1">
        <v>0</v>
      </c>
      <c r="AH432" s="1">
        <v>0</v>
      </c>
      <c r="AI432" s="1" t="str">
        <f t="shared" si="307"/>
        <v>F06</v>
      </c>
      <c r="AJ432" s="1" t="str">
        <f t="shared" si="313"/>
        <v>UNISEX</v>
      </c>
      <c r="AK432" s="1" t="str">
        <f t="shared" si="275"/>
        <v>PA</v>
      </c>
      <c r="AP432" s="1" t="str">
        <f t="shared" si="276"/>
        <v>False</v>
      </c>
      <c r="AR432" s="1" t="str">
        <f t="shared" si="314"/>
        <v>VAIAN</v>
      </c>
      <c r="AY432" s="1" t="str">
        <f t="shared" si="277"/>
        <v>PF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 t="str">
        <f t="shared" si="315"/>
        <v>TOMAIA GOMMA</v>
      </c>
      <c r="BF432" s="1" t="str">
        <f t="shared" si="278"/>
        <v>Bonis SpA</v>
      </c>
      <c r="BO432" s="1">
        <v>0</v>
      </c>
      <c r="BP432" s="1">
        <v>0</v>
      </c>
      <c r="BQ432" s="1">
        <v>0</v>
      </c>
    </row>
    <row r="433" spans="2:69" x14ac:dyDescent="0.25">
      <c r="B433" s="1">
        <v>1758</v>
      </c>
      <c r="C433" s="1" t="str">
        <f t="shared" si="308"/>
        <v>VAIAN4207S7/G1</v>
      </c>
      <c r="D433" s="1" t="str">
        <f>"ODA16N00302-180"</f>
        <v>ODA16N00302-180</v>
      </c>
      <c r="E433" s="1" t="str">
        <f t="shared" si="309"/>
        <v>A8 USPA</v>
      </c>
      <c r="F433" s="1" t="str">
        <f t="shared" si="265"/>
        <v>BONIS SPA</v>
      </c>
      <c r="G433" s="1" t="str">
        <f t="shared" si="266"/>
        <v>STOCK TERRA MP</v>
      </c>
      <c r="H433" s="1" t="str">
        <f t="shared" si="310"/>
        <v>DKBL</v>
      </c>
      <c r="J433" s="1">
        <v>1</v>
      </c>
      <c r="K433" s="1">
        <f t="shared" si="306"/>
        <v>8</v>
      </c>
      <c r="L433" s="1" t="str">
        <f t="shared" si="267"/>
        <v>01</v>
      </c>
      <c r="M433" s="1" t="str">
        <f t="shared" si="305"/>
        <v>102</v>
      </c>
      <c r="N433" s="1" t="str">
        <f t="shared" si="311"/>
        <v>012</v>
      </c>
      <c r="O433" s="1" t="str">
        <f t="shared" si="268"/>
        <v>00</v>
      </c>
      <c r="P433" s="1" t="str">
        <f t="shared" si="269"/>
        <v>S</v>
      </c>
      <c r="Q433" s="1" t="str">
        <f t="shared" si="270"/>
        <v>P</v>
      </c>
      <c r="R433" s="1" t="str">
        <f t="shared" si="271"/>
        <v>01</v>
      </c>
      <c r="S433" s="1" t="str">
        <f t="shared" si="272"/>
        <v>03</v>
      </c>
      <c r="T433" s="1" t="str">
        <f t="shared" si="273"/>
        <v>False</v>
      </c>
      <c r="U433" s="1" t="str">
        <f t="shared" si="274"/>
        <v>True</v>
      </c>
      <c r="V433" s="1" t="str">
        <f t="shared" si="312"/>
        <v>U0032634</v>
      </c>
      <c r="W433" s="1">
        <v>1</v>
      </c>
      <c r="Y433" s="1">
        <v>0</v>
      </c>
      <c r="Z433" s="1">
        <v>0</v>
      </c>
      <c r="AD433" s="1" t="str">
        <f t="shared" si="301"/>
        <v>4520271</v>
      </c>
      <c r="AE433" s="1" t="str">
        <f t="shared" si="302"/>
        <v>FUZHOU KINGDOM SHOES CO., LTD</v>
      </c>
      <c r="AG433" s="1">
        <v>0</v>
      </c>
      <c r="AH433" s="1">
        <v>0</v>
      </c>
      <c r="AI433" s="1" t="str">
        <f t="shared" si="307"/>
        <v>F06</v>
      </c>
      <c r="AJ433" s="1" t="str">
        <f t="shared" si="313"/>
        <v>UNISEX</v>
      </c>
      <c r="AK433" s="1" t="str">
        <f t="shared" si="275"/>
        <v>PA</v>
      </c>
      <c r="AP433" s="1" t="str">
        <f t="shared" si="276"/>
        <v>False</v>
      </c>
      <c r="AR433" s="1" t="str">
        <f t="shared" si="314"/>
        <v>VAIAN</v>
      </c>
      <c r="AY433" s="1" t="str">
        <f t="shared" si="277"/>
        <v>PF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 t="str">
        <f t="shared" si="315"/>
        <v>TOMAIA GOMMA</v>
      </c>
      <c r="BF433" s="1" t="str">
        <f t="shared" si="278"/>
        <v>Bonis SpA</v>
      </c>
      <c r="BO433" s="1">
        <v>0</v>
      </c>
      <c r="BP433" s="1">
        <v>0</v>
      </c>
      <c r="BQ433" s="1">
        <v>0</v>
      </c>
    </row>
    <row r="434" spans="2:69" x14ac:dyDescent="0.25">
      <c r="B434" s="1">
        <v>1758</v>
      </c>
      <c r="C434" s="1" t="str">
        <f t="shared" si="308"/>
        <v>VAIAN4207S7/G1</v>
      </c>
      <c r="D434" s="1" t="str">
        <f>"ODA16N00302-190"</f>
        <v>ODA16N00302-190</v>
      </c>
      <c r="E434" s="1" t="str">
        <f t="shared" si="309"/>
        <v>A8 USPA</v>
      </c>
      <c r="F434" s="1" t="str">
        <f t="shared" si="265"/>
        <v>BONIS SPA</v>
      </c>
      <c r="G434" s="1" t="str">
        <f t="shared" si="266"/>
        <v>STOCK TERRA MP</v>
      </c>
      <c r="H434" s="1" t="str">
        <f t="shared" si="310"/>
        <v>DKBL</v>
      </c>
      <c r="J434" s="1">
        <v>1</v>
      </c>
      <c r="K434" s="1">
        <f t="shared" si="306"/>
        <v>8</v>
      </c>
      <c r="L434" s="1" t="str">
        <f t="shared" si="267"/>
        <v>01</v>
      </c>
      <c r="M434" s="1" t="str">
        <f t="shared" si="305"/>
        <v>102</v>
      </c>
      <c r="N434" s="1" t="str">
        <f t="shared" si="311"/>
        <v>012</v>
      </c>
      <c r="O434" s="1" t="str">
        <f t="shared" si="268"/>
        <v>00</v>
      </c>
      <c r="P434" s="1" t="str">
        <f t="shared" si="269"/>
        <v>S</v>
      </c>
      <c r="Q434" s="1" t="str">
        <f t="shared" si="270"/>
        <v>P</v>
      </c>
      <c r="R434" s="1" t="str">
        <f t="shared" si="271"/>
        <v>01</v>
      </c>
      <c r="S434" s="1" t="str">
        <f t="shared" si="272"/>
        <v>03</v>
      </c>
      <c r="T434" s="1" t="str">
        <f t="shared" si="273"/>
        <v>False</v>
      </c>
      <c r="U434" s="1" t="str">
        <f t="shared" si="274"/>
        <v>True</v>
      </c>
      <c r="V434" s="1" t="str">
        <f t="shared" si="312"/>
        <v>U0032634</v>
      </c>
      <c r="W434" s="1">
        <v>1</v>
      </c>
      <c r="Y434" s="1">
        <v>0</v>
      </c>
      <c r="Z434" s="1">
        <v>0</v>
      </c>
      <c r="AD434" s="1" t="str">
        <f t="shared" si="301"/>
        <v>4520271</v>
      </c>
      <c r="AE434" s="1" t="str">
        <f t="shared" si="302"/>
        <v>FUZHOU KINGDOM SHOES CO., LTD</v>
      </c>
      <c r="AG434" s="1">
        <v>0</v>
      </c>
      <c r="AH434" s="1">
        <v>0</v>
      </c>
      <c r="AI434" s="1" t="str">
        <f t="shared" si="307"/>
        <v>F06</v>
      </c>
      <c r="AJ434" s="1" t="str">
        <f t="shared" si="313"/>
        <v>UNISEX</v>
      </c>
      <c r="AK434" s="1" t="str">
        <f t="shared" si="275"/>
        <v>PA</v>
      </c>
      <c r="AP434" s="1" t="str">
        <f t="shared" si="276"/>
        <v>False</v>
      </c>
      <c r="AR434" s="1" t="str">
        <f t="shared" si="314"/>
        <v>VAIAN</v>
      </c>
      <c r="AY434" s="1" t="str">
        <f t="shared" si="277"/>
        <v>PF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 t="str">
        <f t="shared" si="315"/>
        <v>TOMAIA GOMMA</v>
      </c>
      <c r="BF434" s="1" t="str">
        <f t="shared" si="278"/>
        <v>Bonis SpA</v>
      </c>
      <c r="BO434" s="1">
        <v>0</v>
      </c>
      <c r="BP434" s="1">
        <v>0</v>
      </c>
      <c r="BQ434" s="1">
        <v>0</v>
      </c>
    </row>
    <row r="435" spans="2:69" x14ac:dyDescent="0.25">
      <c r="B435" s="1">
        <v>1758</v>
      </c>
      <c r="C435" s="1" t="str">
        <f t="shared" si="308"/>
        <v>VAIAN4207S7/G1</v>
      </c>
      <c r="D435" s="1" t="str">
        <f>"ODA16N00302-193"</f>
        <v>ODA16N00302-193</v>
      </c>
      <c r="E435" s="1" t="str">
        <f t="shared" si="309"/>
        <v>A8 USPA</v>
      </c>
      <c r="F435" s="1" t="str">
        <f t="shared" si="265"/>
        <v>BONIS SPA</v>
      </c>
      <c r="G435" s="1" t="str">
        <f t="shared" si="266"/>
        <v>STOCK TERRA MP</v>
      </c>
      <c r="H435" s="1" t="str">
        <f t="shared" si="310"/>
        <v>DKBL</v>
      </c>
      <c r="J435" s="1">
        <v>1</v>
      </c>
      <c r="K435" s="1">
        <f t="shared" si="306"/>
        <v>8</v>
      </c>
      <c r="L435" s="1" t="str">
        <f t="shared" si="267"/>
        <v>01</v>
      </c>
      <c r="M435" s="1" t="str">
        <f t="shared" si="305"/>
        <v>102</v>
      </c>
      <c r="N435" s="1" t="str">
        <f t="shared" si="311"/>
        <v>012</v>
      </c>
      <c r="O435" s="1" t="str">
        <f t="shared" si="268"/>
        <v>00</v>
      </c>
      <c r="P435" s="1" t="str">
        <f t="shared" si="269"/>
        <v>S</v>
      </c>
      <c r="Q435" s="1" t="str">
        <f t="shared" si="270"/>
        <v>P</v>
      </c>
      <c r="R435" s="1" t="str">
        <f t="shared" si="271"/>
        <v>01</v>
      </c>
      <c r="S435" s="1" t="str">
        <f t="shared" si="272"/>
        <v>03</v>
      </c>
      <c r="T435" s="1" t="str">
        <f t="shared" si="273"/>
        <v>False</v>
      </c>
      <c r="U435" s="1" t="str">
        <f t="shared" si="274"/>
        <v>True</v>
      </c>
      <c r="V435" s="1" t="str">
        <f t="shared" si="312"/>
        <v>U0032634</v>
      </c>
      <c r="W435" s="1">
        <v>1</v>
      </c>
      <c r="Y435" s="1">
        <v>0</v>
      </c>
      <c r="Z435" s="1">
        <v>0</v>
      </c>
      <c r="AD435" s="1" t="str">
        <f t="shared" si="301"/>
        <v>4520271</v>
      </c>
      <c r="AE435" s="1" t="str">
        <f t="shared" si="302"/>
        <v>FUZHOU KINGDOM SHOES CO., LTD</v>
      </c>
      <c r="AG435" s="1">
        <v>0</v>
      </c>
      <c r="AH435" s="1">
        <v>0</v>
      </c>
      <c r="AI435" s="1" t="str">
        <f t="shared" si="307"/>
        <v>F06</v>
      </c>
      <c r="AJ435" s="1" t="str">
        <f t="shared" si="313"/>
        <v>UNISEX</v>
      </c>
      <c r="AK435" s="1" t="str">
        <f t="shared" si="275"/>
        <v>PA</v>
      </c>
      <c r="AP435" s="1" t="str">
        <f t="shared" si="276"/>
        <v>False</v>
      </c>
      <c r="AR435" s="1" t="str">
        <f t="shared" si="314"/>
        <v>VAIAN</v>
      </c>
      <c r="AY435" s="1" t="str">
        <f t="shared" si="277"/>
        <v>PF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 t="str">
        <f t="shared" si="315"/>
        <v>TOMAIA GOMMA</v>
      </c>
      <c r="BF435" s="1" t="str">
        <f t="shared" si="278"/>
        <v>Bonis SpA</v>
      </c>
      <c r="BO435" s="1">
        <v>0</v>
      </c>
      <c r="BP435" s="1">
        <v>0</v>
      </c>
      <c r="BQ435" s="1">
        <v>0</v>
      </c>
    </row>
    <row r="436" spans="2:69" x14ac:dyDescent="0.25">
      <c r="B436" s="1">
        <v>1758</v>
      </c>
      <c r="C436" s="1" t="str">
        <f t="shared" si="308"/>
        <v>VAIAN4207S7/G1</v>
      </c>
      <c r="D436" s="1" t="str">
        <f>"ODA16N00302-195"</f>
        <v>ODA16N00302-195</v>
      </c>
      <c r="E436" s="1" t="str">
        <f t="shared" si="309"/>
        <v>A8 USPA</v>
      </c>
      <c r="F436" s="1" t="str">
        <f t="shared" si="265"/>
        <v>BONIS SPA</v>
      </c>
      <c r="G436" s="1" t="str">
        <f t="shared" si="266"/>
        <v>STOCK TERRA MP</v>
      </c>
      <c r="H436" s="1" t="str">
        <f t="shared" si="310"/>
        <v>DKBL</v>
      </c>
      <c r="J436" s="1">
        <v>1</v>
      </c>
      <c r="K436" s="1">
        <f t="shared" si="306"/>
        <v>8</v>
      </c>
      <c r="L436" s="1" t="str">
        <f t="shared" si="267"/>
        <v>01</v>
      </c>
      <c r="M436" s="1" t="str">
        <f t="shared" si="305"/>
        <v>102</v>
      </c>
      <c r="N436" s="1" t="str">
        <f t="shared" si="311"/>
        <v>012</v>
      </c>
      <c r="O436" s="1" t="str">
        <f t="shared" si="268"/>
        <v>00</v>
      </c>
      <c r="P436" s="1" t="str">
        <f t="shared" si="269"/>
        <v>S</v>
      </c>
      <c r="Q436" s="1" t="str">
        <f t="shared" si="270"/>
        <v>P</v>
      </c>
      <c r="R436" s="1" t="str">
        <f t="shared" si="271"/>
        <v>01</v>
      </c>
      <c r="S436" s="1" t="str">
        <f t="shared" si="272"/>
        <v>03</v>
      </c>
      <c r="T436" s="1" t="str">
        <f t="shared" si="273"/>
        <v>False</v>
      </c>
      <c r="U436" s="1" t="str">
        <f t="shared" si="274"/>
        <v>True</v>
      </c>
      <c r="V436" s="1" t="str">
        <f t="shared" si="312"/>
        <v>U0032634</v>
      </c>
      <c r="W436" s="1">
        <v>1</v>
      </c>
      <c r="Y436" s="1">
        <v>0</v>
      </c>
      <c r="Z436" s="1">
        <v>0</v>
      </c>
      <c r="AD436" s="1" t="str">
        <f t="shared" si="301"/>
        <v>4520271</v>
      </c>
      <c r="AE436" s="1" t="str">
        <f t="shared" si="302"/>
        <v>FUZHOU KINGDOM SHOES CO., LTD</v>
      </c>
      <c r="AG436" s="1">
        <v>0</v>
      </c>
      <c r="AH436" s="1">
        <v>0</v>
      </c>
      <c r="AI436" s="1" t="str">
        <f t="shared" si="307"/>
        <v>F06</v>
      </c>
      <c r="AJ436" s="1" t="str">
        <f t="shared" si="313"/>
        <v>UNISEX</v>
      </c>
      <c r="AK436" s="1" t="str">
        <f t="shared" si="275"/>
        <v>PA</v>
      </c>
      <c r="AP436" s="1" t="str">
        <f t="shared" si="276"/>
        <v>False</v>
      </c>
      <c r="AR436" s="1" t="str">
        <f t="shared" si="314"/>
        <v>VAIAN</v>
      </c>
      <c r="AY436" s="1" t="str">
        <f t="shared" si="277"/>
        <v>PF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 t="str">
        <f t="shared" si="315"/>
        <v>TOMAIA GOMMA</v>
      </c>
      <c r="BF436" s="1" t="str">
        <f t="shared" si="278"/>
        <v>Bonis SpA</v>
      </c>
      <c r="BO436" s="1">
        <v>0</v>
      </c>
      <c r="BP436" s="1">
        <v>0</v>
      </c>
      <c r="BQ436" s="1">
        <v>0</v>
      </c>
    </row>
    <row r="437" spans="2:69" x14ac:dyDescent="0.25">
      <c r="B437" s="1">
        <v>1758</v>
      </c>
      <c r="C437" s="1" t="str">
        <f t="shared" si="308"/>
        <v>VAIAN4207S7/G1</v>
      </c>
      <c r="D437" s="1" t="str">
        <f>"ODA16N00302-197"</f>
        <v>ODA16N00302-197</v>
      </c>
      <c r="E437" s="1" t="str">
        <f t="shared" si="309"/>
        <v>A8 USPA</v>
      </c>
      <c r="F437" s="1" t="str">
        <f t="shared" si="265"/>
        <v>BONIS SPA</v>
      </c>
      <c r="G437" s="1" t="str">
        <f t="shared" si="266"/>
        <v>STOCK TERRA MP</v>
      </c>
      <c r="H437" s="1" t="str">
        <f t="shared" si="310"/>
        <v>DKBL</v>
      </c>
      <c r="J437" s="1">
        <v>1</v>
      </c>
      <c r="K437" s="1">
        <f t="shared" si="306"/>
        <v>8</v>
      </c>
      <c r="L437" s="1" t="str">
        <f t="shared" si="267"/>
        <v>01</v>
      </c>
      <c r="M437" s="1" t="str">
        <f t="shared" si="305"/>
        <v>102</v>
      </c>
      <c r="N437" s="1" t="str">
        <f t="shared" si="311"/>
        <v>012</v>
      </c>
      <c r="O437" s="1" t="str">
        <f t="shared" si="268"/>
        <v>00</v>
      </c>
      <c r="P437" s="1" t="str">
        <f t="shared" si="269"/>
        <v>S</v>
      </c>
      <c r="Q437" s="1" t="str">
        <f t="shared" si="270"/>
        <v>P</v>
      </c>
      <c r="R437" s="1" t="str">
        <f t="shared" si="271"/>
        <v>01</v>
      </c>
      <c r="S437" s="1" t="str">
        <f t="shared" si="272"/>
        <v>03</v>
      </c>
      <c r="T437" s="1" t="str">
        <f t="shared" si="273"/>
        <v>False</v>
      </c>
      <c r="U437" s="1" t="str">
        <f t="shared" si="274"/>
        <v>True</v>
      </c>
      <c r="V437" s="1" t="str">
        <f t="shared" si="312"/>
        <v>U0032634</v>
      </c>
      <c r="W437" s="1">
        <v>1</v>
      </c>
      <c r="Y437" s="1">
        <v>0</v>
      </c>
      <c r="Z437" s="1">
        <v>0</v>
      </c>
      <c r="AD437" s="1" t="str">
        <f t="shared" si="301"/>
        <v>4520271</v>
      </c>
      <c r="AE437" s="1" t="str">
        <f t="shared" si="302"/>
        <v>FUZHOU KINGDOM SHOES CO., LTD</v>
      </c>
      <c r="AG437" s="1">
        <v>0</v>
      </c>
      <c r="AH437" s="1">
        <v>0</v>
      </c>
      <c r="AI437" s="1" t="str">
        <f t="shared" si="307"/>
        <v>F06</v>
      </c>
      <c r="AJ437" s="1" t="str">
        <f t="shared" si="313"/>
        <v>UNISEX</v>
      </c>
      <c r="AK437" s="1" t="str">
        <f t="shared" si="275"/>
        <v>PA</v>
      </c>
      <c r="AP437" s="1" t="str">
        <f t="shared" si="276"/>
        <v>False</v>
      </c>
      <c r="AR437" s="1" t="str">
        <f t="shared" si="314"/>
        <v>VAIAN</v>
      </c>
      <c r="AY437" s="1" t="str">
        <f t="shared" si="277"/>
        <v>PF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 t="str">
        <f t="shared" si="315"/>
        <v>TOMAIA GOMMA</v>
      </c>
      <c r="BF437" s="1" t="str">
        <f t="shared" si="278"/>
        <v>Bonis SpA</v>
      </c>
      <c r="BO437" s="1">
        <v>0</v>
      </c>
      <c r="BP437" s="1">
        <v>0</v>
      </c>
      <c r="BQ437" s="1">
        <v>0</v>
      </c>
    </row>
    <row r="438" spans="2:69" x14ac:dyDescent="0.25">
      <c r="B438" s="1">
        <v>1758</v>
      </c>
      <c r="C438" s="1" t="str">
        <f t="shared" si="308"/>
        <v>VAIAN4207S7/G1</v>
      </c>
      <c r="D438" s="1" t="str">
        <f>"ODA16N00302-204"</f>
        <v>ODA16N00302-204</v>
      </c>
      <c r="E438" s="1" t="str">
        <f t="shared" si="309"/>
        <v>A8 USPA</v>
      </c>
      <c r="F438" s="1" t="str">
        <f t="shared" si="265"/>
        <v>BONIS SPA</v>
      </c>
      <c r="G438" s="1" t="str">
        <f t="shared" si="266"/>
        <v>STOCK TERRA MP</v>
      </c>
      <c r="H438" s="1" t="str">
        <f t="shared" si="310"/>
        <v>DKBL</v>
      </c>
      <c r="J438" s="1">
        <v>1</v>
      </c>
      <c r="K438" s="1">
        <f t="shared" si="306"/>
        <v>8</v>
      </c>
      <c r="L438" s="1" t="str">
        <f t="shared" si="267"/>
        <v>01</v>
      </c>
      <c r="M438" s="1" t="str">
        <f t="shared" si="305"/>
        <v>102</v>
      </c>
      <c r="N438" s="1" t="str">
        <f t="shared" si="311"/>
        <v>012</v>
      </c>
      <c r="O438" s="1" t="str">
        <f t="shared" si="268"/>
        <v>00</v>
      </c>
      <c r="P438" s="1" t="str">
        <f t="shared" si="269"/>
        <v>S</v>
      </c>
      <c r="Q438" s="1" t="str">
        <f t="shared" si="270"/>
        <v>P</v>
      </c>
      <c r="R438" s="1" t="str">
        <f t="shared" si="271"/>
        <v>01</v>
      </c>
      <c r="S438" s="1" t="str">
        <f t="shared" si="272"/>
        <v>03</v>
      </c>
      <c r="T438" s="1" t="str">
        <f t="shared" si="273"/>
        <v>False</v>
      </c>
      <c r="U438" s="1" t="str">
        <f t="shared" si="274"/>
        <v>True</v>
      </c>
      <c r="V438" s="1" t="str">
        <f t="shared" si="312"/>
        <v>U0032634</v>
      </c>
      <c r="W438" s="1">
        <v>1</v>
      </c>
      <c r="Y438" s="1">
        <v>0</v>
      </c>
      <c r="Z438" s="1">
        <v>0</v>
      </c>
      <c r="AD438" s="1" t="str">
        <f t="shared" si="301"/>
        <v>4520271</v>
      </c>
      <c r="AE438" s="1" t="str">
        <f t="shared" si="302"/>
        <v>FUZHOU KINGDOM SHOES CO., LTD</v>
      </c>
      <c r="AG438" s="1">
        <v>0</v>
      </c>
      <c r="AH438" s="1">
        <v>0</v>
      </c>
      <c r="AI438" s="1" t="str">
        <f t="shared" si="307"/>
        <v>F06</v>
      </c>
      <c r="AJ438" s="1" t="str">
        <f t="shared" si="313"/>
        <v>UNISEX</v>
      </c>
      <c r="AK438" s="1" t="str">
        <f t="shared" si="275"/>
        <v>PA</v>
      </c>
      <c r="AP438" s="1" t="str">
        <f t="shared" si="276"/>
        <v>False</v>
      </c>
      <c r="AR438" s="1" t="str">
        <f t="shared" si="314"/>
        <v>VAIAN</v>
      </c>
      <c r="AY438" s="1" t="str">
        <f t="shared" si="277"/>
        <v>PF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 t="str">
        <f t="shared" si="315"/>
        <v>TOMAIA GOMMA</v>
      </c>
      <c r="BF438" s="1" t="str">
        <f t="shared" si="278"/>
        <v>Bonis SpA</v>
      </c>
      <c r="BO438" s="1">
        <v>0</v>
      </c>
      <c r="BP438" s="1">
        <v>0</v>
      </c>
      <c r="BQ438" s="1">
        <v>0</v>
      </c>
    </row>
    <row r="439" spans="2:69" x14ac:dyDescent="0.25">
      <c r="B439" s="1">
        <v>1758</v>
      </c>
      <c r="C439" s="1" t="str">
        <f t="shared" si="308"/>
        <v>VAIAN4207S7/G1</v>
      </c>
      <c r="D439" s="1" t="str">
        <f>"ODA16N00302-211"</f>
        <v>ODA16N00302-211</v>
      </c>
      <c r="E439" s="1" t="str">
        <f t="shared" si="309"/>
        <v>A8 USPA</v>
      </c>
      <c r="F439" s="1" t="str">
        <f t="shared" si="265"/>
        <v>BONIS SPA</v>
      </c>
      <c r="G439" s="1" t="str">
        <f t="shared" si="266"/>
        <v>STOCK TERRA MP</v>
      </c>
      <c r="H439" s="1" t="str">
        <f t="shared" si="310"/>
        <v>DKBL</v>
      </c>
      <c r="J439" s="1">
        <v>1</v>
      </c>
      <c r="K439" s="1">
        <f t="shared" si="306"/>
        <v>8</v>
      </c>
      <c r="L439" s="1" t="str">
        <f t="shared" si="267"/>
        <v>01</v>
      </c>
      <c r="M439" s="1" t="str">
        <f t="shared" si="305"/>
        <v>102</v>
      </c>
      <c r="N439" s="1" t="str">
        <f t="shared" si="311"/>
        <v>012</v>
      </c>
      <c r="O439" s="1" t="str">
        <f t="shared" si="268"/>
        <v>00</v>
      </c>
      <c r="P439" s="1" t="str">
        <f t="shared" si="269"/>
        <v>S</v>
      </c>
      <c r="Q439" s="1" t="str">
        <f t="shared" si="270"/>
        <v>P</v>
      </c>
      <c r="R439" s="1" t="str">
        <f t="shared" si="271"/>
        <v>01</v>
      </c>
      <c r="S439" s="1" t="str">
        <f t="shared" si="272"/>
        <v>03</v>
      </c>
      <c r="T439" s="1" t="str">
        <f t="shared" si="273"/>
        <v>False</v>
      </c>
      <c r="U439" s="1" t="str">
        <f t="shared" si="274"/>
        <v>True</v>
      </c>
      <c r="V439" s="1" t="str">
        <f t="shared" si="312"/>
        <v>U0032634</v>
      </c>
      <c r="W439" s="1">
        <v>1</v>
      </c>
      <c r="Y439" s="1">
        <v>0</v>
      </c>
      <c r="Z439" s="1">
        <v>0</v>
      </c>
      <c r="AD439" s="1" t="str">
        <f t="shared" si="301"/>
        <v>4520271</v>
      </c>
      <c r="AE439" s="1" t="str">
        <f t="shared" si="302"/>
        <v>FUZHOU KINGDOM SHOES CO., LTD</v>
      </c>
      <c r="AG439" s="1">
        <v>0</v>
      </c>
      <c r="AH439" s="1">
        <v>0</v>
      </c>
      <c r="AI439" s="1" t="str">
        <f t="shared" si="307"/>
        <v>F06</v>
      </c>
      <c r="AJ439" s="1" t="str">
        <f t="shared" si="313"/>
        <v>UNISEX</v>
      </c>
      <c r="AK439" s="1" t="str">
        <f t="shared" si="275"/>
        <v>PA</v>
      </c>
      <c r="AP439" s="1" t="str">
        <f t="shared" si="276"/>
        <v>False</v>
      </c>
      <c r="AR439" s="1" t="str">
        <f t="shared" si="314"/>
        <v>VAIAN</v>
      </c>
      <c r="AY439" s="1" t="str">
        <f t="shared" si="277"/>
        <v>PF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 t="str">
        <f t="shared" si="315"/>
        <v>TOMAIA GOMMA</v>
      </c>
      <c r="BF439" s="1" t="str">
        <f t="shared" si="278"/>
        <v>Bonis SpA</v>
      </c>
      <c r="BO439" s="1">
        <v>0</v>
      </c>
      <c r="BP439" s="1">
        <v>0</v>
      </c>
      <c r="BQ439" s="1">
        <v>0</v>
      </c>
    </row>
    <row r="440" spans="2:69" x14ac:dyDescent="0.25">
      <c r="B440" s="1">
        <v>1758</v>
      </c>
      <c r="C440" s="1" t="str">
        <f t="shared" si="308"/>
        <v>VAIAN4207S7/G1</v>
      </c>
      <c r="D440" s="1" t="str">
        <f>"ODA16N00302-213"</f>
        <v>ODA16N00302-213</v>
      </c>
      <c r="E440" s="1" t="str">
        <f t="shared" si="309"/>
        <v>A8 USPA</v>
      </c>
      <c r="F440" s="1" t="str">
        <f t="shared" si="265"/>
        <v>BONIS SPA</v>
      </c>
      <c r="G440" s="1" t="str">
        <f t="shared" si="266"/>
        <v>STOCK TERRA MP</v>
      </c>
      <c r="H440" s="1" t="str">
        <f t="shared" si="310"/>
        <v>DKBL</v>
      </c>
      <c r="J440" s="1">
        <v>1</v>
      </c>
      <c r="K440" s="1">
        <f t="shared" si="306"/>
        <v>8</v>
      </c>
      <c r="L440" s="1" t="str">
        <f t="shared" si="267"/>
        <v>01</v>
      </c>
      <c r="M440" s="1" t="str">
        <f t="shared" si="305"/>
        <v>102</v>
      </c>
      <c r="N440" s="1" t="str">
        <f t="shared" si="311"/>
        <v>012</v>
      </c>
      <c r="O440" s="1" t="str">
        <f t="shared" si="268"/>
        <v>00</v>
      </c>
      <c r="P440" s="1" t="str">
        <f t="shared" si="269"/>
        <v>S</v>
      </c>
      <c r="Q440" s="1" t="str">
        <f t="shared" si="270"/>
        <v>P</v>
      </c>
      <c r="R440" s="1" t="str">
        <f t="shared" si="271"/>
        <v>01</v>
      </c>
      <c r="S440" s="1" t="str">
        <f t="shared" si="272"/>
        <v>03</v>
      </c>
      <c r="T440" s="1" t="str">
        <f t="shared" si="273"/>
        <v>False</v>
      </c>
      <c r="U440" s="1" t="str">
        <f t="shared" si="274"/>
        <v>True</v>
      </c>
      <c r="V440" s="1" t="str">
        <f t="shared" si="312"/>
        <v>U0032634</v>
      </c>
      <c r="W440" s="1">
        <v>1</v>
      </c>
      <c r="Y440" s="1">
        <v>0</v>
      </c>
      <c r="Z440" s="1">
        <v>0</v>
      </c>
      <c r="AD440" s="1" t="str">
        <f t="shared" si="301"/>
        <v>4520271</v>
      </c>
      <c r="AE440" s="1" t="str">
        <f t="shared" si="302"/>
        <v>FUZHOU KINGDOM SHOES CO., LTD</v>
      </c>
      <c r="AG440" s="1">
        <v>0</v>
      </c>
      <c r="AH440" s="1">
        <v>0</v>
      </c>
      <c r="AI440" s="1" t="str">
        <f t="shared" si="307"/>
        <v>F06</v>
      </c>
      <c r="AJ440" s="1" t="str">
        <f t="shared" si="313"/>
        <v>UNISEX</v>
      </c>
      <c r="AK440" s="1" t="str">
        <f t="shared" si="275"/>
        <v>PA</v>
      </c>
      <c r="AP440" s="1" t="str">
        <f t="shared" si="276"/>
        <v>False</v>
      </c>
      <c r="AR440" s="1" t="str">
        <f t="shared" si="314"/>
        <v>VAIAN</v>
      </c>
      <c r="AY440" s="1" t="str">
        <f t="shared" si="277"/>
        <v>PF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 t="str">
        <f t="shared" si="315"/>
        <v>TOMAIA GOMMA</v>
      </c>
      <c r="BF440" s="1" t="str">
        <f t="shared" si="278"/>
        <v>Bonis SpA</v>
      </c>
      <c r="BO440" s="1">
        <v>0</v>
      </c>
      <c r="BP440" s="1">
        <v>0</v>
      </c>
      <c r="BQ440" s="1">
        <v>0</v>
      </c>
    </row>
    <row r="441" spans="2:69" x14ac:dyDescent="0.25">
      <c r="B441" s="1">
        <v>1758</v>
      </c>
      <c r="C441" s="1" t="str">
        <f t="shared" si="308"/>
        <v>VAIAN4207S7/G1</v>
      </c>
      <c r="D441" s="1" t="str">
        <f>"ODA16N00302-214"</f>
        <v>ODA16N00302-214</v>
      </c>
      <c r="E441" s="1" t="str">
        <f t="shared" si="309"/>
        <v>A8 USPA</v>
      </c>
      <c r="F441" s="1" t="str">
        <f t="shared" si="265"/>
        <v>BONIS SPA</v>
      </c>
      <c r="G441" s="1" t="str">
        <f t="shared" si="266"/>
        <v>STOCK TERRA MP</v>
      </c>
      <c r="H441" s="1" t="str">
        <f t="shared" si="310"/>
        <v>DKBL</v>
      </c>
      <c r="J441" s="1">
        <v>1</v>
      </c>
      <c r="K441" s="1">
        <f t="shared" si="306"/>
        <v>8</v>
      </c>
      <c r="L441" s="1" t="str">
        <f t="shared" si="267"/>
        <v>01</v>
      </c>
      <c r="M441" s="1" t="str">
        <f t="shared" si="305"/>
        <v>102</v>
      </c>
      <c r="N441" s="1" t="str">
        <f t="shared" si="311"/>
        <v>012</v>
      </c>
      <c r="O441" s="1" t="str">
        <f t="shared" si="268"/>
        <v>00</v>
      </c>
      <c r="P441" s="1" t="str">
        <f t="shared" si="269"/>
        <v>S</v>
      </c>
      <c r="Q441" s="1" t="str">
        <f t="shared" si="270"/>
        <v>P</v>
      </c>
      <c r="R441" s="1" t="str">
        <f t="shared" si="271"/>
        <v>01</v>
      </c>
      <c r="S441" s="1" t="str">
        <f t="shared" si="272"/>
        <v>03</v>
      </c>
      <c r="T441" s="1" t="str">
        <f t="shared" si="273"/>
        <v>False</v>
      </c>
      <c r="U441" s="1" t="str">
        <f t="shared" si="274"/>
        <v>True</v>
      </c>
      <c r="V441" s="1" t="str">
        <f t="shared" si="312"/>
        <v>U0032634</v>
      </c>
      <c r="W441" s="1">
        <v>1</v>
      </c>
      <c r="Y441" s="1">
        <v>0</v>
      </c>
      <c r="Z441" s="1">
        <v>0</v>
      </c>
      <c r="AD441" s="1" t="str">
        <f t="shared" si="301"/>
        <v>4520271</v>
      </c>
      <c r="AE441" s="1" t="str">
        <f t="shared" si="302"/>
        <v>FUZHOU KINGDOM SHOES CO., LTD</v>
      </c>
      <c r="AG441" s="1">
        <v>0</v>
      </c>
      <c r="AH441" s="1">
        <v>0</v>
      </c>
      <c r="AI441" s="1" t="str">
        <f t="shared" si="307"/>
        <v>F06</v>
      </c>
      <c r="AJ441" s="1" t="str">
        <f t="shared" si="313"/>
        <v>UNISEX</v>
      </c>
      <c r="AK441" s="1" t="str">
        <f t="shared" si="275"/>
        <v>PA</v>
      </c>
      <c r="AP441" s="1" t="str">
        <f t="shared" si="276"/>
        <v>False</v>
      </c>
      <c r="AR441" s="1" t="str">
        <f t="shared" si="314"/>
        <v>VAIAN</v>
      </c>
      <c r="AY441" s="1" t="str">
        <f t="shared" si="277"/>
        <v>PF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 t="str">
        <f t="shared" si="315"/>
        <v>TOMAIA GOMMA</v>
      </c>
      <c r="BF441" s="1" t="str">
        <f t="shared" si="278"/>
        <v>Bonis SpA</v>
      </c>
      <c r="BO441" s="1">
        <v>0</v>
      </c>
      <c r="BP441" s="1">
        <v>0</v>
      </c>
      <c r="BQ441" s="1">
        <v>0</v>
      </c>
    </row>
    <row r="442" spans="2:69" x14ac:dyDescent="0.25">
      <c r="B442" s="1">
        <v>1758</v>
      </c>
      <c r="C442" s="1" t="str">
        <f t="shared" si="308"/>
        <v>VAIAN4207S7/G1</v>
      </c>
      <c r="D442" s="1" t="str">
        <f>"ODA16N00302-215"</f>
        <v>ODA16N00302-215</v>
      </c>
      <c r="E442" s="1" t="str">
        <f t="shared" si="309"/>
        <v>A8 USPA</v>
      </c>
      <c r="F442" s="1" t="str">
        <f t="shared" si="265"/>
        <v>BONIS SPA</v>
      </c>
      <c r="G442" s="1" t="str">
        <f t="shared" si="266"/>
        <v>STOCK TERRA MP</v>
      </c>
      <c r="H442" s="1" t="str">
        <f t="shared" si="310"/>
        <v>DKBL</v>
      </c>
      <c r="J442" s="1">
        <v>1</v>
      </c>
      <c r="K442" s="1">
        <f t="shared" si="306"/>
        <v>8</v>
      </c>
      <c r="L442" s="1" t="str">
        <f t="shared" si="267"/>
        <v>01</v>
      </c>
      <c r="M442" s="1" t="str">
        <f t="shared" si="305"/>
        <v>102</v>
      </c>
      <c r="N442" s="1" t="str">
        <f t="shared" si="311"/>
        <v>012</v>
      </c>
      <c r="O442" s="1" t="str">
        <f t="shared" si="268"/>
        <v>00</v>
      </c>
      <c r="P442" s="1" t="str">
        <f t="shared" si="269"/>
        <v>S</v>
      </c>
      <c r="Q442" s="1" t="str">
        <f t="shared" si="270"/>
        <v>P</v>
      </c>
      <c r="R442" s="1" t="str">
        <f t="shared" si="271"/>
        <v>01</v>
      </c>
      <c r="S442" s="1" t="str">
        <f t="shared" si="272"/>
        <v>03</v>
      </c>
      <c r="T442" s="1" t="str">
        <f t="shared" si="273"/>
        <v>False</v>
      </c>
      <c r="U442" s="1" t="str">
        <f t="shared" si="274"/>
        <v>True</v>
      </c>
      <c r="V442" s="1" t="str">
        <f t="shared" si="312"/>
        <v>U0032634</v>
      </c>
      <c r="W442" s="1">
        <v>1</v>
      </c>
      <c r="Y442" s="1">
        <v>0</v>
      </c>
      <c r="Z442" s="1">
        <v>0</v>
      </c>
      <c r="AD442" s="1" t="str">
        <f t="shared" si="301"/>
        <v>4520271</v>
      </c>
      <c r="AE442" s="1" t="str">
        <f t="shared" si="302"/>
        <v>FUZHOU KINGDOM SHOES CO., LTD</v>
      </c>
      <c r="AG442" s="1">
        <v>0</v>
      </c>
      <c r="AH442" s="1">
        <v>0</v>
      </c>
      <c r="AI442" s="1" t="str">
        <f t="shared" si="307"/>
        <v>F06</v>
      </c>
      <c r="AJ442" s="1" t="str">
        <f t="shared" si="313"/>
        <v>UNISEX</v>
      </c>
      <c r="AK442" s="1" t="str">
        <f t="shared" si="275"/>
        <v>PA</v>
      </c>
      <c r="AP442" s="1" t="str">
        <f t="shared" si="276"/>
        <v>False</v>
      </c>
      <c r="AR442" s="1" t="str">
        <f t="shared" si="314"/>
        <v>VAIAN</v>
      </c>
      <c r="AY442" s="1" t="str">
        <f t="shared" si="277"/>
        <v>PF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 t="str">
        <f t="shared" si="315"/>
        <v>TOMAIA GOMMA</v>
      </c>
      <c r="BF442" s="1" t="str">
        <f t="shared" si="278"/>
        <v>Bonis SpA</v>
      </c>
      <c r="BO442" s="1">
        <v>0</v>
      </c>
      <c r="BP442" s="1">
        <v>0</v>
      </c>
      <c r="BQ442" s="1">
        <v>0</v>
      </c>
    </row>
    <row r="443" spans="2:69" x14ac:dyDescent="0.25">
      <c r="B443" s="1">
        <v>1758</v>
      </c>
      <c r="C443" s="1" t="str">
        <f t="shared" si="308"/>
        <v>VAIAN4207S7/G1</v>
      </c>
      <c r="D443" s="1" t="str">
        <f>"ODA16N00302-276"</f>
        <v>ODA16N00302-276</v>
      </c>
      <c r="E443" s="1" t="str">
        <f>"C12 USPA"</f>
        <v>C12 USPA</v>
      </c>
      <c r="F443" s="1" t="str">
        <f t="shared" si="265"/>
        <v>BONIS SPA</v>
      </c>
      <c r="G443" s="1" t="str">
        <f t="shared" si="266"/>
        <v>STOCK TERRA MP</v>
      </c>
      <c r="H443" s="1" t="str">
        <f t="shared" si="310"/>
        <v>DKBL</v>
      </c>
      <c r="J443" s="1">
        <v>1</v>
      </c>
      <c r="K443" s="1">
        <f>12*J443</f>
        <v>12</v>
      </c>
      <c r="L443" s="1" t="str">
        <f t="shared" si="267"/>
        <v>01</v>
      </c>
      <c r="M443" s="1" t="str">
        <f t="shared" si="305"/>
        <v>102</v>
      </c>
      <c r="N443" s="1" t="str">
        <f t="shared" si="311"/>
        <v>012</v>
      </c>
      <c r="O443" s="1" t="str">
        <f t="shared" si="268"/>
        <v>00</v>
      </c>
      <c r="P443" s="1" t="str">
        <f t="shared" si="269"/>
        <v>S</v>
      </c>
      <c r="Q443" s="1" t="str">
        <f t="shared" si="270"/>
        <v>P</v>
      </c>
      <c r="R443" s="1" t="str">
        <f t="shared" si="271"/>
        <v>01</v>
      </c>
      <c r="S443" s="1" t="str">
        <f t="shared" si="272"/>
        <v>03</v>
      </c>
      <c r="T443" s="1" t="str">
        <f t="shared" si="273"/>
        <v>False</v>
      </c>
      <c r="U443" s="1" t="str">
        <f t="shared" si="274"/>
        <v>True</v>
      </c>
      <c r="V443" s="1" t="str">
        <f t="shared" si="312"/>
        <v>U0032634</v>
      </c>
      <c r="W443" s="1">
        <v>1</v>
      </c>
      <c r="Y443" s="1">
        <v>0</v>
      </c>
      <c r="Z443" s="1">
        <v>0</v>
      </c>
      <c r="AD443" s="1" t="str">
        <f t="shared" si="301"/>
        <v>4520271</v>
      </c>
      <c r="AE443" s="1" t="str">
        <f t="shared" si="302"/>
        <v>FUZHOU KINGDOM SHOES CO., LTD</v>
      </c>
      <c r="AG443" s="1">
        <v>0</v>
      </c>
      <c r="AH443" s="1">
        <v>0</v>
      </c>
      <c r="AI443" s="1" t="str">
        <f t="shared" si="307"/>
        <v>F06</v>
      </c>
      <c r="AJ443" s="1" t="str">
        <f t="shared" si="313"/>
        <v>UNISEX</v>
      </c>
      <c r="AK443" s="1" t="str">
        <f t="shared" si="275"/>
        <v>PA</v>
      </c>
      <c r="AP443" s="1" t="str">
        <f t="shared" si="276"/>
        <v>False</v>
      </c>
      <c r="AR443" s="1" t="str">
        <f t="shared" si="314"/>
        <v>VAIAN</v>
      </c>
      <c r="AY443" s="1" t="str">
        <f t="shared" si="277"/>
        <v>PF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 t="str">
        <f t="shared" si="315"/>
        <v>TOMAIA GOMMA</v>
      </c>
      <c r="BF443" s="1" t="str">
        <f t="shared" si="278"/>
        <v>Bonis SpA</v>
      </c>
      <c r="BO443" s="1">
        <v>0</v>
      </c>
      <c r="BP443" s="1">
        <v>0</v>
      </c>
      <c r="BQ443" s="1">
        <v>0</v>
      </c>
    </row>
    <row r="444" spans="2:69" x14ac:dyDescent="0.25">
      <c r="B444" s="1">
        <v>1758</v>
      </c>
      <c r="C444" s="1" t="str">
        <f>"VAIAN4210S7/G1"</f>
        <v>VAIAN4210S7/G1</v>
      </c>
      <c r="D444" s="1" t="str">
        <f>"ODA16N00302-971"</f>
        <v>ODA16N00302-971</v>
      </c>
      <c r="E444" s="1" t="str">
        <f>"A8 USPA"</f>
        <v>A8 USPA</v>
      </c>
      <c r="F444" s="1" t="str">
        <f t="shared" si="265"/>
        <v>BONIS SPA</v>
      </c>
      <c r="G444" s="1" t="str">
        <f t="shared" si="266"/>
        <v>STOCK TERRA MP</v>
      </c>
      <c r="H444" s="1" t="str">
        <f>"WHI"</f>
        <v>WHI</v>
      </c>
      <c r="J444" s="1">
        <v>1</v>
      </c>
      <c r="K444" s="1">
        <f t="shared" ref="K444:K447" si="316">8*J444</f>
        <v>8</v>
      </c>
      <c r="L444" s="1" t="str">
        <f t="shared" si="267"/>
        <v>01</v>
      </c>
      <c r="M444" s="1" t="str">
        <f t="shared" si="305"/>
        <v>102</v>
      </c>
      <c r="N444" s="1" t="str">
        <f t="shared" si="311"/>
        <v>012</v>
      </c>
      <c r="O444" s="1" t="str">
        <f t="shared" si="268"/>
        <v>00</v>
      </c>
      <c r="P444" s="1" t="str">
        <f t="shared" si="269"/>
        <v>S</v>
      </c>
      <c r="Q444" s="1" t="str">
        <f t="shared" si="270"/>
        <v>P</v>
      </c>
      <c r="R444" s="1" t="str">
        <f t="shared" si="271"/>
        <v>01</v>
      </c>
      <c r="S444" s="1" t="str">
        <f t="shared" si="272"/>
        <v>03</v>
      </c>
      <c r="T444" s="1" t="str">
        <f t="shared" si="273"/>
        <v>False</v>
      </c>
      <c r="U444" s="1" t="str">
        <f t="shared" si="274"/>
        <v>True</v>
      </c>
      <c r="V444" s="1" t="str">
        <f t="shared" si="312"/>
        <v>U0032634</v>
      </c>
      <c r="W444" s="1">
        <v>1</v>
      </c>
      <c r="Y444" s="1">
        <v>0</v>
      </c>
      <c r="Z444" s="1">
        <v>0</v>
      </c>
      <c r="AD444" s="1" t="str">
        <f t="shared" si="301"/>
        <v>4520271</v>
      </c>
      <c r="AE444" s="1" t="str">
        <f t="shared" si="302"/>
        <v>FUZHOU KINGDOM SHOES CO., LTD</v>
      </c>
      <c r="AG444" s="1">
        <v>0</v>
      </c>
      <c r="AH444" s="1">
        <v>0</v>
      </c>
      <c r="AI444" s="1" t="str">
        <f t="shared" si="307"/>
        <v>F06</v>
      </c>
      <c r="AJ444" s="1" t="str">
        <f t="shared" si="313"/>
        <v>UNISEX</v>
      </c>
      <c r="AK444" s="1" t="str">
        <f t="shared" si="275"/>
        <v>PA</v>
      </c>
      <c r="AP444" s="1" t="str">
        <f t="shared" si="276"/>
        <v>False</v>
      </c>
      <c r="AR444" s="1" t="str">
        <f t="shared" si="314"/>
        <v>VAIAN</v>
      </c>
      <c r="AY444" s="1" t="str">
        <f t="shared" si="277"/>
        <v>PF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 t="str">
        <f t="shared" si="315"/>
        <v>TOMAIA GOMMA</v>
      </c>
      <c r="BF444" s="1" t="str">
        <f t="shared" si="278"/>
        <v>Bonis SpA</v>
      </c>
      <c r="BO444" s="1">
        <v>0</v>
      </c>
      <c r="BP444" s="1">
        <v>0</v>
      </c>
      <c r="BQ444" s="1">
        <v>0</v>
      </c>
    </row>
    <row r="445" spans="2:69" x14ac:dyDescent="0.25">
      <c r="B445" s="1">
        <v>1758</v>
      </c>
      <c r="C445" s="1" t="str">
        <f>"VAIAN4210S7/G1"</f>
        <v>VAIAN4210S7/G1</v>
      </c>
      <c r="D445" s="1" t="str">
        <f>"ODA16N00302-983"</f>
        <v>ODA16N00302-983</v>
      </c>
      <c r="E445" s="1" t="str">
        <f>"A8 USPA"</f>
        <v>A8 USPA</v>
      </c>
      <c r="F445" s="1" t="str">
        <f t="shared" si="265"/>
        <v>BONIS SPA</v>
      </c>
      <c r="G445" s="1" t="str">
        <f t="shared" si="266"/>
        <v>STOCK TERRA MP</v>
      </c>
      <c r="H445" s="1" t="str">
        <f>"WHI"</f>
        <v>WHI</v>
      </c>
      <c r="J445" s="1">
        <v>1</v>
      </c>
      <c r="K445" s="1">
        <f t="shared" si="316"/>
        <v>8</v>
      </c>
      <c r="L445" s="1" t="str">
        <f t="shared" si="267"/>
        <v>01</v>
      </c>
      <c r="M445" s="1" t="str">
        <f t="shared" si="305"/>
        <v>102</v>
      </c>
      <c r="N445" s="1" t="str">
        <f t="shared" si="311"/>
        <v>012</v>
      </c>
      <c r="O445" s="1" t="str">
        <f t="shared" si="268"/>
        <v>00</v>
      </c>
      <c r="P445" s="1" t="str">
        <f t="shared" si="269"/>
        <v>S</v>
      </c>
      <c r="Q445" s="1" t="str">
        <f t="shared" si="270"/>
        <v>P</v>
      </c>
      <c r="R445" s="1" t="str">
        <f t="shared" si="271"/>
        <v>01</v>
      </c>
      <c r="S445" s="1" t="str">
        <f t="shared" si="272"/>
        <v>03</v>
      </c>
      <c r="T445" s="1" t="str">
        <f t="shared" si="273"/>
        <v>False</v>
      </c>
      <c r="U445" s="1" t="str">
        <f t="shared" si="274"/>
        <v>True</v>
      </c>
      <c r="V445" s="1" t="str">
        <f t="shared" si="312"/>
        <v>U0032634</v>
      </c>
      <c r="W445" s="1">
        <v>1</v>
      </c>
      <c r="Y445" s="1">
        <v>0</v>
      </c>
      <c r="Z445" s="1">
        <v>0</v>
      </c>
      <c r="AD445" s="1" t="str">
        <f t="shared" si="301"/>
        <v>4520271</v>
      </c>
      <c r="AE445" s="1" t="str">
        <f t="shared" si="302"/>
        <v>FUZHOU KINGDOM SHOES CO., LTD</v>
      </c>
      <c r="AG445" s="1">
        <v>0</v>
      </c>
      <c r="AH445" s="1">
        <v>0</v>
      </c>
      <c r="AI445" s="1" t="str">
        <f t="shared" si="307"/>
        <v>F06</v>
      </c>
      <c r="AJ445" s="1" t="str">
        <f t="shared" si="313"/>
        <v>UNISEX</v>
      </c>
      <c r="AK445" s="1" t="str">
        <f t="shared" si="275"/>
        <v>PA</v>
      </c>
      <c r="AP445" s="1" t="str">
        <f t="shared" si="276"/>
        <v>False</v>
      </c>
      <c r="AR445" s="1" t="str">
        <f t="shared" si="314"/>
        <v>VAIAN</v>
      </c>
      <c r="AY445" s="1" t="str">
        <f t="shared" si="277"/>
        <v>PF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 t="str">
        <f t="shared" si="315"/>
        <v>TOMAIA GOMMA</v>
      </c>
      <c r="BF445" s="1" t="str">
        <f t="shared" si="278"/>
        <v>Bonis SpA</v>
      </c>
      <c r="BO445" s="1">
        <v>0</v>
      </c>
      <c r="BP445" s="1">
        <v>0</v>
      </c>
      <c r="BQ445" s="1">
        <v>0</v>
      </c>
    </row>
    <row r="446" spans="2:69" x14ac:dyDescent="0.25">
      <c r="B446" s="1">
        <v>1758</v>
      </c>
      <c r="C446" s="1" t="str">
        <f>"VAIAN4210S7/G1"</f>
        <v>VAIAN4210S7/G1</v>
      </c>
      <c r="D446" s="1" t="str">
        <f>"ODA16N00302-993"</f>
        <v>ODA16N00302-993</v>
      </c>
      <c r="E446" s="1" t="str">
        <f>"A8 USPA"</f>
        <v>A8 USPA</v>
      </c>
      <c r="F446" s="1" t="str">
        <f t="shared" si="265"/>
        <v>BONIS SPA</v>
      </c>
      <c r="G446" s="1" t="str">
        <f t="shared" si="266"/>
        <v>STOCK TERRA MP</v>
      </c>
      <c r="H446" s="1" t="str">
        <f>"WHI"</f>
        <v>WHI</v>
      </c>
      <c r="J446" s="1">
        <v>1</v>
      </c>
      <c r="K446" s="1">
        <f t="shared" si="316"/>
        <v>8</v>
      </c>
      <c r="L446" s="1" t="str">
        <f t="shared" si="267"/>
        <v>01</v>
      </c>
      <c r="M446" s="1" t="str">
        <f t="shared" si="305"/>
        <v>102</v>
      </c>
      <c r="N446" s="1" t="str">
        <f t="shared" si="311"/>
        <v>012</v>
      </c>
      <c r="O446" s="1" t="str">
        <f t="shared" si="268"/>
        <v>00</v>
      </c>
      <c r="P446" s="1" t="str">
        <f t="shared" si="269"/>
        <v>S</v>
      </c>
      <c r="Q446" s="1" t="str">
        <f t="shared" si="270"/>
        <v>P</v>
      </c>
      <c r="R446" s="1" t="str">
        <f t="shared" si="271"/>
        <v>01</v>
      </c>
      <c r="S446" s="1" t="str">
        <f t="shared" si="272"/>
        <v>03</v>
      </c>
      <c r="T446" s="1" t="str">
        <f t="shared" si="273"/>
        <v>False</v>
      </c>
      <c r="U446" s="1" t="str">
        <f t="shared" si="274"/>
        <v>True</v>
      </c>
      <c r="V446" s="1" t="str">
        <f t="shared" si="312"/>
        <v>U0032634</v>
      </c>
      <c r="W446" s="1">
        <v>1</v>
      </c>
      <c r="Y446" s="1">
        <v>0</v>
      </c>
      <c r="Z446" s="1">
        <v>0</v>
      </c>
      <c r="AD446" s="1" t="str">
        <f t="shared" si="301"/>
        <v>4520271</v>
      </c>
      <c r="AE446" s="1" t="str">
        <f t="shared" si="302"/>
        <v>FUZHOU KINGDOM SHOES CO., LTD</v>
      </c>
      <c r="AG446" s="1">
        <v>0</v>
      </c>
      <c r="AH446" s="1">
        <v>0</v>
      </c>
      <c r="AI446" s="1" t="str">
        <f t="shared" si="307"/>
        <v>F06</v>
      </c>
      <c r="AJ446" s="1" t="str">
        <f t="shared" si="313"/>
        <v>UNISEX</v>
      </c>
      <c r="AK446" s="1" t="str">
        <f t="shared" si="275"/>
        <v>PA</v>
      </c>
      <c r="AP446" s="1" t="str">
        <f t="shared" si="276"/>
        <v>False</v>
      </c>
      <c r="AR446" s="1" t="str">
        <f t="shared" si="314"/>
        <v>VAIAN</v>
      </c>
      <c r="AY446" s="1" t="str">
        <f t="shared" si="277"/>
        <v>PF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 t="str">
        <f t="shared" si="315"/>
        <v>TOMAIA GOMMA</v>
      </c>
      <c r="BF446" s="1" t="str">
        <f t="shared" si="278"/>
        <v>Bonis SpA</v>
      </c>
      <c r="BO446" s="1">
        <v>0</v>
      </c>
      <c r="BP446" s="1">
        <v>0</v>
      </c>
      <c r="BQ446" s="1">
        <v>0</v>
      </c>
    </row>
    <row r="447" spans="2:69" x14ac:dyDescent="0.25">
      <c r="B447" s="1">
        <v>1758</v>
      </c>
      <c r="C447" s="1" t="str">
        <f>"VAIAN4210S7/G1"</f>
        <v>VAIAN4210S7/G1</v>
      </c>
      <c r="D447" s="1" t="str">
        <f>"ODA16N00302-997"</f>
        <v>ODA16N00302-997</v>
      </c>
      <c r="E447" s="1" t="str">
        <f>"A8 USPA"</f>
        <v>A8 USPA</v>
      </c>
      <c r="F447" s="1" t="str">
        <f t="shared" si="265"/>
        <v>BONIS SPA</v>
      </c>
      <c r="G447" s="1" t="str">
        <f t="shared" si="266"/>
        <v>STOCK TERRA MP</v>
      </c>
      <c r="H447" s="1" t="str">
        <f>"WHI"</f>
        <v>WHI</v>
      </c>
      <c r="J447" s="1">
        <v>1</v>
      </c>
      <c r="K447" s="1">
        <f t="shared" si="316"/>
        <v>8</v>
      </c>
      <c r="L447" s="1" t="str">
        <f t="shared" si="267"/>
        <v>01</v>
      </c>
      <c r="M447" s="1" t="str">
        <f t="shared" si="305"/>
        <v>102</v>
      </c>
      <c r="N447" s="1" t="str">
        <f t="shared" si="311"/>
        <v>012</v>
      </c>
      <c r="O447" s="1" t="str">
        <f t="shared" si="268"/>
        <v>00</v>
      </c>
      <c r="P447" s="1" t="str">
        <f t="shared" si="269"/>
        <v>S</v>
      </c>
      <c r="Q447" s="1" t="str">
        <f t="shared" si="270"/>
        <v>P</v>
      </c>
      <c r="R447" s="1" t="str">
        <f t="shared" si="271"/>
        <v>01</v>
      </c>
      <c r="S447" s="1" t="str">
        <f t="shared" si="272"/>
        <v>03</v>
      </c>
      <c r="T447" s="1" t="str">
        <f t="shared" si="273"/>
        <v>False</v>
      </c>
      <c r="U447" s="1" t="str">
        <f t="shared" si="274"/>
        <v>True</v>
      </c>
      <c r="V447" s="1" t="str">
        <f t="shared" si="312"/>
        <v>U0032634</v>
      </c>
      <c r="W447" s="1">
        <v>1</v>
      </c>
      <c r="Y447" s="1">
        <v>0</v>
      </c>
      <c r="Z447" s="1">
        <v>0</v>
      </c>
      <c r="AD447" s="1" t="str">
        <f t="shared" si="301"/>
        <v>4520271</v>
      </c>
      <c r="AE447" s="1" t="str">
        <f t="shared" si="302"/>
        <v>FUZHOU KINGDOM SHOES CO., LTD</v>
      </c>
      <c r="AG447" s="1">
        <v>0</v>
      </c>
      <c r="AH447" s="1">
        <v>0</v>
      </c>
      <c r="AI447" s="1" t="str">
        <f t="shared" si="307"/>
        <v>F06</v>
      </c>
      <c r="AJ447" s="1" t="str">
        <f t="shared" si="313"/>
        <v>UNISEX</v>
      </c>
      <c r="AK447" s="1" t="str">
        <f t="shared" si="275"/>
        <v>PA</v>
      </c>
      <c r="AP447" s="1" t="str">
        <f t="shared" si="276"/>
        <v>False</v>
      </c>
      <c r="AR447" s="1" t="str">
        <f t="shared" si="314"/>
        <v>VAIAN</v>
      </c>
      <c r="AY447" s="1" t="str">
        <f t="shared" si="277"/>
        <v>PF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 t="str">
        <f t="shared" si="315"/>
        <v>TOMAIA GOMMA</v>
      </c>
      <c r="BF447" s="1" t="str">
        <f t="shared" si="278"/>
        <v>Bonis SpA</v>
      </c>
      <c r="BO447" s="1">
        <v>0</v>
      </c>
      <c r="BP447" s="1">
        <v>0</v>
      </c>
      <c r="BQ447" s="1">
        <v>0</v>
      </c>
    </row>
    <row r="448" spans="2:69" x14ac:dyDescent="0.25">
      <c r="B448" s="1">
        <v>1747</v>
      </c>
      <c r="C448" s="1" t="str">
        <f>"TAREK4159S7/M1"</f>
        <v>TAREK4159S7/M1</v>
      </c>
      <c r="D448" s="1" t="str">
        <f>"ODA16N00305-398"</f>
        <v>ODA16N00305-398</v>
      </c>
      <c r="E448" s="1" t="str">
        <f>"Q12 USPA"</f>
        <v>Q12 USPA</v>
      </c>
      <c r="F448" s="1" t="str">
        <f t="shared" si="265"/>
        <v>BONIS SPA</v>
      </c>
      <c r="G448" s="1" t="str">
        <f t="shared" si="266"/>
        <v>STOCK TERRA MP</v>
      </c>
      <c r="H448" s="1" t="str">
        <f>"LIBL"</f>
        <v>LIBL</v>
      </c>
      <c r="J448" s="1">
        <v>1</v>
      </c>
      <c r="K448" s="1">
        <f t="shared" ref="K448:K449" si="317">12*J448</f>
        <v>12</v>
      </c>
      <c r="L448" s="1" t="str">
        <f t="shared" si="267"/>
        <v>01</v>
      </c>
      <c r="M448" s="1" t="str">
        <f t="shared" si="305"/>
        <v>102</v>
      </c>
      <c r="N448" s="1" t="str">
        <f>"001"</f>
        <v>001</v>
      </c>
      <c r="O448" s="1" t="str">
        <f t="shared" si="268"/>
        <v>00</v>
      </c>
      <c r="P448" s="1" t="str">
        <f t="shared" si="269"/>
        <v>S</v>
      </c>
      <c r="Q448" s="1" t="str">
        <f t="shared" si="270"/>
        <v>P</v>
      </c>
      <c r="R448" s="1" t="str">
        <f t="shared" si="271"/>
        <v>01</v>
      </c>
      <c r="S448" s="1" t="str">
        <f t="shared" si="272"/>
        <v>03</v>
      </c>
      <c r="T448" s="1" t="str">
        <f t="shared" si="273"/>
        <v>False</v>
      </c>
      <c r="U448" s="1" t="str">
        <f t="shared" si="274"/>
        <v>True</v>
      </c>
      <c r="V448" s="1" t="str">
        <f>"U0024439"</f>
        <v>U0024439</v>
      </c>
      <c r="W448" s="1">
        <v>1</v>
      </c>
      <c r="Y448" s="1">
        <v>0</v>
      </c>
      <c r="Z448" s="1">
        <v>0</v>
      </c>
      <c r="AD448" s="1" t="str">
        <f>"4520308"</f>
        <v>4520308</v>
      </c>
      <c r="AE448" s="1" t="str">
        <f>"QUANZHOU REORDERS FORSUN"</f>
        <v>QUANZHOU REORDERS FORSUN</v>
      </c>
      <c r="AG448" s="1">
        <v>0</v>
      </c>
      <c r="AH448" s="1">
        <v>0</v>
      </c>
      <c r="AI448" s="1" t="str">
        <f t="shared" si="307"/>
        <v>F06</v>
      </c>
      <c r="AJ448" s="1" t="str">
        <f>"KID"</f>
        <v>KID</v>
      </c>
      <c r="AK448" s="1" t="str">
        <f t="shared" si="275"/>
        <v>PA</v>
      </c>
      <c r="AP448" s="1" t="str">
        <f t="shared" si="276"/>
        <v>False</v>
      </c>
      <c r="AR448" s="1" t="str">
        <f>"TAREK"</f>
        <v>TAREK</v>
      </c>
      <c r="AY448" s="1" t="str">
        <f t="shared" si="277"/>
        <v>PF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 t="str">
        <f>"GOMMA MESH"</f>
        <v>GOMMA MESH</v>
      </c>
      <c r="BF448" s="1" t="str">
        <f t="shared" si="278"/>
        <v>Bonis SpA</v>
      </c>
      <c r="BO448" s="1">
        <v>0</v>
      </c>
      <c r="BP448" s="1">
        <v>0</v>
      </c>
      <c r="BQ448" s="1">
        <v>0</v>
      </c>
    </row>
    <row r="449" spans="2:69" x14ac:dyDescent="0.25">
      <c r="B449" s="1">
        <v>1753</v>
      </c>
      <c r="C449" s="1" t="str">
        <f>"ECROK4197S7/Y1"</f>
        <v>ECROK4197S7/Y1</v>
      </c>
      <c r="D449" s="1" t="str">
        <f>"ODA16N00307-270"</f>
        <v>ODA16N00307-270</v>
      </c>
      <c r="E449" s="1" t="str">
        <f>"Q12 USPA"</f>
        <v>Q12 USPA</v>
      </c>
      <c r="F449" s="1" t="str">
        <f t="shared" si="265"/>
        <v>BONIS SPA</v>
      </c>
      <c r="G449" s="1" t="str">
        <f t="shared" si="266"/>
        <v>STOCK TERRA MP</v>
      </c>
      <c r="H449" s="1" t="str">
        <f>"DKBL"</f>
        <v>DKBL</v>
      </c>
      <c r="J449" s="1">
        <v>1</v>
      </c>
      <c r="K449" s="1">
        <f t="shared" si="317"/>
        <v>12</v>
      </c>
      <c r="L449" s="1" t="str">
        <f t="shared" si="267"/>
        <v>01</v>
      </c>
      <c r="M449" s="1" t="str">
        <f t="shared" si="305"/>
        <v>102</v>
      </c>
      <c r="N449" s="1" t="str">
        <f>"007"</f>
        <v>007</v>
      </c>
      <c r="O449" s="1" t="str">
        <f t="shared" si="268"/>
        <v>00</v>
      </c>
      <c r="P449" s="1" t="str">
        <f t="shared" si="269"/>
        <v>S</v>
      </c>
      <c r="Q449" s="1" t="str">
        <f t="shared" si="270"/>
        <v>P</v>
      </c>
      <c r="R449" s="1" t="str">
        <f t="shared" si="271"/>
        <v>01</v>
      </c>
      <c r="S449" s="1" t="str">
        <f t="shared" si="272"/>
        <v>03</v>
      </c>
      <c r="T449" s="1" t="str">
        <f t="shared" si="273"/>
        <v>False</v>
      </c>
      <c r="U449" s="1" t="str">
        <f t="shared" si="274"/>
        <v>True</v>
      </c>
      <c r="V449" s="1" t="str">
        <f>"U0020221"</f>
        <v>U0020221</v>
      </c>
      <c r="W449" s="1">
        <v>1</v>
      </c>
      <c r="Y449" s="1">
        <v>0</v>
      </c>
      <c r="Z449" s="1">
        <v>0</v>
      </c>
      <c r="AD449" s="1" t="str">
        <f>"4520308"</f>
        <v>4520308</v>
      </c>
      <c r="AE449" s="1" t="str">
        <f>"QUANZHOU REORDERS FORSUN"</f>
        <v>QUANZHOU REORDERS FORSUN</v>
      </c>
      <c r="AG449" s="1">
        <v>0</v>
      </c>
      <c r="AH449" s="1">
        <v>0</v>
      </c>
      <c r="AI449" s="1" t="str">
        <f>"F10"</f>
        <v>F10</v>
      </c>
      <c r="AJ449" s="1" t="str">
        <f>"KID"</f>
        <v>KID</v>
      </c>
      <c r="AK449" s="1" t="str">
        <f t="shared" si="275"/>
        <v>PA</v>
      </c>
      <c r="AP449" s="1" t="str">
        <f t="shared" si="276"/>
        <v>False</v>
      </c>
      <c r="AR449" s="1" t="str">
        <f>"ECROK"</f>
        <v>ECROK</v>
      </c>
      <c r="AY449" s="1" t="str">
        <f t="shared" si="277"/>
        <v>PF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 t="str">
        <f>"GOMMA SYNTHETIC PU"</f>
        <v>GOMMA SYNTHETIC PU</v>
      </c>
      <c r="BF449" s="1" t="str">
        <f t="shared" si="278"/>
        <v>Bonis SpA</v>
      </c>
      <c r="BO449" s="1">
        <v>0</v>
      </c>
      <c r="BP449" s="1">
        <v>0</v>
      </c>
      <c r="BQ449" s="1">
        <v>0</v>
      </c>
    </row>
    <row r="450" spans="2:69" x14ac:dyDescent="0.25">
      <c r="B450" s="1">
        <v>1758</v>
      </c>
      <c r="C450" s="1" t="str">
        <f t="shared" ref="C450:C457" si="318">"VAIAN4210S7/G1"</f>
        <v>VAIAN4210S7/G1</v>
      </c>
      <c r="D450" s="1" t="str">
        <f>"ODA16N00330-300"</f>
        <v>ODA16N00330-300</v>
      </c>
      <c r="E450" s="1" t="str">
        <f>"A8 USPA"</f>
        <v>A8 USPA</v>
      </c>
      <c r="F450" s="1" t="str">
        <f t="shared" ref="F450:F513" si="319">"BONIS SPA"</f>
        <v>BONIS SPA</v>
      </c>
      <c r="G450" s="1" t="str">
        <f t="shared" ref="G450:G513" si="320">"STOCK TERRA MP"</f>
        <v>STOCK TERRA MP</v>
      </c>
      <c r="H450" s="1" t="str">
        <f t="shared" ref="H450:H457" si="321">"WHI"</f>
        <v>WHI</v>
      </c>
      <c r="J450" s="1">
        <v>1</v>
      </c>
      <c r="K450" s="1">
        <f t="shared" ref="K450:K454" si="322">8*J450</f>
        <v>8</v>
      </c>
      <c r="L450" s="1" t="str">
        <f t="shared" ref="L450:L513" si="323">"01"</f>
        <v>01</v>
      </c>
      <c r="M450" s="1" t="str">
        <f t="shared" si="305"/>
        <v>102</v>
      </c>
      <c r="N450" s="1" t="str">
        <f t="shared" ref="N450:N457" si="324">"012"</f>
        <v>012</v>
      </c>
      <c r="O450" s="1" t="str">
        <f t="shared" ref="O450:O513" si="325">"00"</f>
        <v>00</v>
      </c>
      <c r="P450" s="1" t="str">
        <f t="shared" ref="P450:P513" si="326">"S"</f>
        <v>S</v>
      </c>
      <c r="Q450" s="1" t="str">
        <f t="shared" ref="Q450:Q513" si="327">"P"</f>
        <v>P</v>
      </c>
      <c r="R450" s="1" t="str">
        <f t="shared" ref="R450:R513" si="328">"01"</f>
        <v>01</v>
      </c>
      <c r="S450" s="1" t="str">
        <f t="shared" ref="S450:S513" si="329">"03"</f>
        <v>03</v>
      </c>
      <c r="T450" s="1" t="str">
        <f t="shared" ref="T450:T513" si="330">"False"</f>
        <v>False</v>
      </c>
      <c r="U450" s="1" t="str">
        <f t="shared" ref="U450:U513" si="331">"True"</f>
        <v>True</v>
      </c>
      <c r="V450" s="1" t="str">
        <f t="shared" ref="V450:V457" si="332">"U0032634"</f>
        <v>U0032634</v>
      </c>
      <c r="W450" s="1">
        <v>1</v>
      </c>
      <c r="Y450" s="1">
        <v>0</v>
      </c>
      <c r="Z450" s="1">
        <v>0</v>
      </c>
      <c r="AD450" s="1" t="str">
        <f t="shared" ref="AD450:AD457" si="333">"4520271"</f>
        <v>4520271</v>
      </c>
      <c r="AE450" s="1" t="str">
        <f t="shared" ref="AE450:AE457" si="334">"FUZHOU KINGDOM SHOES CO., LTD"</f>
        <v>FUZHOU KINGDOM SHOES CO., LTD</v>
      </c>
      <c r="AG450" s="1">
        <v>0</v>
      </c>
      <c r="AH450" s="1">
        <v>0</v>
      </c>
      <c r="AI450" s="1" t="str">
        <f t="shared" ref="AI450:AI464" si="335">"F06"</f>
        <v>F06</v>
      </c>
      <c r="AJ450" s="1" t="str">
        <f t="shared" ref="AJ450:AJ457" si="336">"UNISEX"</f>
        <v>UNISEX</v>
      </c>
      <c r="AK450" s="1" t="str">
        <f t="shared" ref="AK450:AK513" si="337">"PA"</f>
        <v>PA</v>
      </c>
      <c r="AP450" s="1" t="str">
        <f t="shared" ref="AP450:AP513" si="338">"False"</f>
        <v>False</v>
      </c>
      <c r="AR450" s="1" t="str">
        <f t="shared" ref="AR450:AR457" si="339">"VAIAN"</f>
        <v>VAIAN</v>
      </c>
      <c r="AY450" s="1" t="str">
        <f t="shared" ref="AY450:AY513" si="340">"PF"</f>
        <v>PF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 t="str">
        <f t="shared" ref="BE450:BE457" si="341">"TOMAIA GOMMA"</f>
        <v>TOMAIA GOMMA</v>
      </c>
      <c r="BF450" s="1" t="str">
        <f t="shared" ref="BF450:BF513" si="342">"Bonis SpA"</f>
        <v>Bonis SpA</v>
      </c>
      <c r="BO450" s="1">
        <v>0</v>
      </c>
      <c r="BP450" s="1">
        <v>0</v>
      </c>
      <c r="BQ450" s="1">
        <v>0</v>
      </c>
    </row>
    <row r="451" spans="2:69" x14ac:dyDescent="0.25">
      <c r="B451" s="1">
        <v>1758</v>
      </c>
      <c r="C451" s="1" t="str">
        <f t="shared" si="318"/>
        <v>VAIAN4210S7/G1</v>
      </c>
      <c r="D451" s="1" t="str">
        <f>"ODA16N00330-301"</f>
        <v>ODA16N00330-301</v>
      </c>
      <c r="E451" s="1" t="str">
        <f>"A8 USPA"</f>
        <v>A8 USPA</v>
      </c>
      <c r="F451" s="1" t="str">
        <f t="shared" si="319"/>
        <v>BONIS SPA</v>
      </c>
      <c r="G451" s="1" t="str">
        <f t="shared" si="320"/>
        <v>STOCK TERRA MP</v>
      </c>
      <c r="H451" s="1" t="str">
        <f t="shared" si="321"/>
        <v>WHI</v>
      </c>
      <c r="J451" s="1">
        <v>1</v>
      </c>
      <c r="K451" s="1">
        <f t="shared" si="322"/>
        <v>8</v>
      </c>
      <c r="L451" s="1" t="str">
        <f t="shared" si="323"/>
        <v>01</v>
      </c>
      <c r="M451" s="1" t="str">
        <f t="shared" si="305"/>
        <v>102</v>
      </c>
      <c r="N451" s="1" t="str">
        <f t="shared" si="324"/>
        <v>012</v>
      </c>
      <c r="O451" s="1" t="str">
        <f t="shared" si="325"/>
        <v>00</v>
      </c>
      <c r="P451" s="1" t="str">
        <f t="shared" si="326"/>
        <v>S</v>
      </c>
      <c r="Q451" s="1" t="str">
        <f t="shared" si="327"/>
        <v>P</v>
      </c>
      <c r="R451" s="1" t="str">
        <f t="shared" si="328"/>
        <v>01</v>
      </c>
      <c r="S451" s="1" t="str">
        <f t="shared" si="329"/>
        <v>03</v>
      </c>
      <c r="T451" s="1" t="str">
        <f t="shared" si="330"/>
        <v>False</v>
      </c>
      <c r="U451" s="1" t="str">
        <f t="shared" si="331"/>
        <v>True</v>
      </c>
      <c r="V451" s="1" t="str">
        <f t="shared" si="332"/>
        <v>U0032634</v>
      </c>
      <c r="W451" s="1">
        <v>1</v>
      </c>
      <c r="Y451" s="1">
        <v>0</v>
      </c>
      <c r="Z451" s="1">
        <v>0</v>
      </c>
      <c r="AD451" s="1" t="str">
        <f t="shared" si="333"/>
        <v>4520271</v>
      </c>
      <c r="AE451" s="1" t="str">
        <f t="shared" si="334"/>
        <v>FUZHOU KINGDOM SHOES CO., LTD</v>
      </c>
      <c r="AG451" s="1">
        <v>0</v>
      </c>
      <c r="AH451" s="1">
        <v>0</v>
      </c>
      <c r="AI451" s="1" t="str">
        <f t="shared" si="335"/>
        <v>F06</v>
      </c>
      <c r="AJ451" s="1" t="str">
        <f t="shared" si="336"/>
        <v>UNISEX</v>
      </c>
      <c r="AK451" s="1" t="str">
        <f t="shared" si="337"/>
        <v>PA</v>
      </c>
      <c r="AP451" s="1" t="str">
        <f t="shared" si="338"/>
        <v>False</v>
      </c>
      <c r="AR451" s="1" t="str">
        <f t="shared" si="339"/>
        <v>VAIAN</v>
      </c>
      <c r="AY451" s="1" t="str">
        <f t="shared" si="340"/>
        <v>PF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 t="str">
        <f t="shared" si="341"/>
        <v>TOMAIA GOMMA</v>
      </c>
      <c r="BF451" s="1" t="str">
        <f t="shared" si="342"/>
        <v>Bonis SpA</v>
      </c>
      <c r="BO451" s="1">
        <v>0</v>
      </c>
      <c r="BP451" s="1">
        <v>0</v>
      </c>
      <c r="BQ451" s="1">
        <v>0</v>
      </c>
    </row>
    <row r="452" spans="2:69" x14ac:dyDescent="0.25">
      <c r="B452" s="1">
        <v>1758</v>
      </c>
      <c r="C452" s="1" t="str">
        <f t="shared" si="318"/>
        <v>VAIAN4210S7/G1</v>
      </c>
      <c r="D452" s="1" t="str">
        <f>"ODA16N00330-304"</f>
        <v>ODA16N00330-304</v>
      </c>
      <c r="E452" s="1" t="str">
        <f>"A8 USPA"</f>
        <v>A8 USPA</v>
      </c>
      <c r="F452" s="1" t="str">
        <f t="shared" si="319"/>
        <v>BONIS SPA</v>
      </c>
      <c r="G452" s="1" t="str">
        <f t="shared" si="320"/>
        <v>STOCK TERRA MP</v>
      </c>
      <c r="H452" s="1" t="str">
        <f t="shared" si="321"/>
        <v>WHI</v>
      </c>
      <c r="J452" s="1">
        <v>1</v>
      </c>
      <c r="K452" s="1">
        <f t="shared" si="322"/>
        <v>8</v>
      </c>
      <c r="L452" s="1" t="str">
        <f t="shared" si="323"/>
        <v>01</v>
      </c>
      <c r="M452" s="1" t="str">
        <f t="shared" si="305"/>
        <v>102</v>
      </c>
      <c r="N452" s="1" t="str">
        <f t="shared" si="324"/>
        <v>012</v>
      </c>
      <c r="O452" s="1" t="str">
        <f t="shared" si="325"/>
        <v>00</v>
      </c>
      <c r="P452" s="1" t="str">
        <f t="shared" si="326"/>
        <v>S</v>
      </c>
      <c r="Q452" s="1" t="str">
        <f t="shared" si="327"/>
        <v>P</v>
      </c>
      <c r="R452" s="1" t="str">
        <f t="shared" si="328"/>
        <v>01</v>
      </c>
      <c r="S452" s="1" t="str">
        <f t="shared" si="329"/>
        <v>03</v>
      </c>
      <c r="T452" s="1" t="str">
        <f t="shared" si="330"/>
        <v>False</v>
      </c>
      <c r="U452" s="1" t="str">
        <f t="shared" si="331"/>
        <v>True</v>
      </c>
      <c r="V452" s="1" t="str">
        <f t="shared" si="332"/>
        <v>U0032634</v>
      </c>
      <c r="W452" s="1">
        <v>1</v>
      </c>
      <c r="Y452" s="1">
        <v>0</v>
      </c>
      <c r="Z452" s="1">
        <v>0</v>
      </c>
      <c r="AD452" s="1" t="str">
        <f t="shared" si="333"/>
        <v>4520271</v>
      </c>
      <c r="AE452" s="1" t="str">
        <f t="shared" si="334"/>
        <v>FUZHOU KINGDOM SHOES CO., LTD</v>
      </c>
      <c r="AG452" s="1">
        <v>0</v>
      </c>
      <c r="AH452" s="1">
        <v>0</v>
      </c>
      <c r="AI452" s="1" t="str">
        <f t="shared" si="335"/>
        <v>F06</v>
      </c>
      <c r="AJ452" s="1" t="str">
        <f t="shared" si="336"/>
        <v>UNISEX</v>
      </c>
      <c r="AK452" s="1" t="str">
        <f t="shared" si="337"/>
        <v>PA</v>
      </c>
      <c r="AP452" s="1" t="str">
        <f t="shared" si="338"/>
        <v>False</v>
      </c>
      <c r="AR452" s="1" t="str">
        <f t="shared" si="339"/>
        <v>VAIAN</v>
      </c>
      <c r="AY452" s="1" t="str">
        <f t="shared" si="340"/>
        <v>PF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 t="str">
        <f t="shared" si="341"/>
        <v>TOMAIA GOMMA</v>
      </c>
      <c r="BF452" s="1" t="str">
        <f t="shared" si="342"/>
        <v>Bonis SpA</v>
      </c>
      <c r="BO452" s="1">
        <v>0</v>
      </c>
      <c r="BP452" s="1">
        <v>0</v>
      </c>
      <c r="BQ452" s="1">
        <v>0</v>
      </c>
    </row>
    <row r="453" spans="2:69" x14ac:dyDescent="0.25">
      <c r="B453" s="1">
        <v>1758</v>
      </c>
      <c r="C453" s="1" t="str">
        <f t="shared" si="318"/>
        <v>VAIAN4210S7/G1</v>
      </c>
      <c r="D453" s="1" t="str">
        <f>"ODA16N00330-306"</f>
        <v>ODA16N00330-306</v>
      </c>
      <c r="E453" s="1" t="str">
        <f>"A8 USPA"</f>
        <v>A8 USPA</v>
      </c>
      <c r="F453" s="1" t="str">
        <f t="shared" si="319"/>
        <v>BONIS SPA</v>
      </c>
      <c r="G453" s="1" t="str">
        <f t="shared" si="320"/>
        <v>STOCK TERRA MP</v>
      </c>
      <c r="H453" s="1" t="str">
        <f t="shared" si="321"/>
        <v>WHI</v>
      </c>
      <c r="J453" s="1">
        <v>1</v>
      </c>
      <c r="K453" s="1">
        <f t="shared" si="322"/>
        <v>8</v>
      </c>
      <c r="L453" s="1" t="str">
        <f t="shared" si="323"/>
        <v>01</v>
      </c>
      <c r="M453" s="1" t="str">
        <f t="shared" si="305"/>
        <v>102</v>
      </c>
      <c r="N453" s="1" t="str">
        <f t="shared" si="324"/>
        <v>012</v>
      </c>
      <c r="O453" s="1" t="str">
        <f t="shared" si="325"/>
        <v>00</v>
      </c>
      <c r="P453" s="1" t="str">
        <f t="shared" si="326"/>
        <v>S</v>
      </c>
      <c r="Q453" s="1" t="str">
        <f t="shared" si="327"/>
        <v>P</v>
      </c>
      <c r="R453" s="1" t="str">
        <f t="shared" si="328"/>
        <v>01</v>
      </c>
      <c r="S453" s="1" t="str">
        <f t="shared" si="329"/>
        <v>03</v>
      </c>
      <c r="T453" s="1" t="str">
        <f t="shared" si="330"/>
        <v>False</v>
      </c>
      <c r="U453" s="1" t="str">
        <f t="shared" si="331"/>
        <v>True</v>
      </c>
      <c r="V453" s="1" t="str">
        <f t="shared" si="332"/>
        <v>U0032634</v>
      </c>
      <c r="W453" s="1">
        <v>1</v>
      </c>
      <c r="Y453" s="1">
        <v>0</v>
      </c>
      <c r="Z453" s="1">
        <v>0</v>
      </c>
      <c r="AD453" s="1" t="str">
        <f t="shared" si="333"/>
        <v>4520271</v>
      </c>
      <c r="AE453" s="1" t="str">
        <f t="shared" si="334"/>
        <v>FUZHOU KINGDOM SHOES CO., LTD</v>
      </c>
      <c r="AG453" s="1">
        <v>0</v>
      </c>
      <c r="AH453" s="1">
        <v>0</v>
      </c>
      <c r="AI453" s="1" t="str">
        <f t="shared" si="335"/>
        <v>F06</v>
      </c>
      <c r="AJ453" s="1" t="str">
        <f t="shared" si="336"/>
        <v>UNISEX</v>
      </c>
      <c r="AK453" s="1" t="str">
        <f t="shared" si="337"/>
        <v>PA</v>
      </c>
      <c r="AP453" s="1" t="str">
        <f t="shared" si="338"/>
        <v>False</v>
      </c>
      <c r="AR453" s="1" t="str">
        <f t="shared" si="339"/>
        <v>VAIAN</v>
      </c>
      <c r="AY453" s="1" t="str">
        <f t="shared" si="340"/>
        <v>PF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 t="str">
        <f t="shared" si="341"/>
        <v>TOMAIA GOMMA</v>
      </c>
      <c r="BF453" s="1" t="str">
        <f t="shared" si="342"/>
        <v>Bonis SpA</v>
      </c>
      <c r="BO453" s="1">
        <v>0</v>
      </c>
      <c r="BP453" s="1">
        <v>0</v>
      </c>
      <c r="BQ453" s="1">
        <v>0</v>
      </c>
    </row>
    <row r="454" spans="2:69" x14ac:dyDescent="0.25">
      <c r="B454" s="1">
        <v>1758</v>
      </c>
      <c r="C454" s="1" t="str">
        <f t="shared" si="318"/>
        <v>VAIAN4210S7/G1</v>
      </c>
      <c r="D454" s="1" t="str">
        <f>"ODA16N00330-310"</f>
        <v>ODA16N00330-310</v>
      </c>
      <c r="E454" s="1" t="str">
        <f>"A8 USPA"</f>
        <v>A8 USPA</v>
      </c>
      <c r="F454" s="1" t="str">
        <f t="shared" si="319"/>
        <v>BONIS SPA</v>
      </c>
      <c r="G454" s="1" t="str">
        <f t="shared" si="320"/>
        <v>STOCK TERRA MP</v>
      </c>
      <c r="H454" s="1" t="str">
        <f t="shared" si="321"/>
        <v>WHI</v>
      </c>
      <c r="J454" s="1">
        <v>1</v>
      </c>
      <c r="K454" s="1">
        <f t="shared" si="322"/>
        <v>8</v>
      </c>
      <c r="L454" s="1" t="str">
        <f t="shared" si="323"/>
        <v>01</v>
      </c>
      <c r="M454" s="1" t="str">
        <f t="shared" si="305"/>
        <v>102</v>
      </c>
      <c r="N454" s="1" t="str">
        <f t="shared" si="324"/>
        <v>012</v>
      </c>
      <c r="O454" s="1" t="str">
        <f t="shared" si="325"/>
        <v>00</v>
      </c>
      <c r="P454" s="1" t="str">
        <f t="shared" si="326"/>
        <v>S</v>
      </c>
      <c r="Q454" s="1" t="str">
        <f t="shared" si="327"/>
        <v>P</v>
      </c>
      <c r="R454" s="1" t="str">
        <f t="shared" si="328"/>
        <v>01</v>
      </c>
      <c r="S454" s="1" t="str">
        <f t="shared" si="329"/>
        <v>03</v>
      </c>
      <c r="T454" s="1" t="str">
        <f t="shared" si="330"/>
        <v>False</v>
      </c>
      <c r="U454" s="1" t="str">
        <f t="shared" si="331"/>
        <v>True</v>
      </c>
      <c r="V454" s="1" t="str">
        <f t="shared" si="332"/>
        <v>U0032634</v>
      </c>
      <c r="W454" s="1">
        <v>1</v>
      </c>
      <c r="Y454" s="1">
        <v>0</v>
      </c>
      <c r="Z454" s="1">
        <v>0</v>
      </c>
      <c r="AD454" s="1" t="str">
        <f t="shared" si="333"/>
        <v>4520271</v>
      </c>
      <c r="AE454" s="1" t="str">
        <f t="shared" si="334"/>
        <v>FUZHOU KINGDOM SHOES CO., LTD</v>
      </c>
      <c r="AG454" s="1">
        <v>0</v>
      </c>
      <c r="AH454" s="1">
        <v>0</v>
      </c>
      <c r="AI454" s="1" t="str">
        <f t="shared" si="335"/>
        <v>F06</v>
      </c>
      <c r="AJ454" s="1" t="str">
        <f t="shared" si="336"/>
        <v>UNISEX</v>
      </c>
      <c r="AK454" s="1" t="str">
        <f t="shared" si="337"/>
        <v>PA</v>
      </c>
      <c r="AP454" s="1" t="str">
        <f t="shared" si="338"/>
        <v>False</v>
      </c>
      <c r="AR454" s="1" t="str">
        <f t="shared" si="339"/>
        <v>VAIAN</v>
      </c>
      <c r="AY454" s="1" t="str">
        <f t="shared" si="340"/>
        <v>PF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 t="str">
        <f t="shared" si="341"/>
        <v>TOMAIA GOMMA</v>
      </c>
      <c r="BF454" s="1" t="str">
        <f t="shared" si="342"/>
        <v>Bonis SpA</v>
      </c>
      <c r="BO454" s="1">
        <v>0</v>
      </c>
      <c r="BP454" s="1">
        <v>0</v>
      </c>
      <c r="BQ454" s="1">
        <v>0</v>
      </c>
    </row>
    <row r="455" spans="2:69" x14ac:dyDescent="0.25">
      <c r="B455" s="1">
        <v>1758</v>
      </c>
      <c r="C455" s="1" t="str">
        <f t="shared" si="318"/>
        <v>VAIAN4210S7/G1</v>
      </c>
      <c r="D455" s="1" t="str">
        <f>"ODA16N00330-312"</f>
        <v>ODA16N00330-312</v>
      </c>
      <c r="E455" s="1" t="str">
        <f>"C12 USPA"</f>
        <v>C12 USPA</v>
      </c>
      <c r="F455" s="1" t="str">
        <f t="shared" si="319"/>
        <v>BONIS SPA</v>
      </c>
      <c r="G455" s="1" t="str">
        <f t="shared" si="320"/>
        <v>STOCK TERRA MP</v>
      </c>
      <c r="H455" s="1" t="str">
        <f t="shared" si="321"/>
        <v>WHI</v>
      </c>
      <c r="J455" s="1">
        <v>1</v>
      </c>
      <c r="K455" s="1">
        <f t="shared" ref="K455:K457" si="343">12*J455</f>
        <v>12</v>
      </c>
      <c r="L455" s="1" t="str">
        <f t="shared" si="323"/>
        <v>01</v>
      </c>
      <c r="M455" s="1" t="str">
        <f t="shared" si="305"/>
        <v>102</v>
      </c>
      <c r="N455" s="1" t="str">
        <f t="shared" si="324"/>
        <v>012</v>
      </c>
      <c r="O455" s="1" t="str">
        <f t="shared" si="325"/>
        <v>00</v>
      </c>
      <c r="P455" s="1" t="str">
        <f t="shared" si="326"/>
        <v>S</v>
      </c>
      <c r="Q455" s="1" t="str">
        <f t="shared" si="327"/>
        <v>P</v>
      </c>
      <c r="R455" s="1" t="str">
        <f t="shared" si="328"/>
        <v>01</v>
      </c>
      <c r="S455" s="1" t="str">
        <f t="shared" si="329"/>
        <v>03</v>
      </c>
      <c r="T455" s="1" t="str">
        <f t="shared" si="330"/>
        <v>False</v>
      </c>
      <c r="U455" s="1" t="str">
        <f t="shared" si="331"/>
        <v>True</v>
      </c>
      <c r="V455" s="1" t="str">
        <f t="shared" si="332"/>
        <v>U0032634</v>
      </c>
      <c r="W455" s="1">
        <v>1</v>
      </c>
      <c r="Y455" s="1">
        <v>0</v>
      </c>
      <c r="Z455" s="1">
        <v>0</v>
      </c>
      <c r="AD455" s="1" t="str">
        <f t="shared" si="333"/>
        <v>4520271</v>
      </c>
      <c r="AE455" s="1" t="str">
        <f t="shared" si="334"/>
        <v>FUZHOU KINGDOM SHOES CO., LTD</v>
      </c>
      <c r="AG455" s="1">
        <v>0</v>
      </c>
      <c r="AH455" s="1">
        <v>0</v>
      </c>
      <c r="AI455" s="1" t="str">
        <f t="shared" si="335"/>
        <v>F06</v>
      </c>
      <c r="AJ455" s="1" t="str">
        <f t="shared" si="336"/>
        <v>UNISEX</v>
      </c>
      <c r="AK455" s="1" t="str">
        <f t="shared" si="337"/>
        <v>PA</v>
      </c>
      <c r="AP455" s="1" t="str">
        <f t="shared" si="338"/>
        <v>False</v>
      </c>
      <c r="AR455" s="1" t="str">
        <f t="shared" si="339"/>
        <v>VAIAN</v>
      </c>
      <c r="AY455" s="1" t="str">
        <f t="shared" si="340"/>
        <v>PF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 t="str">
        <f t="shared" si="341"/>
        <v>TOMAIA GOMMA</v>
      </c>
      <c r="BF455" s="1" t="str">
        <f t="shared" si="342"/>
        <v>Bonis SpA</v>
      </c>
      <c r="BO455" s="1">
        <v>0</v>
      </c>
      <c r="BP455" s="1">
        <v>0</v>
      </c>
      <c r="BQ455" s="1">
        <v>0</v>
      </c>
    </row>
    <row r="456" spans="2:69" x14ac:dyDescent="0.25">
      <c r="B456" s="1">
        <v>1758</v>
      </c>
      <c r="C456" s="1" t="str">
        <f t="shared" si="318"/>
        <v>VAIAN4210S7/G1</v>
      </c>
      <c r="D456" s="1" t="str">
        <f>"ODA16N00330-342"</f>
        <v>ODA16N00330-342</v>
      </c>
      <c r="E456" s="1" t="str">
        <f>"C12 USPA"</f>
        <v>C12 USPA</v>
      </c>
      <c r="F456" s="1" t="str">
        <f t="shared" si="319"/>
        <v>BONIS SPA</v>
      </c>
      <c r="G456" s="1" t="str">
        <f t="shared" si="320"/>
        <v>STOCK TERRA MP</v>
      </c>
      <c r="H456" s="1" t="str">
        <f t="shared" si="321"/>
        <v>WHI</v>
      </c>
      <c r="J456" s="1">
        <v>1</v>
      </c>
      <c r="K456" s="1">
        <f t="shared" si="343"/>
        <v>12</v>
      </c>
      <c r="L456" s="1" t="str">
        <f t="shared" si="323"/>
        <v>01</v>
      </c>
      <c r="M456" s="1" t="str">
        <f t="shared" si="305"/>
        <v>102</v>
      </c>
      <c r="N456" s="1" t="str">
        <f t="shared" si="324"/>
        <v>012</v>
      </c>
      <c r="O456" s="1" t="str">
        <f t="shared" si="325"/>
        <v>00</v>
      </c>
      <c r="P456" s="1" t="str">
        <f t="shared" si="326"/>
        <v>S</v>
      </c>
      <c r="Q456" s="1" t="str">
        <f t="shared" si="327"/>
        <v>P</v>
      </c>
      <c r="R456" s="1" t="str">
        <f t="shared" si="328"/>
        <v>01</v>
      </c>
      <c r="S456" s="1" t="str">
        <f t="shared" si="329"/>
        <v>03</v>
      </c>
      <c r="T456" s="1" t="str">
        <f t="shared" si="330"/>
        <v>False</v>
      </c>
      <c r="U456" s="1" t="str">
        <f t="shared" si="331"/>
        <v>True</v>
      </c>
      <c r="V456" s="1" t="str">
        <f t="shared" si="332"/>
        <v>U0032634</v>
      </c>
      <c r="W456" s="1">
        <v>1</v>
      </c>
      <c r="Y456" s="1">
        <v>0</v>
      </c>
      <c r="Z456" s="1">
        <v>0</v>
      </c>
      <c r="AD456" s="1" t="str">
        <f t="shared" si="333"/>
        <v>4520271</v>
      </c>
      <c r="AE456" s="1" t="str">
        <f t="shared" si="334"/>
        <v>FUZHOU KINGDOM SHOES CO., LTD</v>
      </c>
      <c r="AG456" s="1">
        <v>0</v>
      </c>
      <c r="AH456" s="1">
        <v>0</v>
      </c>
      <c r="AI456" s="1" t="str">
        <f t="shared" si="335"/>
        <v>F06</v>
      </c>
      <c r="AJ456" s="1" t="str">
        <f t="shared" si="336"/>
        <v>UNISEX</v>
      </c>
      <c r="AK456" s="1" t="str">
        <f t="shared" si="337"/>
        <v>PA</v>
      </c>
      <c r="AP456" s="1" t="str">
        <f t="shared" si="338"/>
        <v>False</v>
      </c>
      <c r="AR456" s="1" t="str">
        <f t="shared" si="339"/>
        <v>VAIAN</v>
      </c>
      <c r="AY456" s="1" t="str">
        <f t="shared" si="340"/>
        <v>PF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 t="str">
        <f t="shared" si="341"/>
        <v>TOMAIA GOMMA</v>
      </c>
      <c r="BF456" s="1" t="str">
        <f t="shared" si="342"/>
        <v>Bonis SpA</v>
      </c>
      <c r="BO456" s="1">
        <v>0</v>
      </c>
      <c r="BP456" s="1">
        <v>0</v>
      </c>
      <c r="BQ456" s="1">
        <v>0</v>
      </c>
    </row>
    <row r="457" spans="2:69" x14ac:dyDescent="0.25">
      <c r="B457" s="1">
        <v>1758</v>
      </c>
      <c r="C457" s="1" t="str">
        <f t="shared" si="318"/>
        <v>VAIAN4210S7/G1</v>
      </c>
      <c r="D457" s="1" t="str">
        <f>"ODA16N00330-351"</f>
        <v>ODA16N00330-351</v>
      </c>
      <c r="E457" s="1" t="str">
        <f>"C12 USPA"</f>
        <v>C12 USPA</v>
      </c>
      <c r="F457" s="1" t="str">
        <f t="shared" si="319"/>
        <v>BONIS SPA</v>
      </c>
      <c r="G457" s="1" t="str">
        <f t="shared" si="320"/>
        <v>STOCK TERRA MP</v>
      </c>
      <c r="H457" s="1" t="str">
        <f t="shared" si="321"/>
        <v>WHI</v>
      </c>
      <c r="J457" s="1">
        <v>1</v>
      </c>
      <c r="K457" s="1">
        <f t="shared" si="343"/>
        <v>12</v>
      </c>
      <c r="L457" s="1" t="str">
        <f t="shared" si="323"/>
        <v>01</v>
      </c>
      <c r="M457" s="1" t="str">
        <f t="shared" si="305"/>
        <v>102</v>
      </c>
      <c r="N457" s="1" t="str">
        <f t="shared" si="324"/>
        <v>012</v>
      </c>
      <c r="O457" s="1" t="str">
        <f t="shared" si="325"/>
        <v>00</v>
      </c>
      <c r="P457" s="1" t="str">
        <f t="shared" si="326"/>
        <v>S</v>
      </c>
      <c r="Q457" s="1" t="str">
        <f t="shared" si="327"/>
        <v>P</v>
      </c>
      <c r="R457" s="1" t="str">
        <f t="shared" si="328"/>
        <v>01</v>
      </c>
      <c r="S457" s="1" t="str">
        <f t="shared" si="329"/>
        <v>03</v>
      </c>
      <c r="T457" s="1" t="str">
        <f t="shared" si="330"/>
        <v>False</v>
      </c>
      <c r="U457" s="1" t="str">
        <f t="shared" si="331"/>
        <v>True</v>
      </c>
      <c r="V457" s="1" t="str">
        <f t="shared" si="332"/>
        <v>U0032634</v>
      </c>
      <c r="W457" s="1">
        <v>1</v>
      </c>
      <c r="Y457" s="1">
        <v>0</v>
      </c>
      <c r="Z457" s="1">
        <v>0</v>
      </c>
      <c r="AD457" s="1" t="str">
        <f t="shared" si="333"/>
        <v>4520271</v>
      </c>
      <c r="AE457" s="1" t="str">
        <f t="shared" si="334"/>
        <v>FUZHOU KINGDOM SHOES CO., LTD</v>
      </c>
      <c r="AG457" s="1">
        <v>0</v>
      </c>
      <c r="AH457" s="1">
        <v>0</v>
      </c>
      <c r="AI457" s="1" t="str">
        <f t="shared" si="335"/>
        <v>F06</v>
      </c>
      <c r="AJ457" s="1" t="str">
        <f t="shared" si="336"/>
        <v>UNISEX</v>
      </c>
      <c r="AK457" s="1" t="str">
        <f t="shared" si="337"/>
        <v>PA</v>
      </c>
      <c r="AP457" s="1" t="str">
        <f t="shared" si="338"/>
        <v>False</v>
      </c>
      <c r="AR457" s="1" t="str">
        <f t="shared" si="339"/>
        <v>VAIAN</v>
      </c>
      <c r="AY457" s="1" t="str">
        <f t="shared" si="340"/>
        <v>PF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 t="str">
        <f t="shared" si="341"/>
        <v>TOMAIA GOMMA</v>
      </c>
      <c r="BF457" s="1" t="str">
        <f t="shared" si="342"/>
        <v>Bonis SpA</v>
      </c>
      <c r="BO457" s="1">
        <v>0</v>
      </c>
      <c r="BP457" s="1">
        <v>0</v>
      </c>
      <c r="BQ457" s="1">
        <v>0</v>
      </c>
    </row>
    <row r="458" spans="2:69" x14ac:dyDescent="0.25">
      <c r="B458" s="1">
        <v>1747</v>
      </c>
      <c r="C458" s="1" t="str">
        <f>"EGLE4009S7/NH1"</f>
        <v>EGLE4009S7/NH1</v>
      </c>
      <c r="D458" s="1" t="str">
        <f>"ODA16N00336-287"</f>
        <v>ODA16N00336-287</v>
      </c>
      <c r="E458" s="1" t="str">
        <f>"K8 USPA"</f>
        <v>K8 USPA</v>
      </c>
      <c r="F458" s="1" t="str">
        <f t="shared" si="319"/>
        <v>BONIS SPA</v>
      </c>
      <c r="G458" s="1" t="str">
        <f t="shared" si="320"/>
        <v>STOCK TERRA MP</v>
      </c>
      <c r="H458" s="1" t="str">
        <f>"GOLD"</f>
        <v>GOLD</v>
      </c>
      <c r="J458" s="1">
        <v>1</v>
      </c>
      <c r="K458" s="1">
        <f t="shared" ref="K458:K460" si="344">8*J458</f>
        <v>8</v>
      </c>
      <c r="L458" s="1" t="str">
        <f t="shared" si="323"/>
        <v>01</v>
      </c>
      <c r="M458" s="1" t="str">
        <f t="shared" si="305"/>
        <v>102</v>
      </c>
      <c r="N458" s="1" t="str">
        <f t="shared" ref="N458:N463" si="345">"001"</f>
        <v>001</v>
      </c>
      <c r="O458" s="1" t="str">
        <f t="shared" si="325"/>
        <v>00</v>
      </c>
      <c r="P458" s="1" t="str">
        <f t="shared" si="326"/>
        <v>S</v>
      </c>
      <c r="Q458" s="1" t="str">
        <f t="shared" si="327"/>
        <v>P</v>
      </c>
      <c r="R458" s="1" t="str">
        <f t="shared" si="328"/>
        <v>01</v>
      </c>
      <c r="S458" s="1" t="str">
        <f t="shared" si="329"/>
        <v>03</v>
      </c>
      <c r="T458" s="1" t="str">
        <f t="shared" si="330"/>
        <v>False</v>
      </c>
      <c r="U458" s="1" t="str">
        <f t="shared" si="331"/>
        <v>True</v>
      </c>
      <c r="V458" s="1" t="str">
        <f t="shared" ref="V458:V463" si="346">"U0024439"</f>
        <v>U0024439</v>
      </c>
      <c r="W458" s="1">
        <v>1</v>
      </c>
      <c r="Y458" s="1">
        <v>0</v>
      </c>
      <c r="Z458" s="1">
        <v>0</v>
      </c>
      <c r="AD458" s="1" t="str">
        <f>"4520243"</f>
        <v>4520243</v>
      </c>
      <c r="AE458" s="1" t="str">
        <f>"XIAMEN UNIBEST IMP. EXP. CO."</f>
        <v>XIAMEN UNIBEST IMP. EXP. CO.</v>
      </c>
      <c r="AG458" s="1">
        <v>0</v>
      </c>
      <c r="AH458" s="1">
        <v>0</v>
      </c>
      <c r="AI458" s="1" t="str">
        <f t="shared" si="335"/>
        <v>F06</v>
      </c>
      <c r="AJ458" s="1" t="str">
        <f>"WOMAN"</f>
        <v>WOMAN</v>
      </c>
      <c r="AK458" s="1" t="str">
        <f t="shared" si="337"/>
        <v>PA</v>
      </c>
      <c r="AP458" s="1" t="str">
        <f t="shared" si="338"/>
        <v>False</v>
      </c>
      <c r="AR458" s="1" t="str">
        <f>"EGLE"</f>
        <v>EGLE</v>
      </c>
      <c r="AY458" s="1" t="str">
        <f t="shared" si="340"/>
        <v>PF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 t="str">
        <f>"ER-EVA NYLON + MICROSUEDE"</f>
        <v>ER-EVA NYLON + MICROSUEDE</v>
      </c>
      <c r="BF458" s="1" t="str">
        <f t="shared" si="342"/>
        <v>Bonis SpA</v>
      </c>
      <c r="BO458" s="1">
        <v>0</v>
      </c>
      <c r="BP458" s="1">
        <v>0</v>
      </c>
      <c r="BQ458" s="1">
        <v>0</v>
      </c>
    </row>
    <row r="459" spans="2:69" x14ac:dyDescent="0.25">
      <c r="B459" s="1">
        <v>1747</v>
      </c>
      <c r="C459" s="1" t="str">
        <f>"EGLE4009S7/NH1"</f>
        <v>EGLE4009S7/NH1</v>
      </c>
      <c r="D459" s="1" t="str">
        <f>"ODA16N00336-288"</f>
        <v>ODA16N00336-288</v>
      </c>
      <c r="E459" s="1" t="str">
        <f>"K8 USPA"</f>
        <v>K8 USPA</v>
      </c>
      <c r="F459" s="1" t="str">
        <f t="shared" si="319"/>
        <v>BONIS SPA</v>
      </c>
      <c r="G459" s="1" t="str">
        <f t="shared" si="320"/>
        <v>STOCK TERRA MP</v>
      </c>
      <c r="H459" s="1" t="str">
        <f>"GOLD"</f>
        <v>GOLD</v>
      </c>
      <c r="J459" s="1">
        <v>1</v>
      </c>
      <c r="K459" s="1">
        <f t="shared" si="344"/>
        <v>8</v>
      </c>
      <c r="L459" s="1" t="str">
        <f t="shared" si="323"/>
        <v>01</v>
      </c>
      <c r="M459" s="1" t="str">
        <f t="shared" si="305"/>
        <v>102</v>
      </c>
      <c r="N459" s="1" t="str">
        <f t="shared" si="345"/>
        <v>001</v>
      </c>
      <c r="O459" s="1" t="str">
        <f t="shared" si="325"/>
        <v>00</v>
      </c>
      <c r="P459" s="1" t="str">
        <f t="shared" si="326"/>
        <v>S</v>
      </c>
      <c r="Q459" s="1" t="str">
        <f t="shared" si="327"/>
        <v>P</v>
      </c>
      <c r="R459" s="1" t="str">
        <f t="shared" si="328"/>
        <v>01</v>
      </c>
      <c r="S459" s="1" t="str">
        <f t="shared" si="329"/>
        <v>03</v>
      </c>
      <c r="T459" s="1" t="str">
        <f t="shared" si="330"/>
        <v>False</v>
      </c>
      <c r="U459" s="1" t="str">
        <f t="shared" si="331"/>
        <v>True</v>
      </c>
      <c r="V459" s="1" t="str">
        <f t="shared" si="346"/>
        <v>U0024439</v>
      </c>
      <c r="W459" s="1">
        <v>1</v>
      </c>
      <c r="Y459" s="1">
        <v>0</v>
      </c>
      <c r="Z459" s="1">
        <v>0</v>
      </c>
      <c r="AD459" s="1" t="str">
        <f>"4520243"</f>
        <v>4520243</v>
      </c>
      <c r="AE459" s="1" t="str">
        <f>"XIAMEN UNIBEST IMP. EXP. CO."</f>
        <v>XIAMEN UNIBEST IMP. EXP. CO.</v>
      </c>
      <c r="AG459" s="1">
        <v>0</v>
      </c>
      <c r="AH459" s="1">
        <v>0</v>
      </c>
      <c r="AI459" s="1" t="str">
        <f t="shared" si="335"/>
        <v>F06</v>
      </c>
      <c r="AJ459" s="1" t="str">
        <f>"WOMAN"</f>
        <v>WOMAN</v>
      </c>
      <c r="AK459" s="1" t="str">
        <f t="shared" si="337"/>
        <v>PA</v>
      </c>
      <c r="AP459" s="1" t="str">
        <f t="shared" si="338"/>
        <v>False</v>
      </c>
      <c r="AR459" s="1" t="str">
        <f>"EGLE"</f>
        <v>EGLE</v>
      </c>
      <c r="AY459" s="1" t="str">
        <f t="shared" si="340"/>
        <v>PF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 t="str">
        <f>"ER-EVA NYLON + MICROSUEDE"</f>
        <v>ER-EVA NYLON + MICROSUEDE</v>
      </c>
      <c r="BF459" s="1" t="str">
        <f t="shared" si="342"/>
        <v>Bonis SpA</v>
      </c>
      <c r="BO459" s="1">
        <v>0</v>
      </c>
      <c r="BP459" s="1">
        <v>0</v>
      </c>
      <c r="BQ459" s="1">
        <v>0</v>
      </c>
    </row>
    <row r="460" spans="2:69" x14ac:dyDescent="0.25">
      <c r="B460" s="1">
        <v>1747</v>
      </c>
      <c r="C460" s="1" t="str">
        <f>"EGLE4009S7/NH1"</f>
        <v>EGLE4009S7/NH1</v>
      </c>
      <c r="D460" s="1" t="str">
        <f>"ODA16N00336-307"</f>
        <v>ODA16N00336-307</v>
      </c>
      <c r="E460" s="1" t="str">
        <f>"K8 USPA"</f>
        <v>K8 USPA</v>
      </c>
      <c r="F460" s="1" t="str">
        <f t="shared" si="319"/>
        <v>BONIS SPA</v>
      </c>
      <c r="G460" s="1" t="str">
        <f t="shared" si="320"/>
        <v>STOCK TERRA MP</v>
      </c>
      <c r="H460" s="1" t="str">
        <f>"GOLD"</f>
        <v>GOLD</v>
      </c>
      <c r="J460" s="1">
        <v>1</v>
      </c>
      <c r="K460" s="1">
        <f t="shared" si="344"/>
        <v>8</v>
      </c>
      <c r="L460" s="1" t="str">
        <f t="shared" si="323"/>
        <v>01</v>
      </c>
      <c r="M460" s="1" t="str">
        <f t="shared" si="305"/>
        <v>102</v>
      </c>
      <c r="N460" s="1" t="str">
        <f t="shared" si="345"/>
        <v>001</v>
      </c>
      <c r="O460" s="1" t="str">
        <f t="shared" si="325"/>
        <v>00</v>
      </c>
      <c r="P460" s="1" t="str">
        <f t="shared" si="326"/>
        <v>S</v>
      </c>
      <c r="Q460" s="1" t="str">
        <f t="shared" si="327"/>
        <v>P</v>
      </c>
      <c r="R460" s="1" t="str">
        <f t="shared" si="328"/>
        <v>01</v>
      </c>
      <c r="S460" s="1" t="str">
        <f t="shared" si="329"/>
        <v>03</v>
      </c>
      <c r="T460" s="1" t="str">
        <f t="shared" si="330"/>
        <v>False</v>
      </c>
      <c r="U460" s="1" t="str">
        <f t="shared" si="331"/>
        <v>True</v>
      </c>
      <c r="V460" s="1" t="str">
        <f t="shared" si="346"/>
        <v>U0024439</v>
      </c>
      <c r="W460" s="1">
        <v>1</v>
      </c>
      <c r="Y460" s="1">
        <v>0</v>
      </c>
      <c r="Z460" s="1">
        <v>0</v>
      </c>
      <c r="AD460" s="1" t="str">
        <f>"4520243"</f>
        <v>4520243</v>
      </c>
      <c r="AE460" s="1" t="str">
        <f>"XIAMEN UNIBEST IMP. EXP. CO."</f>
        <v>XIAMEN UNIBEST IMP. EXP. CO.</v>
      </c>
      <c r="AG460" s="1">
        <v>0</v>
      </c>
      <c r="AH460" s="1">
        <v>0</v>
      </c>
      <c r="AI460" s="1" t="str">
        <f t="shared" si="335"/>
        <v>F06</v>
      </c>
      <c r="AJ460" s="1" t="str">
        <f>"WOMAN"</f>
        <v>WOMAN</v>
      </c>
      <c r="AK460" s="1" t="str">
        <f t="shared" si="337"/>
        <v>PA</v>
      </c>
      <c r="AP460" s="1" t="str">
        <f t="shared" si="338"/>
        <v>False</v>
      </c>
      <c r="AR460" s="1" t="str">
        <f>"EGLE"</f>
        <v>EGLE</v>
      </c>
      <c r="AY460" s="1" t="str">
        <f t="shared" si="340"/>
        <v>PF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 t="str">
        <f>"ER-EVA NYLON + MICROSUEDE"</f>
        <v>ER-EVA NYLON + MICROSUEDE</v>
      </c>
      <c r="BF460" s="1" t="str">
        <f t="shared" si="342"/>
        <v>Bonis SpA</v>
      </c>
      <c r="BO460" s="1">
        <v>0</v>
      </c>
      <c r="BP460" s="1">
        <v>0</v>
      </c>
      <c r="BQ460" s="1">
        <v>0</v>
      </c>
    </row>
    <row r="461" spans="2:69" x14ac:dyDescent="0.25">
      <c r="B461" s="1">
        <v>1747</v>
      </c>
      <c r="C461" s="1" t="str">
        <f>"MARCS4137S7E/C2"</f>
        <v>MARCS4137S7E/C2</v>
      </c>
      <c r="D461" s="1" t="str">
        <f>"ODA16N00342-003"</f>
        <v>ODA16N00342-003</v>
      </c>
      <c r="E461" s="1" t="str">
        <f>"C12 USPA"</f>
        <v>C12 USPA</v>
      </c>
      <c r="F461" s="1" t="str">
        <f t="shared" si="319"/>
        <v>BONIS SPA</v>
      </c>
      <c r="G461" s="1" t="str">
        <f t="shared" si="320"/>
        <v>STOCK TERRA MP</v>
      </c>
      <c r="H461" s="1" t="str">
        <f>"GREY"</f>
        <v>GREY</v>
      </c>
      <c r="J461" s="1">
        <v>1</v>
      </c>
      <c r="K461" s="1">
        <f t="shared" ref="K461:K496" si="347">12*J461</f>
        <v>12</v>
      </c>
      <c r="L461" s="1" t="str">
        <f t="shared" si="323"/>
        <v>01</v>
      </c>
      <c r="M461" s="1" t="str">
        <f t="shared" si="305"/>
        <v>102</v>
      </c>
      <c r="N461" s="1" t="str">
        <f t="shared" si="345"/>
        <v>001</v>
      </c>
      <c r="O461" s="1" t="str">
        <f t="shared" si="325"/>
        <v>00</v>
      </c>
      <c r="P461" s="1" t="str">
        <f t="shared" si="326"/>
        <v>S</v>
      </c>
      <c r="Q461" s="1" t="str">
        <f t="shared" si="327"/>
        <v>P</v>
      </c>
      <c r="R461" s="1" t="str">
        <f t="shared" si="328"/>
        <v>01</v>
      </c>
      <c r="S461" s="1" t="str">
        <f t="shared" si="329"/>
        <v>03</v>
      </c>
      <c r="T461" s="1" t="str">
        <f t="shared" si="330"/>
        <v>False</v>
      </c>
      <c r="U461" s="1" t="str">
        <f t="shared" si="331"/>
        <v>True</v>
      </c>
      <c r="V461" s="1" t="str">
        <f t="shared" si="346"/>
        <v>U0024439</v>
      </c>
      <c r="W461" s="1">
        <v>1</v>
      </c>
      <c r="Y461" s="1">
        <v>0</v>
      </c>
      <c r="Z461" s="1">
        <v>0</v>
      </c>
      <c r="AB461" s="1" t="str">
        <f>"ECOM"</f>
        <v>ECOM</v>
      </c>
      <c r="AD461" s="1" t="str">
        <f>"4520182"</f>
        <v>4520182</v>
      </c>
      <c r="AE461" s="1" t="str">
        <f>"32 Joint Stock Company (Aseco)"</f>
        <v>32 Joint Stock Company (Aseco)</v>
      </c>
      <c r="AG461" s="1">
        <v>0</v>
      </c>
      <c r="AH461" s="1">
        <v>0</v>
      </c>
      <c r="AI461" s="1" t="str">
        <f t="shared" si="335"/>
        <v>F06</v>
      </c>
      <c r="AJ461" s="1" t="str">
        <f>"MAN"</f>
        <v>MAN</v>
      </c>
      <c r="AK461" s="1" t="str">
        <f t="shared" si="337"/>
        <v>PA</v>
      </c>
      <c r="AP461" s="1" t="str">
        <f t="shared" si="338"/>
        <v>False</v>
      </c>
      <c r="AR461" s="1" t="str">
        <f>"MARCS"</f>
        <v>MARCS</v>
      </c>
      <c r="AY461" s="1" t="str">
        <f t="shared" si="340"/>
        <v>PF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 t="str">
        <f>"RCS GOMMA TWILL CANVAS+PU LEAT"</f>
        <v>RCS GOMMA TWILL CANVAS+PU LEAT</v>
      </c>
      <c r="BF461" s="1" t="str">
        <f t="shared" si="342"/>
        <v>Bonis SpA</v>
      </c>
      <c r="BO461" s="1">
        <v>0</v>
      </c>
      <c r="BP461" s="1">
        <v>0</v>
      </c>
      <c r="BQ461" s="1">
        <v>0</v>
      </c>
    </row>
    <row r="462" spans="2:69" x14ac:dyDescent="0.25">
      <c r="B462" s="1">
        <v>1747</v>
      </c>
      <c r="C462" s="1" t="str">
        <f>"MARCS4137S7E/C2"</f>
        <v>MARCS4137S7E/C2</v>
      </c>
      <c r="D462" s="1" t="str">
        <f>"ODA16N00342-008"</f>
        <v>ODA16N00342-008</v>
      </c>
      <c r="E462" s="1" t="str">
        <f>"X12 USPA"</f>
        <v>X12 USPA</v>
      </c>
      <c r="F462" s="1" t="str">
        <f t="shared" si="319"/>
        <v>BONIS SPA</v>
      </c>
      <c r="G462" s="1" t="str">
        <f t="shared" si="320"/>
        <v>STOCK TERRA MP</v>
      </c>
      <c r="H462" s="1" t="str">
        <f>"GREY"</f>
        <v>GREY</v>
      </c>
      <c r="J462" s="1">
        <v>1</v>
      </c>
      <c r="K462" s="1">
        <f t="shared" si="347"/>
        <v>12</v>
      </c>
      <c r="L462" s="1" t="str">
        <f t="shared" si="323"/>
        <v>01</v>
      </c>
      <c r="M462" s="1" t="str">
        <f t="shared" si="305"/>
        <v>102</v>
      </c>
      <c r="N462" s="1" t="str">
        <f t="shared" si="345"/>
        <v>001</v>
      </c>
      <c r="O462" s="1" t="str">
        <f t="shared" si="325"/>
        <v>00</v>
      </c>
      <c r="P462" s="1" t="str">
        <f t="shared" si="326"/>
        <v>S</v>
      </c>
      <c r="Q462" s="1" t="str">
        <f t="shared" si="327"/>
        <v>P</v>
      </c>
      <c r="R462" s="1" t="str">
        <f t="shared" si="328"/>
        <v>01</v>
      </c>
      <c r="S462" s="1" t="str">
        <f t="shared" si="329"/>
        <v>03</v>
      </c>
      <c r="T462" s="1" t="str">
        <f t="shared" si="330"/>
        <v>False</v>
      </c>
      <c r="U462" s="1" t="str">
        <f t="shared" si="331"/>
        <v>True</v>
      </c>
      <c r="V462" s="1" t="str">
        <f t="shared" si="346"/>
        <v>U0024439</v>
      </c>
      <c r="W462" s="1">
        <v>1</v>
      </c>
      <c r="Y462" s="1">
        <v>0</v>
      </c>
      <c r="Z462" s="1">
        <v>0</v>
      </c>
      <c r="AB462" s="1" t="str">
        <f>"ECOM"</f>
        <v>ECOM</v>
      </c>
      <c r="AD462" s="1" t="str">
        <f>"4520182"</f>
        <v>4520182</v>
      </c>
      <c r="AE462" s="1" t="str">
        <f>"32 Joint Stock Company (Aseco)"</f>
        <v>32 Joint Stock Company (Aseco)</v>
      </c>
      <c r="AG462" s="1">
        <v>0</v>
      </c>
      <c r="AH462" s="1">
        <v>0</v>
      </c>
      <c r="AI462" s="1" t="str">
        <f t="shared" si="335"/>
        <v>F06</v>
      </c>
      <c r="AJ462" s="1" t="str">
        <f>"MAN"</f>
        <v>MAN</v>
      </c>
      <c r="AK462" s="1" t="str">
        <f t="shared" si="337"/>
        <v>PA</v>
      </c>
      <c r="AP462" s="1" t="str">
        <f t="shared" si="338"/>
        <v>False</v>
      </c>
      <c r="AR462" s="1" t="str">
        <f>"MARCS"</f>
        <v>MARCS</v>
      </c>
      <c r="AY462" s="1" t="str">
        <f t="shared" si="340"/>
        <v>PF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 t="str">
        <f>"RCS GOMMA TWILL CANVAS+PU LEAT"</f>
        <v>RCS GOMMA TWILL CANVAS+PU LEAT</v>
      </c>
      <c r="BF462" s="1" t="str">
        <f t="shared" si="342"/>
        <v>Bonis SpA</v>
      </c>
      <c r="BO462" s="1">
        <v>0</v>
      </c>
      <c r="BP462" s="1">
        <v>0</v>
      </c>
      <c r="BQ462" s="1">
        <v>0</v>
      </c>
    </row>
    <row r="463" spans="2:69" x14ac:dyDescent="0.25">
      <c r="B463" s="1">
        <v>1747</v>
      </c>
      <c r="C463" s="1" t="str">
        <f>"DYON4154S7/C1"</f>
        <v>DYON4154S7/C1</v>
      </c>
      <c r="D463" s="1" t="str">
        <f>"ODA16N00344-216"</f>
        <v>ODA16N00344-216</v>
      </c>
      <c r="E463" s="1" t="str">
        <f>"D12 USPA"</f>
        <v>D12 USPA</v>
      </c>
      <c r="F463" s="1" t="str">
        <f t="shared" si="319"/>
        <v>BONIS SPA</v>
      </c>
      <c r="G463" s="1" t="str">
        <f t="shared" si="320"/>
        <v>STOCK TERRA MP</v>
      </c>
      <c r="H463" s="1" t="str">
        <f>"DKBL"</f>
        <v>DKBL</v>
      </c>
      <c r="J463" s="1">
        <v>1</v>
      </c>
      <c r="K463" s="1">
        <f t="shared" si="347"/>
        <v>12</v>
      </c>
      <c r="L463" s="1" t="str">
        <f t="shared" si="323"/>
        <v>01</v>
      </c>
      <c r="M463" s="1" t="str">
        <f t="shared" si="305"/>
        <v>102</v>
      </c>
      <c r="N463" s="1" t="str">
        <f t="shared" si="345"/>
        <v>001</v>
      </c>
      <c r="O463" s="1" t="str">
        <f t="shared" si="325"/>
        <v>00</v>
      </c>
      <c r="P463" s="1" t="str">
        <f t="shared" si="326"/>
        <v>S</v>
      </c>
      <c r="Q463" s="1" t="str">
        <f t="shared" si="327"/>
        <v>P</v>
      </c>
      <c r="R463" s="1" t="str">
        <f t="shared" si="328"/>
        <v>01</v>
      </c>
      <c r="S463" s="1" t="str">
        <f t="shared" si="329"/>
        <v>03</v>
      </c>
      <c r="T463" s="1" t="str">
        <f t="shared" si="330"/>
        <v>False</v>
      </c>
      <c r="U463" s="1" t="str">
        <f t="shared" si="331"/>
        <v>True</v>
      </c>
      <c r="V463" s="1" t="str">
        <f t="shared" si="346"/>
        <v>U0024439</v>
      </c>
      <c r="W463" s="1">
        <v>1</v>
      </c>
      <c r="Y463" s="1">
        <v>0</v>
      </c>
      <c r="Z463" s="1">
        <v>0</v>
      </c>
      <c r="AD463" s="1" t="str">
        <f>"4520182"</f>
        <v>4520182</v>
      </c>
      <c r="AE463" s="1" t="str">
        <f>"32 Joint Stock Company (Aseco)"</f>
        <v>32 Joint Stock Company (Aseco)</v>
      </c>
      <c r="AG463" s="1">
        <v>0</v>
      </c>
      <c r="AH463" s="1">
        <v>0</v>
      </c>
      <c r="AI463" s="1" t="str">
        <f t="shared" si="335"/>
        <v>F06</v>
      </c>
      <c r="AJ463" s="1" t="str">
        <f>"WOMAN"</f>
        <v>WOMAN</v>
      </c>
      <c r="AK463" s="1" t="str">
        <f t="shared" si="337"/>
        <v>PA</v>
      </c>
      <c r="AP463" s="1" t="str">
        <f t="shared" si="338"/>
        <v>False</v>
      </c>
      <c r="AR463" s="1" t="str">
        <f>"DYON"</f>
        <v>DYON</v>
      </c>
      <c r="AY463" s="1" t="str">
        <f t="shared" si="340"/>
        <v>PF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 t="str">
        <f>"E GOMMA TWILL canvas"</f>
        <v>E GOMMA TWILL canvas</v>
      </c>
      <c r="BF463" s="1" t="str">
        <f t="shared" si="342"/>
        <v>Bonis SpA</v>
      </c>
      <c r="BO463" s="1">
        <v>0</v>
      </c>
      <c r="BP463" s="1">
        <v>0</v>
      </c>
      <c r="BQ463" s="1">
        <v>0</v>
      </c>
    </row>
    <row r="464" spans="2:69" x14ac:dyDescent="0.25">
      <c r="B464" s="1">
        <v>1748</v>
      </c>
      <c r="C464" s="1" t="str">
        <f>"GALAD4123S7/CY2"</f>
        <v>GALAD4123S7/CY2</v>
      </c>
      <c r="D464" s="1" t="str">
        <f>"ODA16N00354-031"</f>
        <v>ODA16N00354-031</v>
      </c>
      <c r="E464" s="1" t="str">
        <f>"D12 USPA"</f>
        <v>D12 USPA</v>
      </c>
      <c r="F464" s="1" t="str">
        <f t="shared" si="319"/>
        <v>BONIS SPA</v>
      </c>
      <c r="G464" s="1" t="str">
        <f t="shared" si="320"/>
        <v>STOCK TERRA MP</v>
      </c>
      <c r="H464" s="1" t="str">
        <f>"BLU"</f>
        <v>BLU</v>
      </c>
      <c r="J464" s="1">
        <v>1</v>
      </c>
      <c r="K464" s="1">
        <f t="shared" si="347"/>
        <v>12</v>
      </c>
      <c r="L464" s="1" t="str">
        <f t="shared" si="323"/>
        <v>01</v>
      </c>
      <c r="M464" s="1" t="str">
        <f t="shared" si="305"/>
        <v>102</v>
      </c>
      <c r="N464" s="1" t="str">
        <f>"002"</f>
        <v>002</v>
      </c>
      <c r="O464" s="1" t="str">
        <f t="shared" si="325"/>
        <v>00</v>
      </c>
      <c r="P464" s="1" t="str">
        <f t="shared" si="326"/>
        <v>S</v>
      </c>
      <c r="Q464" s="1" t="str">
        <f t="shared" si="327"/>
        <v>P</v>
      </c>
      <c r="R464" s="1" t="str">
        <f t="shared" si="328"/>
        <v>01</v>
      </c>
      <c r="S464" s="1" t="str">
        <f t="shared" si="329"/>
        <v>03</v>
      </c>
      <c r="T464" s="1" t="str">
        <f t="shared" si="330"/>
        <v>False</v>
      </c>
      <c r="U464" s="1" t="str">
        <f t="shared" si="331"/>
        <v>True</v>
      </c>
      <c r="V464" s="1" t="str">
        <f>"U0026769"</f>
        <v>U0026769</v>
      </c>
      <c r="W464" s="1">
        <v>1</v>
      </c>
      <c r="Y464" s="1">
        <v>0</v>
      </c>
      <c r="Z464" s="1">
        <v>0</v>
      </c>
      <c r="AD464" s="1" t="str">
        <f>"4520107"</f>
        <v>4520107</v>
      </c>
      <c r="AE464" s="1" t="str">
        <f>"DONG HUNG IND. JOINT COMPANY"</f>
        <v>DONG HUNG IND. JOINT COMPANY</v>
      </c>
      <c r="AG464" s="1">
        <v>0</v>
      </c>
      <c r="AH464" s="1">
        <v>0</v>
      </c>
      <c r="AI464" s="1" t="str">
        <f t="shared" si="335"/>
        <v>F06</v>
      </c>
      <c r="AJ464" s="1" t="str">
        <f>"WOMAN"</f>
        <v>WOMAN</v>
      </c>
      <c r="AK464" s="1" t="str">
        <f t="shared" si="337"/>
        <v>PA</v>
      </c>
      <c r="AP464" s="1" t="str">
        <f t="shared" si="338"/>
        <v>False</v>
      </c>
      <c r="AR464" s="1" t="str">
        <f>"GALAD"</f>
        <v>GALAD</v>
      </c>
      <c r="AY464" s="1" t="str">
        <f t="shared" si="340"/>
        <v>PF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 t="str">
        <f>"D GOMMA TEXTILE+SYNTHETIC LEAT"</f>
        <v>D GOMMA TEXTILE+SYNTHETIC LEAT</v>
      </c>
      <c r="BF464" s="1" t="str">
        <f t="shared" si="342"/>
        <v>Bonis SpA</v>
      </c>
      <c r="BO464" s="1">
        <v>0</v>
      </c>
      <c r="BP464" s="1">
        <v>0</v>
      </c>
      <c r="BQ464" s="1">
        <v>0</v>
      </c>
    </row>
    <row r="465" spans="2:69" x14ac:dyDescent="0.25">
      <c r="B465" s="1">
        <v>1753</v>
      </c>
      <c r="C465" s="1" t="str">
        <f>"GALAD4123S7/CY2"</f>
        <v>GALAD4123S7/CY2</v>
      </c>
      <c r="D465" s="1" t="str">
        <f>"ODA16N00354-073"</f>
        <v>ODA16N00354-073</v>
      </c>
      <c r="E465" s="1" t="str">
        <f>"D12 USPA"</f>
        <v>D12 USPA</v>
      </c>
      <c r="F465" s="1" t="str">
        <f t="shared" si="319"/>
        <v>BONIS SPA</v>
      </c>
      <c r="G465" s="1" t="str">
        <f t="shared" si="320"/>
        <v>STOCK TERRA MP</v>
      </c>
      <c r="H465" s="1" t="str">
        <f>"FUX"</f>
        <v>FUX</v>
      </c>
      <c r="J465" s="1">
        <v>1</v>
      </c>
      <c r="K465" s="1">
        <f t="shared" si="347"/>
        <v>12</v>
      </c>
      <c r="L465" s="1" t="str">
        <f t="shared" si="323"/>
        <v>01</v>
      </c>
      <c r="M465" s="1" t="str">
        <f t="shared" si="305"/>
        <v>102</v>
      </c>
      <c r="N465" s="1" t="str">
        <f>"007"</f>
        <v>007</v>
      </c>
      <c r="O465" s="1" t="str">
        <f t="shared" si="325"/>
        <v>00</v>
      </c>
      <c r="P465" s="1" t="str">
        <f t="shared" si="326"/>
        <v>S</v>
      </c>
      <c r="Q465" s="1" t="str">
        <f t="shared" si="327"/>
        <v>P</v>
      </c>
      <c r="R465" s="1" t="str">
        <f t="shared" si="328"/>
        <v>01</v>
      </c>
      <c r="S465" s="1" t="str">
        <f t="shared" si="329"/>
        <v>03</v>
      </c>
      <c r="T465" s="1" t="str">
        <f t="shared" si="330"/>
        <v>False</v>
      </c>
      <c r="U465" s="1" t="str">
        <f t="shared" si="331"/>
        <v>True</v>
      </c>
      <c r="V465" s="1" t="str">
        <f>"U0020221"</f>
        <v>U0020221</v>
      </c>
      <c r="W465" s="1">
        <v>1</v>
      </c>
      <c r="Y465" s="1">
        <v>0</v>
      </c>
      <c r="Z465" s="1">
        <v>0</v>
      </c>
      <c r="AD465" s="1" t="str">
        <f>"4520107"</f>
        <v>4520107</v>
      </c>
      <c r="AE465" s="1" t="str">
        <f>"DONG HUNG IND. JOINT COMPANY"</f>
        <v>DONG HUNG IND. JOINT COMPANY</v>
      </c>
      <c r="AG465" s="1">
        <v>0</v>
      </c>
      <c r="AH465" s="1">
        <v>0</v>
      </c>
      <c r="AI465" s="1" t="str">
        <f>"F10"</f>
        <v>F10</v>
      </c>
      <c r="AJ465" s="1" t="str">
        <f>"WOMAN"</f>
        <v>WOMAN</v>
      </c>
      <c r="AK465" s="1" t="str">
        <f t="shared" si="337"/>
        <v>PA</v>
      </c>
      <c r="AP465" s="1" t="str">
        <f t="shared" si="338"/>
        <v>False</v>
      </c>
      <c r="AR465" s="1" t="str">
        <f>"GALAD"</f>
        <v>GALAD</v>
      </c>
      <c r="AY465" s="1" t="str">
        <f t="shared" si="340"/>
        <v>PF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 t="str">
        <f>"D GOMMA TEXTILE+SYNTHETIC LEAT"</f>
        <v>D GOMMA TEXTILE+SYNTHETIC LEAT</v>
      </c>
      <c r="BF465" s="1" t="str">
        <f t="shared" si="342"/>
        <v>Bonis SpA</v>
      </c>
      <c r="BO465" s="1">
        <v>0</v>
      </c>
      <c r="BP465" s="1">
        <v>0</v>
      </c>
      <c r="BQ465" s="1">
        <v>0</v>
      </c>
    </row>
    <row r="466" spans="2:69" x14ac:dyDescent="0.25">
      <c r="B466" s="1">
        <v>1753</v>
      </c>
      <c r="C466" s="1" t="str">
        <f>"GALAD4123S7/CY2"</f>
        <v>GALAD4123S7/CY2</v>
      </c>
      <c r="D466" s="1" t="str">
        <f>"ODA16N00354-074"</f>
        <v>ODA16N00354-074</v>
      </c>
      <c r="E466" s="1" t="str">
        <f>"D12 USPA"</f>
        <v>D12 USPA</v>
      </c>
      <c r="F466" s="1" t="str">
        <f t="shared" si="319"/>
        <v>BONIS SPA</v>
      </c>
      <c r="G466" s="1" t="str">
        <f t="shared" si="320"/>
        <v>STOCK TERRA MP</v>
      </c>
      <c r="H466" s="1" t="str">
        <f>"FUX"</f>
        <v>FUX</v>
      </c>
      <c r="J466" s="1">
        <v>1</v>
      </c>
      <c r="K466" s="1">
        <f t="shared" si="347"/>
        <v>12</v>
      </c>
      <c r="L466" s="1" t="str">
        <f t="shared" si="323"/>
        <v>01</v>
      </c>
      <c r="M466" s="1" t="str">
        <f t="shared" si="305"/>
        <v>102</v>
      </c>
      <c r="N466" s="1" t="str">
        <f>"007"</f>
        <v>007</v>
      </c>
      <c r="O466" s="1" t="str">
        <f t="shared" si="325"/>
        <v>00</v>
      </c>
      <c r="P466" s="1" t="str">
        <f t="shared" si="326"/>
        <v>S</v>
      </c>
      <c r="Q466" s="1" t="str">
        <f t="shared" si="327"/>
        <v>P</v>
      </c>
      <c r="R466" s="1" t="str">
        <f t="shared" si="328"/>
        <v>01</v>
      </c>
      <c r="S466" s="1" t="str">
        <f t="shared" si="329"/>
        <v>03</v>
      </c>
      <c r="T466" s="1" t="str">
        <f t="shared" si="330"/>
        <v>False</v>
      </c>
      <c r="U466" s="1" t="str">
        <f t="shared" si="331"/>
        <v>True</v>
      </c>
      <c r="V466" s="1" t="str">
        <f>"U0020221"</f>
        <v>U0020221</v>
      </c>
      <c r="W466" s="1">
        <v>1</v>
      </c>
      <c r="Y466" s="1">
        <v>0</v>
      </c>
      <c r="Z466" s="1">
        <v>0</v>
      </c>
      <c r="AD466" s="1" t="str">
        <f>"4520107"</f>
        <v>4520107</v>
      </c>
      <c r="AE466" s="1" t="str">
        <f>"DONG HUNG IND. JOINT COMPANY"</f>
        <v>DONG HUNG IND. JOINT COMPANY</v>
      </c>
      <c r="AG466" s="1">
        <v>0</v>
      </c>
      <c r="AH466" s="1">
        <v>0</v>
      </c>
      <c r="AI466" s="1" t="str">
        <f>"F10"</f>
        <v>F10</v>
      </c>
      <c r="AJ466" s="1" t="str">
        <f>"WOMAN"</f>
        <v>WOMAN</v>
      </c>
      <c r="AK466" s="1" t="str">
        <f t="shared" si="337"/>
        <v>PA</v>
      </c>
      <c r="AP466" s="1" t="str">
        <f t="shared" si="338"/>
        <v>False</v>
      </c>
      <c r="AR466" s="1" t="str">
        <f>"GALAD"</f>
        <v>GALAD</v>
      </c>
      <c r="AY466" s="1" t="str">
        <f t="shared" si="340"/>
        <v>PF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 t="str">
        <f>"D GOMMA TEXTILE+SYNTHETIC LEAT"</f>
        <v>D GOMMA TEXTILE+SYNTHETIC LEAT</v>
      </c>
      <c r="BF466" s="1" t="str">
        <f t="shared" si="342"/>
        <v>Bonis SpA</v>
      </c>
      <c r="BO466" s="1">
        <v>0</v>
      </c>
      <c r="BP466" s="1">
        <v>0</v>
      </c>
      <c r="BQ466" s="1">
        <v>0</v>
      </c>
    </row>
    <row r="467" spans="2:69" x14ac:dyDescent="0.25">
      <c r="B467" s="1">
        <v>1748</v>
      </c>
      <c r="C467" s="1" t="str">
        <f>"GALAD4123S7/CY2"</f>
        <v>GALAD4123S7/CY2</v>
      </c>
      <c r="D467" s="1" t="str">
        <f>"ODA16N00355-002"</f>
        <v>ODA16N00355-002</v>
      </c>
      <c r="E467" s="1" t="str">
        <f>"D12 USPA"</f>
        <v>D12 USPA</v>
      </c>
      <c r="F467" s="1" t="str">
        <f t="shared" si="319"/>
        <v>BONIS SPA</v>
      </c>
      <c r="G467" s="1" t="str">
        <f t="shared" si="320"/>
        <v>STOCK TERRA MP</v>
      </c>
      <c r="H467" s="1" t="str">
        <f>"BLU"</f>
        <v>BLU</v>
      </c>
      <c r="J467" s="1">
        <v>1</v>
      </c>
      <c r="K467" s="1">
        <f t="shared" si="347"/>
        <v>12</v>
      </c>
      <c r="L467" s="1" t="str">
        <f t="shared" si="323"/>
        <v>01</v>
      </c>
      <c r="M467" s="1" t="str">
        <f t="shared" si="305"/>
        <v>102</v>
      </c>
      <c r="N467" s="1" t="str">
        <f>"002"</f>
        <v>002</v>
      </c>
      <c r="O467" s="1" t="str">
        <f t="shared" si="325"/>
        <v>00</v>
      </c>
      <c r="P467" s="1" t="str">
        <f t="shared" si="326"/>
        <v>S</v>
      </c>
      <c r="Q467" s="1" t="str">
        <f t="shared" si="327"/>
        <v>P</v>
      </c>
      <c r="R467" s="1" t="str">
        <f t="shared" si="328"/>
        <v>01</v>
      </c>
      <c r="S467" s="1" t="str">
        <f t="shared" si="329"/>
        <v>03</v>
      </c>
      <c r="T467" s="1" t="str">
        <f t="shared" si="330"/>
        <v>False</v>
      </c>
      <c r="U467" s="1" t="str">
        <f t="shared" si="331"/>
        <v>True</v>
      </c>
      <c r="V467" s="1" t="str">
        <f>"U0026769"</f>
        <v>U0026769</v>
      </c>
      <c r="W467" s="1">
        <v>1</v>
      </c>
      <c r="Y467" s="1">
        <v>0</v>
      </c>
      <c r="Z467" s="1">
        <v>0</v>
      </c>
      <c r="AD467" s="1" t="str">
        <f>"4520107"</f>
        <v>4520107</v>
      </c>
      <c r="AE467" s="1" t="str">
        <f>"DONG HUNG IND. JOINT COMPANY"</f>
        <v>DONG HUNG IND. JOINT COMPANY</v>
      </c>
      <c r="AG467" s="1">
        <v>0</v>
      </c>
      <c r="AH467" s="1">
        <v>0</v>
      </c>
      <c r="AI467" s="1" t="str">
        <f t="shared" ref="AI467:AI498" si="348">"F06"</f>
        <v>F06</v>
      </c>
      <c r="AJ467" s="1" t="str">
        <f>"WOMAN"</f>
        <v>WOMAN</v>
      </c>
      <c r="AK467" s="1" t="str">
        <f t="shared" si="337"/>
        <v>PA</v>
      </c>
      <c r="AP467" s="1" t="str">
        <f t="shared" si="338"/>
        <v>False</v>
      </c>
      <c r="AR467" s="1" t="str">
        <f>"GALAD"</f>
        <v>GALAD</v>
      </c>
      <c r="AY467" s="1" t="str">
        <f t="shared" si="340"/>
        <v>PF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 t="str">
        <f>"D GOMMA TEXTILE+SYNTHETIC LEAT"</f>
        <v>D GOMMA TEXTILE+SYNTHETIC LEAT</v>
      </c>
      <c r="BF467" s="1" t="str">
        <f t="shared" si="342"/>
        <v>Bonis SpA</v>
      </c>
      <c r="BO467" s="1">
        <v>0</v>
      </c>
      <c r="BP467" s="1">
        <v>0</v>
      </c>
      <c r="BQ467" s="1">
        <v>0</v>
      </c>
    </row>
    <row r="468" spans="2:69" x14ac:dyDescent="0.25">
      <c r="B468" s="1">
        <v>1754</v>
      </c>
      <c r="C468" s="1" t="str">
        <f>"NOBIL4044S6/NH1A"</f>
        <v>NOBIL4044S6/NH1A</v>
      </c>
      <c r="D468" s="1" t="str">
        <f>"ODA16N00410-184"</f>
        <v>ODA16N00410-184</v>
      </c>
      <c r="E468" s="1" t="str">
        <f>"C12 USPA"</f>
        <v>C12 USPA</v>
      </c>
      <c r="F468" s="1" t="str">
        <f t="shared" si="319"/>
        <v>BONIS SPA</v>
      </c>
      <c r="G468" s="1" t="str">
        <f t="shared" si="320"/>
        <v>STOCK TERRA MP</v>
      </c>
      <c r="H468" s="1" t="str">
        <f>"WHI"</f>
        <v>WHI</v>
      </c>
      <c r="J468" s="1">
        <v>1</v>
      </c>
      <c r="K468" s="1">
        <f t="shared" si="347"/>
        <v>12</v>
      </c>
      <c r="L468" s="1" t="str">
        <f t="shared" si="323"/>
        <v>01</v>
      </c>
      <c r="M468" s="1" t="str">
        <f t="shared" si="305"/>
        <v>102</v>
      </c>
      <c r="N468" s="1" t="str">
        <f t="shared" ref="N468:N491" si="349">"008"</f>
        <v>008</v>
      </c>
      <c r="O468" s="1" t="str">
        <f t="shared" si="325"/>
        <v>00</v>
      </c>
      <c r="P468" s="1" t="str">
        <f t="shared" si="326"/>
        <v>S</v>
      </c>
      <c r="Q468" s="1" t="str">
        <f t="shared" si="327"/>
        <v>P</v>
      </c>
      <c r="R468" s="1" t="str">
        <f t="shared" si="328"/>
        <v>01</v>
      </c>
      <c r="S468" s="1" t="str">
        <f t="shared" si="329"/>
        <v>03</v>
      </c>
      <c r="T468" s="1" t="str">
        <f t="shared" si="330"/>
        <v>False</v>
      </c>
      <c r="U468" s="1" t="str">
        <f t="shared" si="331"/>
        <v>True</v>
      </c>
      <c r="V468" s="1" t="str">
        <f>"U0023791"</f>
        <v>U0023791</v>
      </c>
      <c r="W468" s="1">
        <v>1</v>
      </c>
      <c r="Y468" s="1">
        <v>0</v>
      </c>
      <c r="Z468" s="1">
        <v>0</v>
      </c>
      <c r="AB468" s="1" t="str">
        <f t="shared" ref="AB468:AB491" si="350">"SMU"</f>
        <v>SMU</v>
      </c>
      <c r="AD468" s="1" t="str">
        <f>"4520307"</f>
        <v>4520307</v>
      </c>
      <c r="AE468" s="1" t="str">
        <f>"CHENGDU JOY SHINE FOOTWEAR LTD"</f>
        <v>CHENGDU JOY SHINE FOOTWEAR LTD</v>
      </c>
      <c r="AG468" s="1">
        <v>0</v>
      </c>
      <c r="AH468" s="1">
        <v>0</v>
      </c>
      <c r="AI468" s="1" t="str">
        <f t="shared" si="348"/>
        <v>F06</v>
      </c>
      <c r="AJ468" s="1" t="str">
        <f>"MAN"</f>
        <v>MAN</v>
      </c>
      <c r="AK468" s="1" t="str">
        <f t="shared" si="337"/>
        <v>PA</v>
      </c>
      <c r="AP468" s="1" t="str">
        <f t="shared" si="338"/>
        <v>False</v>
      </c>
      <c r="AR468" s="1" t="str">
        <f>"NOBIL"</f>
        <v>NOBIL</v>
      </c>
      <c r="AY468" s="1" t="str">
        <f t="shared" si="340"/>
        <v>PF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 t="str">
        <f>"BBER FLAT MOL.NYLON+MICROSUEDE"</f>
        <v>BBER FLAT MOL.NYLON+MICROSUEDE</v>
      </c>
      <c r="BF468" s="1" t="str">
        <f t="shared" si="342"/>
        <v>Bonis SpA</v>
      </c>
      <c r="BO468" s="1">
        <v>0</v>
      </c>
      <c r="BP468" s="1">
        <v>0</v>
      </c>
      <c r="BQ468" s="1">
        <v>0</v>
      </c>
    </row>
    <row r="469" spans="2:69" x14ac:dyDescent="0.25">
      <c r="B469" s="1">
        <v>1754</v>
      </c>
      <c r="C469" s="1" t="str">
        <f t="shared" ref="C469:C491" si="351">"DECOR4237S7/C1"</f>
        <v>DECOR4237S7/C1</v>
      </c>
      <c r="D469" s="1" t="str">
        <f>"ODA17N00003-211"</f>
        <v>ODA17N00003-211</v>
      </c>
      <c r="E469" s="1" t="str">
        <f t="shared" ref="E469:E496" si="352">"D12 USPA"</f>
        <v>D12 USPA</v>
      </c>
      <c r="F469" s="1" t="str">
        <f t="shared" si="319"/>
        <v>BONIS SPA</v>
      </c>
      <c r="G469" s="1" t="str">
        <f t="shared" si="320"/>
        <v>STOCK TERRA MP</v>
      </c>
      <c r="H469" s="1" t="str">
        <f t="shared" ref="H469:H491" si="353">"GREY"</f>
        <v>GREY</v>
      </c>
      <c r="J469" s="1">
        <v>1</v>
      </c>
      <c r="K469" s="1">
        <f t="shared" si="347"/>
        <v>12</v>
      </c>
      <c r="L469" s="1" t="str">
        <f t="shared" si="323"/>
        <v>01</v>
      </c>
      <c r="M469" s="1" t="str">
        <f t="shared" si="305"/>
        <v>102</v>
      </c>
      <c r="N469" s="1" t="str">
        <f t="shared" si="349"/>
        <v>008</v>
      </c>
      <c r="O469" s="1" t="str">
        <f t="shared" si="325"/>
        <v>00</v>
      </c>
      <c r="P469" s="1" t="str">
        <f t="shared" si="326"/>
        <v>S</v>
      </c>
      <c r="Q469" s="1" t="str">
        <f t="shared" si="327"/>
        <v>P</v>
      </c>
      <c r="R469" s="1" t="str">
        <f t="shared" si="328"/>
        <v>01</v>
      </c>
      <c r="S469" s="1" t="str">
        <f t="shared" si="329"/>
        <v>03</v>
      </c>
      <c r="T469" s="1" t="str">
        <f t="shared" si="330"/>
        <v>False</v>
      </c>
      <c r="U469" s="1" t="str">
        <f t="shared" si="331"/>
        <v>True</v>
      </c>
      <c r="V469" s="1" t="str">
        <f t="shared" ref="V469:V491" si="354">"U0031306"</f>
        <v>U0031306</v>
      </c>
      <c r="W469" s="1">
        <v>1</v>
      </c>
      <c r="Y469" s="1">
        <v>0</v>
      </c>
      <c r="Z469" s="1">
        <v>0</v>
      </c>
      <c r="AB469" s="1" t="str">
        <f t="shared" si="350"/>
        <v>SMU</v>
      </c>
      <c r="AD469" s="1" t="str">
        <f t="shared" ref="AD469:AD491" si="355">"4520308"</f>
        <v>4520308</v>
      </c>
      <c r="AE469" s="1" t="str">
        <f t="shared" ref="AE469:AE491" si="356">"QUANZHOU REORDERS FORSUN"</f>
        <v>QUANZHOU REORDERS FORSUN</v>
      </c>
      <c r="AG469" s="1">
        <v>0</v>
      </c>
      <c r="AH469" s="1">
        <v>0</v>
      </c>
      <c r="AI469" s="1" t="str">
        <f t="shared" si="348"/>
        <v>F06</v>
      </c>
      <c r="AJ469" s="1" t="str">
        <f t="shared" ref="AJ469:AJ501" si="357">"WOMAN"</f>
        <v>WOMAN</v>
      </c>
      <c r="AK469" s="1" t="str">
        <f t="shared" si="337"/>
        <v>PA</v>
      </c>
      <c r="AP469" s="1" t="str">
        <f t="shared" si="338"/>
        <v>False</v>
      </c>
      <c r="AR469" s="1" t="str">
        <f t="shared" ref="AR469:AR491" si="358">"DECOR"</f>
        <v>DECOR</v>
      </c>
      <c r="AY469" s="1" t="str">
        <f t="shared" si="340"/>
        <v>PF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 t="str">
        <f t="shared" ref="BE469:BE491" si="359">"R GOMMA CANVAS"</f>
        <v>R GOMMA CANVAS</v>
      </c>
      <c r="BF469" s="1" t="str">
        <f t="shared" si="342"/>
        <v>Bonis SpA</v>
      </c>
      <c r="BO469" s="1">
        <v>0</v>
      </c>
      <c r="BP469" s="1">
        <v>0</v>
      </c>
      <c r="BQ469" s="1">
        <v>0</v>
      </c>
    </row>
    <row r="470" spans="2:69" x14ac:dyDescent="0.25">
      <c r="B470" s="1">
        <v>1754</v>
      </c>
      <c r="C470" s="1" t="str">
        <f t="shared" si="351"/>
        <v>DECOR4237S7/C1</v>
      </c>
      <c r="D470" s="1" t="str">
        <f>"ODA17N00003-213"</f>
        <v>ODA17N00003-213</v>
      </c>
      <c r="E470" s="1" t="str">
        <f t="shared" si="352"/>
        <v>D12 USPA</v>
      </c>
      <c r="F470" s="1" t="str">
        <f t="shared" si="319"/>
        <v>BONIS SPA</v>
      </c>
      <c r="G470" s="1" t="str">
        <f t="shared" si="320"/>
        <v>STOCK TERRA MP</v>
      </c>
      <c r="H470" s="1" t="str">
        <f t="shared" si="353"/>
        <v>GREY</v>
      </c>
      <c r="J470" s="1">
        <v>1</v>
      </c>
      <c r="K470" s="1">
        <f t="shared" si="347"/>
        <v>12</v>
      </c>
      <c r="L470" s="1" t="str">
        <f t="shared" si="323"/>
        <v>01</v>
      </c>
      <c r="M470" s="1" t="str">
        <f t="shared" si="305"/>
        <v>102</v>
      </c>
      <c r="N470" s="1" t="str">
        <f t="shared" si="349"/>
        <v>008</v>
      </c>
      <c r="O470" s="1" t="str">
        <f t="shared" si="325"/>
        <v>00</v>
      </c>
      <c r="P470" s="1" t="str">
        <f t="shared" si="326"/>
        <v>S</v>
      </c>
      <c r="Q470" s="1" t="str">
        <f t="shared" si="327"/>
        <v>P</v>
      </c>
      <c r="R470" s="1" t="str">
        <f t="shared" si="328"/>
        <v>01</v>
      </c>
      <c r="S470" s="1" t="str">
        <f t="shared" si="329"/>
        <v>03</v>
      </c>
      <c r="T470" s="1" t="str">
        <f t="shared" si="330"/>
        <v>False</v>
      </c>
      <c r="U470" s="1" t="str">
        <f t="shared" si="331"/>
        <v>True</v>
      </c>
      <c r="V470" s="1" t="str">
        <f t="shared" si="354"/>
        <v>U0031306</v>
      </c>
      <c r="W470" s="1">
        <v>1</v>
      </c>
      <c r="Y470" s="1">
        <v>0</v>
      </c>
      <c r="Z470" s="1">
        <v>0</v>
      </c>
      <c r="AB470" s="1" t="str">
        <f t="shared" si="350"/>
        <v>SMU</v>
      </c>
      <c r="AD470" s="1" t="str">
        <f t="shared" si="355"/>
        <v>4520308</v>
      </c>
      <c r="AE470" s="1" t="str">
        <f t="shared" si="356"/>
        <v>QUANZHOU REORDERS FORSUN</v>
      </c>
      <c r="AG470" s="1">
        <v>0</v>
      </c>
      <c r="AH470" s="1">
        <v>0</v>
      </c>
      <c r="AI470" s="1" t="str">
        <f t="shared" si="348"/>
        <v>F06</v>
      </c>
      <c r="AJ470" s="1" t="str">
        <f t="shared" si="357"/>
        <v>WOMAN</v>
      </c>
      <c r="AK470" s="1" t="str">
        <f t="shared" si="337"/>
        <v>PA</v>
      </c>
      <c r="AP470" s="1" t="str">
        <f t="shared" si="338"/>
        <v>False</v>
      </c>
      <c r="AR470" s="1" t="str">
        <f t="shared" si="358"/>
        <v>DECOR</v>
      </c>
      <c r="AY470" s="1" t="str">
        <f t="shared" si="340"/>
        <v>PF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 t="str">
        <f t="shared" si="359"/>
        <v>R GOMMA CANVAS</v>
      </c>
      <c r="BF470" s="1" t="str">
        <f t="shared" si="342"/>
        <v>Bonis SpA</v>
      </c>
      <c r="BO470" s="1">
        <v>0</v>
      </c>
      <c r="BP470" s="1">
        <v>0</v>
      </c>
      <c r="BQ470" s="1">
        <v>0</v>
      </c>
    </row>
    <row r="471" spans="2:69" x14ac:dyDescent="0.25">
      <c r="B471" s="1">
        <v>1754</v>
      </c>
      <c r="C471" s="1" t="str">
        <f t="shared" si="351"/>
        <v>DECOR4237S7/C1</v>
      </c>
      <c r="D471" s="1" t="str">
        <f>"ODA17N00003-219"</f>
        <v>ODA17N00003-219</v>
      </c>
      <c r="E471" s="1" t="str">
        <f t="shared" si="352"/>
        <v>D12 USPA</v>
      </c>
      <c r="F471" s="1" t="str">
        <f t="shared" si="319"/>
        <v>BONIS SPA</v>
      </c>
      <c r="G471" s="1" t="str">
        <f t="shared" si="320"/>
        <v>STOCK TERRA MP</v>
      </c>
      <c r="H471" s="1" t="str">
        <f t="shared" si="353"/>
        <v>GREY</v>
      </c>
      <c r="J471" s="1">
        <v>1</v>
      </c>
      <c r="K471" s="1">
        <f t="shared" si="347"/>
        <v>12</v>
      </c>
      <c r="L471" s="1" t="str">
        <f t="shared" si="323"/>
        <v>01</v>
      </c>
      <c r="M471" s="1" t="str">
        <f t="shared" si="305"/>
        <v>102</v>
      </c>
      <c r="N471" s="1" t="str">
        <f t="shared" si="349"/>
        <v>008</v>
      </c>
      <c r="O471" s="1" t="str">
        <f t="shared" si="325"/>
        <v>00</v>
      </c>
      <c r="P471" s="1" t="str">
        <f t="shared" si="326"/>
        <v>S</v>
      </c>
      <c r="Q471" s="1" t="str">
        <f t="shared" si="327"/>
        <v>P</v>
      </c>
      <c r="R471" s="1" t="str">
        <f t="shared" si="328"/>
        <v>01</v>
      </c>
      <c r="S471" s="1" t="str">
        <f t="shared" si="329"/>
        <v>03</v>
      </c>
      <c r="T471" s="1" t="str">
        <f t="shared" si="330"/>
        <v>False</v>
      </c>
      <c r="U471" s="1" t="str">
        <f t="shared" si="331"/>
        <v>True</v>
      </c>
      <c r="V471" s="1" t="str">
        <f t="shared" si="354"/>
        <v>U0031306</v>
      </c>
      <c r="W471" s="1">
        <v>1</v>
      </c>
      <c r="Y471" s="1">
        <v>0</v>
      </c>
      <c r="Z471" s="1">
        <v>0</v>
      </c>
      <c r="AB471" s="1" t="str">
        <f t="shared" si="350"/>
        <v>SMU</v>
      </c>
      <c r="AD471" s="1" t="str">
        <f t="shared" si="355"/>
        <v>4520308</v>
      </c>
      <c r="AE471" s="1" t="str">
        <f t="shared" si="356"/>
        <v>QUANZHOU REORDERS FORSUN</v>
      </c>
      <c r="AG471" s="1">
        <v>0</v>
      </c>
      <c r="AH471" s="1">
        <v>0</v>
      </c>
      <c r="AI471" s="1" t="str">
        <f t="shared" si="348"/>
        <v>F06</v>
      </c>
      <c r="AJ471" s="1" t="str">
        <f t="shared" si="357"/>
        <v>WOMAN</v>
      </c>
      <c r="AK471" s="1" t="str">
        <f t="shared" si="337"/>
        <v>PA</v>
      </c>
      <c r="AP471" s="1" t="str">
        <f t="shared" si="338"/>
        <v>False</v>
      </c>
      <c r="AR471" s="1" t="str">
        <f t="shared" si="358"/>
        <v>DECOR</v>
      </c>
      <c r="AY471" s="1" t="str">
        <f t="shared" si="340"/>
        <v>PF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 t="str">
        <f t="shared" si="359"/>
        <v>R GOMMA CANVAS</v>
      </c>
      <c r="BF471" s="1" t="str">
        <f t="shared" si="342"/>
        <v>Bonis SpA</v>
      </c>
      <c r="BO471" s="1">
        <v>0</v>
      </c>
      <c r="BP471" s="1">
        <v>0</v>
      </c>
      <c r="BQ471" s="1">
        <v>0</v>
      </c>
    </row>
    <row r="472" spans="2:69" x14ac:dyDescent="0.25">
      <c r="B472" s="1">
        <v>1754</v>
      </c>
      <c r="C472" s="1" t="str">
        <f t="shared" si="351"/>
        <v>DECOR4237S7/C1</v>
      </c>
      <c r="D472" s="1" t="str">
        <f>"ODA17N00003-229"</f>
        <v>ODA17N00003-229</v>
      </c>
      <c r="E472" s="1" t="str">
        <f t="shared" si="352"/>
        <v>D12 USPA</v>
      </c>
      <c r="F472" s="1" t="str">
        <f t="shared" si="319"/>
        <v>BONIS SPA</v>
      </c>
      <c r="G472" s="1" t="str">
        <f t="shared" si="320"/>
        <v>STOCK TERRA MP</v>
      </c>
      <c r="H472" s="1" t="str">
        <f t="shared" si="353"/>
        <v>GREY</v>
      </c>
      <c r="J472" s="1">
        <v>1</v>
      </c>
      <c r="K472" s="1">
        <f t="shared" si="347"/>
        <v>12</v>
      </c>
      <c r="L472" s="1" t="str">
        <f t="shared" si="323"/>
        <v>01</v>
      </c>
      <c r="M472" s="1" t="str">
        <f t="shared" si="305"/>
        <v>102</v>
      </c>
      <c r="N472" s="1" t="str">
        <f t="shared" si="349"/>
        <v>008</v>
      </c>
      <c r="O472" s="1" t="str">
        <f t="shared" si="325"/>
        <v>00</v>
      </c>
      <c r="P472" s="1" t="str">
        <f t="shared" si="326"/>
        <v>S</v>
      </c>
      <c r="Q472" s="1" t="str">
        <f t="shared" si="327"/>
        <v>P</v>
      </c>
      <c r="R472" s="1" t="str">
        <f t="shared" si="328"/>
        <v>01</v>
      </c>
      <c r="S472" s="1" t="str">
        <f t="shared" si="329"/>
        <v>03</v>
      </c>
      <c r="T472" s="1" t="str">
        <f t="shared" si="330"/>
        <v>False</v>
      </c>
      <c r="U472" s="1" t="str">
        <f t="shared" si="331"/>
        <v>True</v>
      </c>
      <c r="V472" s="1" t="str">
        <f t="shared" si="354"/>
        <v>U0031306</v>
      </c>
      <c r="W472" s="1">
        <v>1</v>
      </c>
      <c r="Y472" s="1">
        <v>0</v>
      </c>
      <c r="Z472" s="1">
        <v>0</v>
      </c>
      <c r="AB472" s="1" t="str">
        <f t="shared" si="350"/>
        <v>SMU</v>
      </c>
      <c r="AD472" s="1" t="str">
        <f t="shared" si="355"/>
        <v>4520308</v>
      </c>
      <c r="AE472" s="1" t="str">
        <f t="shared" si="356"/>
        <v>QUANZHOU REORDERS FORSUN</v>
      </c>
      <c r="AG472" s="1">
        <v>0</v>
      </c>
      <c r="AH472" s="1">
        <v>0</v>
      </c>
      <c r="AI472" s="1" t="str">
        <f t="shared" si="348"/>
        <v>F06</v>
      </c>
      <c r="AJ472" s="1" t="str">
        <f t="shared" si="357"/>
        <v>WOMAN</v>
      </c>
      <c r="AK472" s="1" t="str">
        <f t="shared" si="337"/>
        <v>PA</v>
      </c>
      <c r="AP472" s="1" t="str">
        <f t="shared" si="338"/>
        <v>False</v>
      </c>
      <c r="AR472" s="1" t="str">
        <f t="shared" si="358"/>
        <v>DECOR</v>
      </c>
      <c r="AY472" s="1" t="str">
        <f t="shared" si="340"/>
        <v>PF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 t="str">
        <f t="shared" si="359"/>
        <v>R GOMMA CANVAS</v>
      </c>
      <c r="BF472" s="1" t="str">
        <f t="shared" si="342"/>
        <v>Bonis SpA</v>
      </c>
      <c r="BO472" s="1">
        <v>0</v>
      </c>
      <c r="BP472" s="1">
        <v>0</v>
      </c>
      <c r="BQ472" s="1">
        <v>0</v>
      </c>
    </row>
    <row r="473" spans="2:69" x14ac:dyDescent="0.25">
      <c r="B473" s="1">
        <v>1754</v>
      </c>
      <c r="C473" s="1" t="str">
        <f t="shared" si="351"/>
        <v>DECOR4237S7/C1</v>
      </c>
      <c r="D473" s="1" t="str">
        <f>"ODA17N00003-231"</f>
        <v>ODA17N00003-231</v>
      </c>
      <c r="E473" s="1" t="str">
        <f t="shared" si="352"/>
        <v>D12 USPA</v>
      </c>
      <c r="F473" s="1" t="str">
        <f t="shared" si="319"/>
        <v>BONIS SPA</v>
      </c>
      <c r="G473" s="1" t="str">
        <f t="shared" si="320"/>
        <v>STOCK TERRA MP</v>
      </c>
      <c r="H473" s="1" t="str">
        <f t="shared" si="353"/>
        <v>GREY</v>
      </c>
      <c r="J473" s="1">
        <v>1</v>
      </c>
      <c r="K473" s="1">
        <f t="shared" si="347"/>
        <v>12</v>
      </c>
      <c r="L473" s="1" t="str">
        <f t="shared" si="323"/>
        <v>01</v>
      </c>
      <c r="M473" s="1" t="str">
        <f t="shared" si="305"/>
        <v>102</v>
      </c>
      <c r="N473" s="1" t="str">
        <f t="shared" si="349"/>
        <v>008</v>
      </c>
      <c r="O473" s="1" t="str">
        <f t="shared" si="325"/>
        <v>00</v>
      </c>
      <c r="P473" s="1" t="str">
        <f t="shared" si="326"/>
        <v>S</v>
      </c>
      <c r="Q473" s="1" t="str">
        <f t="shared" si="327"/>
        <v>P</v>
      </c>
      <c r="R473" s="1" t="str">
        <f t="shared" si="328"/>
        <v>01</v>
      </c>
      <c r="S473" s="1" t="str">
        <f t="shared" si="329"/>
        <v>03</v>
      </c>
      <c r="T473" s="1" t="str">
        <f t="shared" si="330"/>
        <v>False</v>
      </c>
      <c r="U473" s="1" t="str">
        <f t="shared" si="331"/>
        <v>True</v>
      </c>
      <c r="V473" s="1" t="str">
        <f t="shared" si="354"/>
        <v>U0031306</v>
      </c>
      <c r="W473" s="1">
        <v>1</v>
      </c>
      <c r="Y473" s="1">
        <v>0</v>
      </c>
      <c r="Z473" s="1">
        <v>0</v>
      </c>
      <c r="AB473" s="1" t="str">
        <f t="shared" si="350"/>
        <v>SMU</v>
      </c>
      <c r="AD473" s="1" t="str">
        <f t="shared" si="355"/>
        <v>4520308</v>
      </c>
      <c r="AE473" s="1" t="str">
        <f t="shared" si="356"/>
        <v>QUANZHOU REORDERS FORSUN</v>
      </c>
      <c r="AG473" s="1">
        <v>0</v>
      </c>
      <c r="AH473" s="1">
        <v>0</v>
      </c>
      <c r="AI473" s="1" t="str">
        <f t="shared" si="348"/>
        <v>F06</v>
      </c>
      <c r="AJ473" s="1" t="str">
        <f t="shared" si="357"/>
        <v>WOMAN</v>
      </c>
      <c r="AK473" s="1" t="str">
        <f t="shared" si="337"/>
        <v>PA</v>
      </c>
      <c r="AP473" s="1" t="str">
        <f t="shared" si="338"/>
        <v>False</v>
      </c>
      <c r="AR473" s="1" t="str">
        <f t="shared" si="358"/>
        <v>DECOR</v>
      </c>
      <c r="AY473" s="1" t="str">
        <f t="shared" si="340"/>
        <v>PF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 t="str">
        <f t="shared" si="359"/>
        <v>R GOMMA CANVAS</v>
      </c>
      <c r="BF473" s="1" t="str">
        <f t="shared" si="342"/>
        <v>Bonis SpA</v>
      </c>
      <c r="BO473" s="1">
        <v>0</v>
      </c>
      <c r="BP473" s="1">
        <v>0</v>
      </c>
      <c r="BQ473" s="1">
        <v>0</v>
      </c>
    </row>
    <row r="474" spans="2:69" x14ac:dyDescent="0.25">
      <c r="B474" s="1">
        <v>1754</v>
      </c>
      <c r="C474" s="1" t="str">
        <f t="shared" si="351"/>
        <v>DECOR4237S7/C1</v>
      </c>
      <c r="D474" s="1" t="str">
        <f>"ODA17N00003-232"</f>
        <v>ODA17N00003-232</v>
      </c>
      <c r="E474" s="1" t="str">
        <f t="shared" si="352"/>
        <v>D12 USPA</v>
      </c>
      <c r="F474" s="1" t="str">
        <f t="shared" si="319"/>
        <v>BONIS SPA</v>
      </c>
      <c r="G474" s="1" t="str">
        <f t="shared" si="320"/>
        <v>STOCK TERRA MP</v>
      </c>
      <c r="H474" s="1" t="str">
        <f t="shared" si="353"/>
        <v>GREY</v>
      </c>
      <c r="J474" s="1">
        <v>1</v>
      </c>
      <c r="K474" s="1">
        <f t="shared" si="347"/>
        <v>12</v>
      </c>
      <c r="L474" s="1" t="str">
        <f t="shared" si="323"/>
        <v>01</v>
      </c>
      <c r="M474" s="1" t="str">
        <f t="shared" si="305"/>
        <v>102</v>
      </c>
      <c r="N474" s="1" t="str">
        <f t="shared" si="349"/>
        <v>008</v>
      </c>
      <c r="O474" s="1" t="str">
        <f t="shared" si="325"/>
        <v>00</v>
      </c>
      <c r="P474" s="1" t="str">
        <f t="shared" si="326"/>
        <v>S</v>
      </c>
      <c r="Q474" s="1" t="str">
        <f t="shared" si="327"/>
        <v>P</v>
      </c>
      <c r="R474" s="1" t="str">
        <f t="shared" si="328"/>
        <v>01</v>
      </c>
      <c r="S474" s="1" t="str">
        <f t="shared" si="329"/>
        <v>03</v>
      </c>
      <c r="T474" s="1" t="str">
        <f t="shared" si="330"/>
        <v>False</v>
      </c>
      <c r="U474" s="1" t="str">
        <f t="shared" si="331"/>
        <v>True</v>
      </c>
      <c r="V474" s="1" t="str">
        <f t="shared" si="354"/>
        <v>U0031306</v>
      </c>
      <c r="W474" s="1">
        <v>1</v>
      </c>
      <c r="Y474" s="1">
        <v>0</v>
      </c>
      <c r="Z474" s="1">
        <v>0</v>
      </c>
      <c r="AB474" s="1" t="str">
        <f t="shared" si="350"/>
        <v>SMU</v>
      </c>
      <c r="AD474" s="1" t="str">
        <f t="shared" si="355"/>
        <v>4520308</v>
      </c>
      <c r="AE474" s="1" t="str">
        <f t="shared" si="356"/>
        <v>QUANZHOU REORDERS FORSUN</v>
      </c>
      <c r="AG474" s="1">
        <v>0</v>
      </c>
      <c r="AH474" s="1">
        <v>0</v>
      </c>
      <c r="AI474" s="1" t="str">
        <f t="shared" si="348"/>
        <v>F06</v>
      </c>
      <c r="AJ474" s="1" t="str">
        <f t="shared" si="357"/>
        <v>WOMAN</v>
      </c>
      <c r="AK474" s="1" t="str">
        <f t="shared" si="337"/>
        <v>PA</v>
      </c>
      <c r="AP474" s="1" t="str">
        <f t="shared" si="338"/>
        <v>False</v>
      </c>
      <c r="AR474" s="1" t="str">
        <f t="shared" si="358"/>
        <v>DECOR</v>
      </c>
      <c r="AY474" s="1" t="str">
        <f t="shared" si="340"/>
        <v>PF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 t="str">
        <f t="shared" si="359"/>
        <v>R GOMMA CANVAS</v>
      </c>
      <c r="BF474" s="1" t="str">
        <f t="shared" si="342"/>
        <v>Bonis SpA</v>
      </c>
      <c r="BO474" s="1">
        <v>0</v>
      </c>
      <c r="BP474" s="1">
        <v>0</v>
      </c>
      <c r="BQ474" s="1">
        <v>0</v>
      </c>
    </row>
    <row r="475" spans="2:69" x14ac:dyDescent="0.25">
      <c r="B475" s="1">
        <v>1754</v>
      </c>
      <c r="C475" s="1" t="str">
        <f t="shared" si="351"/>
        <v>DECOR4237S7/C1</v>
      </c>
      <c r="D475" s="1" t="str">
        <f>"ODA17N00003-237"</f>
        <v>ODA17N00003-237</v>
      </c>
      <c r="E475" s="1" t="str">
        <f t="shared" si="352"/>
        <v>D12 USPA</v>
      </c>
      <c r="F475" s="1" t="str">
        <f t="shared" si="319"/>
        <v>BONIS SPA</v>
      </c>
      <c r="G475" s="1" t="str">
        <f t="shared" si="320"/>
        <v>STOCK TERRA MP</v>
      </c>
      <c r="H475" s="1" t="str">
        <f t="shared" si="353"/>
        <v>GREY</v>
      </c>
      <c r="J475" s="1">
        <v>1</v>
      </c>
      <c r="K475" s="1">
        <f t="shared" si="347"/>
        <v>12</v>
      </c>
      <c r="L475" s="1" t="str">
        <f t="shared" si="323"/>
        <v>01</v>
      </c>
      <c r="M475" s="1" t="str">
        <f t="shared" si="305"/>
        <v>102</v>
      </c>
      <c r="N475" s="1" t="str">
        <f t="shared" si="349"/>
        <v>008</v>
      </c>
      <c r="O475" s="1" t="str">
        <f t="shared" si="325"/>
        <v>00</v>
      </c>
      <c r="P475" s="1" t="str">
        <f t="shared" si="326"/>
        <v>S</v>
      </c>
      <c r="Q475" s="1" t="str">
        <f t="shared" si="327"/>
        <v>P</v>
      </c>
      <c r="R475" s="1" t="str">
        <f t="shared" si="328"/>
        <v>01</v>
      </c>
      <c r="S475" s="1" t="str">
        <f t="shared" si="329"/>
        <v>03</v>
      </c>
      <c r="T475" s="1" t="str">
        <f t="shared" si="330"/>
        <v>False</v>
      </c>
      <c r="U475" s="1" t="str">
        <f t="shared" si="331"/>
        <v>True</v>
      </c>
      <c r="V475" s="1" t="str">
        <f t="shared" si="354"/>
        <v>U0031306</v>
      </c>
      <c r="W475" s="1">
        <v>1</v>
      </c>
      <c r="Y475" s="1">
        <v>0</v>
      </c>
      <c r="Z475" s="1">
        <v>0</v>
      </c>
      <c r="AB475" s="1" t="str">
        <f t="shared" si="350"/>
        <v>SMU</v>
      </c>
      <c r="AD475" s="1" t="str">
        <f t="shared" si="355"/>
        <v>4520308</v>
      </c>
      <c r="AE475" s="1" t="str">
        <f t="shared" si="356"/>
        <v>QUANZHOU REORDERS FORSUN</v>
      </c>
      <c r="AG475" s="1">
        <v>0</v>
      </c>
      <c r="AH475" s="1">
        <v>0</v>
      </c>
      <c r="AI475" s="1" t="str">
        <f t="shared" si="348"/>
        <v>F06</v>
      </c>
      <c r="AJ475" s="1" t="str">
        <f t="shared" si="357"/>
        <v>WOMAN</v>
      </c>
      <c r="AK475" s="1" t="str">
        <f t="shared" si="337"/>
        <v>PA</v>
      </c>
      <c r="AP475" s="1" t="str">
        <f t="shared" si="338"/>
        <v>False</v>
      </c>
      <c r="AR475" s="1" t="str">
        <f t="shared" si="358"/>
        <v>DECOR</v>
      </c>
      <c r="AY475" s="1" t="str">
        <f t="shared" si="340"/>
        <v>PF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 t="str">
        <f t="shared" si="359"/>
        <v>R GOMMA CANVAS</v>
      </c>
      <c r="BF475" s="1" t="str">
        <f t="shared" si="342"/>
        <v>Bonis SpA</v>
      </c>
      <c r="BO475" s="1">
        <v>0</v>
      </c>
      <c r="BP475" s="1">
        <v>0</v>
      </c>
      <c r="BQ475" s="1">
        <v>0</v>
      </c>
    </row>
    <row r="476" spans="2:69" x14ac:dyDescent="0.25">
      <c r="B476" s="1">
        <v>1754</v>
      </c>
      <c r="C476" s="1" t="str">
        <f t="shared" si="351"/>
        <v>DECOR4237S7/C1</v>
      </c>
      <c r="D476" s="1" t="str">
        <f>"ODA17N00003-239"</f>
        <v>ODA17N00003-239</v>
      </c>
      <c r="E476" s="1" t="str">
        <f t="shared" si="352"/>
        <v>D12 USPA</v>
      </c>
      <c r="F476" s="1" t="str">
        <f t="shared" si="319"/>
        <v>BONIS SPA</v>
      </c>
      <c r="G476" s="1" t="str">
        <f t="shared" si="320"/>
        <v>STOCK TERRA MP</v>
      </c>
      <c r="H476" s="1" t="str">
        <f t="shared" si="353"/>
        <v>GREY</v>
      </c>
      <c r="J476" s="1">
        <v>1</v>
      </c>
      <c r="K476" s="1">
        <f t="shared" si="347"/>
        <v>12</v>
      </c>
      <c r="L476" s="1" t="str">
        <f t="shared" si="323"/>
        <v>01</v>
      </c>
      <c r="M476" s="1" t="str">
        <f t="shared" si="305"/>
        <v>102</v>
      </c>
      <c r="N476" s="1" t="str">
        <f t="shared" si="349"/>
        <v>008</v>
      </c>
      <c r="O476" s="1" t="str">
        <f t="shared" si="325"/>
        <v>00</v>
      </c>
      <c r="P476" s="1" t="str">
        <f t="shared" si="326"/>
        <v>S</v>
      </c>
      <c r="Q476" s="1" t="str">
        <f t="shared" si="327"/>
        <v>P</v>
      </c>
      <c r="R476" s="1" t="str">
        <f t="shared" si="328"/>
        <v>01</v>
      </c>
      <c r="S476" s="1" t="str">
        <f t="shared" si="329"/>
        <v>03</v>
      </c>
      <c r="T476" s="1" t="str">
        <f t="shared" si="330"/>
        <v>False</v>
      </c>
      <c r="U476" s="1" t="str">
        <f t="shared" si="331"/>
        <v>True</v>
      </c>
      <c r="V476" s="1" t="str">
        <f t="shared" si="354"/>
        <v>U0031306</v>
      </c>
      <c r="W476" s="1">
        <v>1</v>
      </c>
      <c r="Y476" s="1">
        <v>0</v>
      </c>
      <c r="Z476" s="1">
        <v>0</v>
      </c>
      <c r="AB476" s="1" t="str">
        <f t="shared" si="350"/>
        <v>SMU</v>
      </c>
      <c r="AD476" s="1" t="str">
        <f t="shared" si="355"/>
        <v>4520308</v>
      </c>
      <c r="AE476" s="1" t="str">
        <f t="shared" si="356"/>
        <v>QUANZHOU REORDERS FORSUN</v>
      </c>
      <c r="AG476" s="1">
        <v>0</v>
      </c>
      <c r="AH476" s="1">
        <v>0</v>
      </c>
      <c r="AI476" s="1" t="str">
        <f t="shared" si="348"/>
        <v>F06</v>
      </c>
      <c r="AJ476" s="1" t="str">
        <f t="shared" si="357"/>
        <v>WOMAN</v>
      </c>
      <c r="AK476" s="1" t="str">
        <f t="shared" si="337"/>
        <v>PA</v>
      </c>
      <c r="AP476" s="1" t="str">
        <f t="shared" si="338"/>
        <v>False</v>
      </c>
      <c r="AR476" s="1" t="str">
        <f t="shared" si="358"/>
        <v>DECOR</v>
      </c>
      <c r="AY476" s="1" t="str">
        <f t="shared" si="340"/>
        <v>PF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 t="str">
        <f t="shared" si="359"/>
        <v>R GOMMA CANVAS</v>
      </c>
      <c r="BF476" s="1" t="str">
        <f t="shared" si="342"/>
        <v>Bonis SpA</v>
      </c>
      <c r="BO476" s="1">
        <v>0</v>
      </c>
      <c r="BP476" s="1">
        <v>0</v>
      </c>
      <c r="BQ476" s="1">
        <v>0</v>
      </c>
    </row>
    <row r="477" spans="2:69" x14ac:dyDescent="0.25">
      <c r="B477" s="1">
        <v>1754</v>
      </c>
      <c r="C477" s="1" t="str">
        <f t="shared" si="351"/>
        <v>DECOR4237S7/C1</v>
      </c>
      <c r="D477" s="1" t="str">
        <f>"ODA17N00003-243"</f>
        <v>ODA17N00003-243</v>
      </c>
      <c r="E477" s="1" t="str">
        <f t="shared" si="352"/>
        <v>D12 USPA</v>
      </c>
      <c r="F477" s="1" t="str">
        <f t="shared" si="319"/>
        <v>BONIS SPA</v>
      </c>
      <c r="G477" s="1" t="str">
        <f t="shared" si="320"/>
        <v>STOCK TERRA MP</v>
      </c>
      <c r="H477" s="1" t="str">
        <f t="shared" si="353"/>
        <v>GREY</v>
      </c>
      <c r="J477" s="1">
        <v>1</v>
      </c>
      <c r="K477" s="1">
        <f t="shared" si="347"/>
        <v>12</v>
      </c>
      <c r="L477" s="1" t="str">
        <f t="shared" si="323"/>
        <v>01</v>
      </c>
      <c r="M477" s="1" t="str">
        <f t="shared" si="305"/>
        <v>102</v>
      </c>
      <c r="N477" s="1" t="str">
        <f t="shared" si="349"/>
        <v>008</v>
      </c>
      <c r="O477" s="1" t="str">
        <f t="shared" si="325"/>
        <v>00</v>
      </c>
      <c r="P477" s="1" t="str">
        <f t="shared" si="326"/>
        <v>S</v>
      </c>
      <c r="Q477" s="1" t="str">
        <f t="shared" si="327"/>
        <v>P</v>
      </c>
      <c r="R477" s="1" t="str">
        <f t="shared" si="328"/>
        <v>01</v>
      </c>
      <c r="S477" s="1" t="str">
        <f t="shared" si="329"/>
        <v>03</v>
      </c>
      <c r="T477" s="1" t="str">
        <f t="shared" si="330"/>
        <v>False</v>
      </c>
      <c r="U477" s="1" t="str">
        <f t="shared" si="331"/>
        <v>True</v>
      </c>
      <c r="V477" s="1" t="str">
        <f t="shared" si="354"/>
        <v>U0031306</v>
      </c>
      <c r="W477" s="1">
        <v>1</v>
      </c>
      <c r="Y477" s="1">
        <v>0</v>
      </c>
      <c r="Z477" s="1">
        <v>0</v>
      </c>
      <c r="AB477" s="1" t="str">
        <f t="shared" si="350"/>
        <v>SMU</v>
      </c>
      <c r="AD477" s="1" t="str">
        <f t="shared" si="355"/>
        <v>4520308</v>
      </c>
      <c r="AE477" s="1" t="str">
        <f t="shared" si="356"/>
        <v>QUANZHOU REORDERS FORSUN</v>
      </c>
      <c r="AG477" s="1">
        <v>0</v>
      </c>
      <c r="AH477" s="1">
        <v>0</v>
      </c>
      <c r="AI477" s="1" t="str">
        <f t="shared" si="348"/>
        <v>F06</v>
      </c>
      <c r="AJ477" s="1" t="str">
        <f t="shared" si="357"/>
        <v>WOMAN</v>
      </c>
      <c r="AK477" s="1" t="str">
        <f t="shared" si="337"/>
        <v>PA</v>
      </c>
      <c r="AP477" s="1" t="str">
        <f t="shared" si="338"/>
        <v>False</v>
      </c>
      <c r="AR477" s="1" t="str">
        <f t="shared" si="358"/>
        <v>DECOR</v>
      </c>
      <c r="AY477" s="1" t="str">
        <f t="shared" si="340"/>
        <v>PF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 t="str">
        <f t="shared" si="359"/>
        <v>R GOMMA CANVAS</v>
      </c>
      <c r="BF477" s="1" t="str">
        <f t="shared" si="342"/>
        <v>Bonis SpA</v>
      </c>
      <c r="BO477" s="1">
        <v>0</v>
      </c>
      <c r="BP477" s="1">
        <v>0</v>
      </c>
      <c r="BQ477" s="1">
        <v>0</v>
      </c>
    </row>
    <row r="478" spans="2:69" x14ac:dyDescent="0.25">
      <c r="B478" s="1">
        <v>1754</v>
      </c>
      <c r="C478" s="1" t="str">
        <f t="shared" si="351"/>
        <v>DECOR4237S7/C1</v>
      </c>
      <c r="D478" s="1" t="str">
        <f>"ODA17N00003-247"</f>
        <v>ODA17N00003-247</v>
      </c>
      <c r="E478" s="1" t="str">
        <f t="shared" si="352"/>
        <v>D12 USPA</v>
      </c>
      <c r="F478" s="1" t="str">
        <f t="shared" si="319"/>
        <v>BONIS SPA</v>
      </c>
      <c r="G478" s="1" t="str">
        <f t="shared" si="320"/>
        <v>STOCK TERRA MP</v>
      </c>
      <c r="H478" s="1" t="str">
        <f t="shared" si="353"/>
        <v>GREY</v>
      </c>
      <c r="J478" s="1">
        <v>1</v>
      </c>
      <c r="K478" s="1">
        <f t="shared" si="347"/>
        <v>12</v>
      </c>
      <c r="L478" s="1" t="str">
        <f t="shared" si="323"/>
        <v>01</v>
      </c>
      <c r="M478" s="1" t="str">
        <f t="shared" si="305"/>
        <v>102</v>
      </c>
      <c r="N478" s="1" t="str">
        <f t="shared" si="349"/>
        <v>008</v>
      </c>
      <c r="O478" s="1" t="str">
        <f t="shared" si="325"/>
        <v>00</v>
      </c>
      <c r="P478" s="1" t="str">
        <f t="shared" si="326"/>
        <v>S</v>
      </c>
      <c r="Q478" s="1" t="str">
        <f t="shared" si="327"/>
        <v>P</v>
      </c>
      <c r="R478" s="1" t="str">
        <f t="shared" si="328"/>
        <v>01</v>
      </c>
      <c r="S478" s="1" t="str">
        <f t="shared" si="329"/>
        <v>03</v>
      </c>
      <c r="T478" s="1" t="str">
        <f t="shared" si="330"/>
        <v>False</v>
      </c>
      <c r="U478" s="1" t="str">
        <f t="shared" si="331"/>
        <v>True</v>
      </c>
      <c r="V478" s="1" t="str">
        <f t="shared" si="354"/>
        <v>U0031306</v>
      </c>
      <c r="W478" s="1">
        <v>1</v>
      </c>
      <c r="Y478" s="1">
        <v>0</v>
      </c>
      <c r="Z478" s="1">
        <v>0</v>
      </c>
      <c r="AB478" s="1" t="str">
        <f t="shared" si="350"/>
        <v>SMU</v>
      </c>
      <c r="AD478" s="1" t="str">
        <f t="shared" si="355"/>
        <v>4520308</v>
      </c>
      <c r="AE478" s="1" t="str">
        <f t="shared" si="356"/>
        <v>QUANZHOU REORDERS FORSUN</v>
      </c>
      <c r="AG478" s="1">
        <v>0</v>
      </c>
      <c r="AH478" s="1">
        <v>0</v>
      </c>
      <c r="AI478" s="1" t="str">
        <f t="shared" si="348"/>
        <v>F06</v>
      </c>
      <c r="AJ478" s="1" t="str">
        <f t="shared" si="357"/>
        <v>WOMAN</v>
      </c>
      <c r="AK478" s="1" t="str">
        <f t="shared" si="337"/>
        <v>PA</v>
      </c>
      <c r="AP478" s="1" t="str">
        <f t="shared" si="338"/>
        <v>False</v>
      </c>
      <c r="AR478" s="1" t="str">
        <f t="shared" si="358"/>
        <v>DECOR</v>
      </c>
      <c r="AY478" s="1" t="str">
        <f t="shared" si="340"/>
        <v>PF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 t="str">
        <f t="shared" si="359"/>
        <v>R GOMMA CANVAS</v>
      </c>
      <c r="BF478" s="1" t="str">
        <f t="shared" si="342"/>
        <v>Bonis SpA</v>
      </c>
      <c r="BO478" s="1">
        <v>0</v>
      </c>
      <c r="BP478" s="1">
        <v>0</v>
      </c>
      <c r="BQ478" s="1">
        <v>0</v>
      </c>
    </row>
    <row r="479" spans="2:69" x14ac:dyDescent="0.25">
      <c r="B479" s="1">
        <v>1754</v>
      </c>
      <c r="C479" s="1" t="str">
        <f t="shared" si="351"/>
        <v>DECOR4237S7/C1</v>
      </c>
      <c r="D479" s="1" t="str">
        <f>"ODA17N00003-252"</f>
        <v>ODA17N00003-252</v>
      </c>
      <c r="E479" s="1" t="str">
        <f t="shared" si="352"/>
        <v>D12 USPA</v>
      </c>
      <c r="F479" s="1" t="str">
        <f t="shared" si="319"/>
        <v>BONIS SPA</v>
      </c>
      <c r="G479" s="1" t="str">
        <f t="shared" si="320"/>
        <v>STOCK TERRA MP</v>
      </c>
      <c r="H479" s="1" t="str">
        <f t="shared" si="353"/>
        <v>GREY</v>
      </c>
      <c r="J479" s="1">
        <v>1</v>
      </c>
      <c r="K479" s="1">
        <f t="shared" si="347"/>
        <v>12</v>
      </c>
      <c r="L479" s="1" t="str">
        <f t="shared" si="323"/>
        <v>01</v>
      </c>
      <c r="M479" s="1" t="str">
        <f t="shared" si="305"/>
        <v>102</v>
      </c>
      <c r="N479" s="1" t="str">
        <f t="shared" si="349"/>
        <v>008</v>
      </c>
      <c r="O479" s="1" t="str">
        <f t="shared" si="325"/>
        <v>00</v>
      </c>
      <c r="P479" s="1" t="str">
        <f t="shared" si="326"/>
        <v>S</v>
      </c>
      <c r="Q479" s="1" t="str">
        <f t="shared" si="327"/>
        <v>P</v>
      </c>
      <c r="R479" s="1" t="str">
        <f t="shared" si="328"/>
        <v>01</v>
      </c>
      <c r="S479" s="1" t="str">
        <f t="shared" si="329"/>
        <v>03</v>
      </c>
      <c r="T479" s="1" t="str">
        <f t="shared" si="330"/>
        <v>False</v>
      </c>
      <c r="U479" s="1" t="str">
        <f t="shared" si="331"/>
        <v>True</v>
      </c>
      <c r="V479" s="1" t="str">
        <f t="shared" si="354"/>
        <v>U0031306</v>
      </c>
      <c r="W479" s="1">
        <v>1</v>
      </c>
      <c r="Y479" s="1">
        <v>0</v>
      </c>
      <c r="Z479" s="1">
        <v>0</v>
      </c>
      <c r="AB479" s="1" t="str">
        <f t="shared" si="350"/>
        <v>SMU</v>
      </c>
      <c r="AD479" s="1" t="str">
        <f t="shared" si="355"/>
        <v>4520308</v>
      </c>
      <c r="AE479" s="1" t="str">
        <f t="shared" si="356"/>
        <v>QUANZHOU REORDERS FORSUN</v>
      </c>
      <c r="AG479" s="1">
        <v>0</v>
      </c>
      <c r="AH479" s="1">
        <v>0</v>
      </c>
      <c r="AI479" s="1" t="str">
        <f t="shared" si="348"/>
        <v>F06</v>
      </c>
      <c r="AJ479" s="1" t="str">
        <f t="shared" si="357"/>
        <v>WOMAN</v>
      </c>
      <c r="AK479" s="1" t="str">
        <f t="shared" si="337"/>
        <v>PA</v>
      </c>
      <c r="AP479" s="1" t="str">
        <f t="shared" si="338"/>
        <v>False</v>
      </c>
      <c r="AR479" s="1" t="str">
        <f t="shared" si="358"/>
        <v>DECOR</v>
      </c>
      <c r="AY479" s="1" t="str">
        <f t="shared" si="340"/>
        <v>PF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 t="str">
        <f t="shared" si="359"/>
        <v>R GOMMA CANVAS</v>
      </c>
      <c r="BF479" s="1" t="str">
        <f t="shared" si="342"/>
        <v>Bonis SpA</v>
      </c>
      <c r="BO479" s="1">
        <v>0</v>
      </c>
      <c r="BP479" s="1">
        <v>0</v>
      </c>
      <c r="BQ479" s="1">
        <v>0</v>
      </c>
    </row>
    <row r="480" spans="2:69" x14ac:dyDescent="0.25">
      <c r="B480" s="1">
        <v>1754</v>
      </c>
      <c r="C480" s="1" t="str">
        <f t="shared" si="351"/>
        <v>DECOR4237S7/C1</v>
      </c>
      <c r="D480" s="1" t="str">
        <f>"ODA17N00003-254"</f>
        <v>ODA17N00003-254</v>
      </c>
      <c r="E480" s="1" t="str">
        <f t="shared" si="352"/>
        <v>D12 USPA</v>
      </c>
      <c r="F480" s="1" t="str">
        <f t="shared" si="319"/>
        <v>BONIS SPA</v>
      </c>
      <c r="G480" s="1" t="str">
        <f t="shared" si="320"/>
        <v>STOCK TERRA MP</v>
      </c>
      <c r="H480" s="1" t="str">
        <f t="shared" si="353"/>
        <v>GREY</v>
      </c>
      <c r="J480" s="1">
        <v>1</v>
      </c>
      <c r="K480" s="1">
        <f t="shared" si="347"/>
        <v>12</v>
      </c>
      <c r="L480" s="1" t="str">
        <f t="shared" si="323"/>
        <v>01</v>
      </c>
      <c r="M480" s="1" t="str">
        <f t="shared" si="305"/>
        <v>102</v>
      </c>
      <c r="N480" s="1" t="str">
        <f t="shared" si="349"/>
        <v>008</v>
      </c>
      <c r="O480" s="1" t="str">
        <f t="shared" si="325"/>
        <v>00</v>
      </c>
      <c r="P480" s="1" t="str">
        <f t="shared" si="326"/>
        <v>S</v>
      </c>
      <c r="Q480" s="1" t="str">
        <f t="shared" si="327"/>
        <v>P</v>
      </c>
      <c r="R480" s="1" t="str">
        <f t="shared" si="328"/>
        <v>01</v>
      </c>
      <c r="S480" s="1" t="str">
        <f t="shared" si="329"/>
        <v>03</v>
      </c>
      <c r="T480" s="1" t="str">
        <f t="shared" si="330"/>
        <v>False</v>
      </c>
      <c r="U480" s="1" t="str">
        <f t="shared" si="331"/>
        <v>True</v>
      </c>
      <c r="V480" s="1" t="str">
        <f t="shared" si="354"/>
        <v>U0031306</v>
      </c>
      <c r="W480" s="1">
        <v>1</v>
      </c>
      <c r="Y480" s="1">
        <v>0</v>
      </c>
      <c r="Z480" s="1">
        <v>0</v>
      </c>
      <c r="AB480" s="1" t="str">
        <f t="shared" si="350"/>
        <v>SMU</v>
      </c>
      <c r="AD480" s="1" t="str">
        <f t="shared" si="355"/>
        <v>4520308</v>
      </c>
      <c r="AE480" s="1" t="str">
        <f t="shared" si="356"/>
        <v>QUANZHOU REORDERS FORSUN</v>
      </c>
      <c r="AG480" s="1">
        <v>0</v>
      </c>
      <c r="AH480" s="1">
        <v>0</v>
      </c>
      <c r="AI480" s="1" t="str">
        <f t="shared" si="348"/>
        <v>F06</v>
      </c>
      <c r="AJ480" s="1" t="str">
        <f t="shared" si="357"/>
        <v>WOMAN</v>
      </c>
      <c r="AK480" s="1" t="str">
        <f t="shared" si="337"/>
        <v>PA</v>
      </c>
      <c r="AP480" s="1" t="str">
        <f t="shared" si="338"/>
        <v>False</v>
      </c>
      <c r="AR480" s="1" t="str">
        <f t="shared" si="358"/>
        <v>DECOR</v>
      </c>
      <c r="AY480" s="1" t="str">
        <f t="shared" si="340"/>
        <v>PF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 t="str">
        <f t="shared" si="359"/>
        <v>R GOMMA CANVAS</v>
      </c>
      <c r="BF480" s="1" t="str">
        <f t="shared" si="342"/>
        <v>Bonis SpA</v>
      </c>
      <c r="BO480" s="1">
        <v>0</v>
      </c>
      <c r="BP480" s="1">
        <v>0</v>
      </c>
      <c r="BQ480" s="1">
        <v>0</v>
      </c>
    </row>
    <row r="481" spans="2:69" x14ac:dyDescent="0.25">
      <c r="B481" s="1">
        <v>1754</v>
      </c>
      <c r="C481" s="1" t="str">
        <f t="shared" si="351"/>
        <v>DECOR4237S7/C1</v>
      </c>
      <c r="D481" s="1" t="str">
        <f>"ODA17N00003-255"</f>
        <v>ODA17N00003-255</v>
      </c>
      <c r="E481" s="1" t="str">
        <f t="shared" si="352"/>
        <v>D12 USPA</v>
      </c>
      <c r="F481" s="1" t="str">
        <f t="shared" si="319"/>
        <v>BONIS SPA</v>
      </c>
      <c r="G481" s="1" t="str">
        <f t="shared" si="320"/>
        <v>STOCK TERRA MP</v>
      </c>
      <c r="H481" s="1" t="str">
        <f t="shared" si="353"/>
        <v>GREY</v>
      </c>
      <c r="J481" s="1">
        <v>1</v>
      </c>
      <c r="K481" s="1">
        <f t="shared" si="347"/>
        <v>12</v>
      </c>
      <c r="L481" s="1" t="str">
        <f t="shared" si="323"/>
        <v>01</v>
      </c>
      <c r="M481" s="1" t="str">
        <f t="shared" si="305"/>
        <v>102</v>
      </c>
      <c r="N481" s="1" t="str">
        <f t="shared" si="349"/>
        <v>008</v>
      </c>
      <c r="O481" s="1" t="str">
        <f t="shared" si="325"/>
        <v>00</v>
      </c>
      <c r="P481" s="1" t="str">
        <f t="shared" si="326"/>
        <v>S</v>
      </c>
      <c r="Q481" s="1" t="str">
        <f t="shared" si="327"/>
        <v>P</v>
      </c>
      <c r="R481" s="1" t="str">
        <f t="shared" si="328"/>
        <v>01</v>
      </c>
      <c r="S481" s="1" t="str">
        <f t="shared" si="329"/>
        <v>03</v>
      </c>
      <c r="T481" s="1" t="str">
        <f t="shared" si="330"/>
        <v>False</v>
      </c>
      <c r="U481" s="1" t="str">
        <f t="shared" si="331"/>
        <v>True</v>
      </c>
      <c r="V481" s="1" t="str">
        <f t="shared" si="354"/>
        <v>U0031306</v>
      </c>
      <c r="W481" s="1">
        <v>1</v>
      </c>
      <c r="Y481" s="1">
        <v>0</v>
      </c>
      <c r="Z481" s="1">
        <v>0</v>
      </c>
      <c r="AB481" s="1" t="str">
        <f t="shared" si="350"/>
        <v>SMU</v>
      </c>
      <c r="AD481" s="1" t="str">
        <f t="shared" si="355"/>
        <v>4520308</v>
      </c>
      <c r="AE481" s="1" t="str">
        <f t="shared" si="356"/>
        <v>QUANZHOU REORDERS FORSUN</v>
      </c>
      <c r="AG481" s="1">
        <v>0</v>
      </c>
      <c r="AH481" s="1">
        <v>0</v>
      </c>
      <c r="AI481" s="1" t="str">
        <f t="shared" si="348"/>
        <v>F06</v>
      </c>
      <c r="AJ481" s="1" t="str">
        <f t="shared" si="357"/>
        <v>WOMAN</v>
      </c>
      <c r="AK481" s="1" t="str">
        <f t="shared" si="337"/>
        <v>PA</v>
      </c>
      <c r="AP481" s="1" t="str">
        <f t="shared" si="338"/>
        <v>False</v>
      </c>
      <c r="AR481" s="1" t="str">
        <f t="shared" si="358"/>
        <v>DECOR</v>
      </c>
      <c r="AY481" s="1" t="str">
        <f t="shared" si="340"/>
        <v>PF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 t="str">
        <f t="shared" si="359"/>
        <v>R GOMMA CANVAS</v>
      </c>
      <c r="BF481" s="1" t="str">
        <f t="shared" si="342"/>
        <v>Bonis SpA</v>
      </c>
      <c r="BO481" s="1">
        <v>0</v>
      </c>
      <c r="BP481" s="1">
        <v>0</v>
      </c>
      <c r="BQ481" s="1">
        <v>0</v>
      </c>
    </row>
    <row r="482" spans="2:69" x14ac:dyDescent="0.25">
      <c r="B482" s="1">
        <v>1754</v>
      </c>
      <c r="C482" s="1" t="str">
        <f t="shared" si="351"/>
        <v>DECOR4237S7/C1</v>
      </c>
      <c r="D482" s="1" t="str">
        <f>"ODA17N00003-259"</f>
        <v>ODA17N00003-259</v>
      </c>
      <c r="E482" s="1" t="str">
        <f t="shared" si="352"/>
        <v>D12 USPA</v>
      </c>
      <c r="F482" s="1" t="str">
        <f t="shared" si="319"/>
        <v>BONIS SPA</v>
      </c>
      <c r="G482" s="1" t="str">
        <f t="shared" si="320"/>
        <v>STOCK TERRA MP</v>
      </c>
      <c r="H482" s="1" t="str">
        <f t="shared" si="353"/>
        <v>GREY</v>
      </c>
      <c r="J482" s="1">
        <v>1</v>
      </c>
      <c r="K482" s="1">
        <f t="shared" si="347"/>
        <v>12</v>
      </c>
      <c r="L482" s="1" t="str">
        <f t="shared" si="323"/>
        <v>01</v>
      </c>
      <c r="M482" s="1" t="str">
        <f t="shared" si="305"/>
        <v>102</v>
      </c>
      <c r="N482" s="1" t="str">
        <f t="shared" si="349"/>
        <v>008</v>
      </c>
      <c r="O482" s="1" t="str">
        <f t="shared" si="325"/>
        <v>00</v>
      </c>
      <c r="P482" s="1" t="str">
        <f t="shared" si="326"/>
        <v>S</v>
      </c>
      <c r="Q482" s="1" t="str">
        <f t="shared" si="327"/>
        <v>P</v>
      </c>
      <c r="R482" s="1" t="str">
        <f t="shared" si="328"/>
        <v>01</v>
      </c>
      <c r="S482" s="1" t="str">
        <f t="shared" si="329"/>
        <v>03</v>
      </c>
      <c r="T482" s="1" t="str">
        <f t="shared" si="330"/>
        <v>False</v>
      </c>
      <c r="U482" s="1" t="str">
        <f t="shared" si="331"/>
        <v>True</v>
      </c>
      <c r="V482" s="1" t="str">
        <f t="shared" si="354"/>
        <v>U0031306</v>
      </c>
      <c r="W482" s="1">
        <v>1</v>
      </c>
      <c r="Y482" s="1">
        <v>0</v>
      </c>
      <c r="Z482" s="1">
        <v>0</v>
      </c>
      <c r="AB482" s="1" t="str">
        <f t="shared" si="350"/>
        <v>SMU</v>
      </c>
      <c r="AD482" s="1" t="str">
        <f t="shared" si="355"/>
        <v>4520308</v>
      </c>
      <c r="AE482" s="1" t="str">
        <f t="shared" si="356"/>
        <v>QUANZHOU REORDERS FORSUN</v>
      </c>
      <c r="AG482" s="1">
        <v>0</v>
      </c>
      <c r="AH482" s="1">
        <v>0</v>
      </c>
      <c r="AI482" s="1" t="str">
        <f t="shared" si="348"/>
        <v>F06</v>
      </c>
      <c r="AJ482" s="1" t="str">
        <f t="shared" si="357"/>
        <v>WOMAN</v>
      </c>
      <c r="AK482" s="1" t="str">
        <f t="shared" si="337"/>
        <v>PA</v>
      </c>
      <c r="AP482" s="1" t="str">
        <f t="shared" si="338"/>
        <v>False</v>
      </c>
      <c r="AR482" s="1" t="str">
        <f t="shared" si="358"/>
        <v>DECOR</v>
      </c>
      <c r="AY482" s="1" t="str">
        <f t="shared" si="340"/>
        <v>PF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 t="str">
        <f t="shared" si="359"/>
        <v>R GOMMA CANVAS</v>
      </c>
      <c r="BF482" s="1" t="str">
        <f t="shared" si="342"/>
        <v>Bonis SpA</v>
      </c>
      <c r="BO482" s="1">
        <v>0</v>
      </c>
      <c r="BP482" s="1">
        <v>0</v>
      </c>
      <c r="BQ482" s="1">
        <v>0</v>
      </c>
    </row>
    <row r="483" spans="2:69" x14ac:dyDescent="0.25">
      <c r="B483" s="1">
        <v>1754</v>
      </c>
      <c r="C483" s="1" t="str">
        <f t="shared" si="351"/>
        <v>DECOR4237S7/C1</v>
      </c>
      <c r="D483" s="1" t="str">
        <f>"ODA17N00003-260"</f>
        <v>ODA17N00003-260</v>
      </c>
      <c r="E483" s="1" t="str">
        <f t="shared" si="352"/>
        <v>D12 USPA</v>
      </c>
      <c r="F483" s="1" t="str">
        <f t="shared" si="319"/>
        <v>BONIS SPA</v>
      </c>
      <c r="G483" s="1" t="str">
        <f t="shared" si="320"/>
        <v>STOCK TERRA MP</v>
      </c>
      <c r="H483" s="1" t="str">
        <f t="shared" si="353"/>
        <v>GREY</v>
      </c>
      <c r="J483" s="1">
        <v>1</v>
      </c>
      <c r="K483" s="1">
        <f t="shared" si="347"/>
        <v>12</v>
      </c>
      <c r="L483" s="1" t="str">
        <f t="shared" si="323"/>
        <v>01</v>
      </c>
      <c r="M483" s="1" t="str">
        <f t="shared" si="305"/>
        <v>102</v>
      </c>
      <c r="N483" s="1" t="str">
        <f t="shared" si="349"/>
        <v>008</v>
      </c>
      <c r="O483" s="1" t="str">
        <f t="shared" si="325"/>
        <v>00</v>
      </c>
      <c r="P483" s="1" t="str">
        <f t="shared" si="326"/>
        <v>S</v>
      </c>
      <c r="Q483" s="1" t="str">
        <f t="shared" si="327"/>
        <v>P</v>
      </c>
      <c r="R483" s="1" t="str">
        <f t="shared" si="328"/>
        <v>01</v>
      </c>
      <c r="S483" s="1" t="str">
        <f t="shared" si="329"/>
        <v>03</v>
      </c>
      <c r="T483" s="1" t="str">
        <f t="shared" si="330"/>
        <v>False</v>
      </c>
      <c r="U483" s="1" t="str">
        <f t="shared" si="331"/>
        <v>True</v>
      </c>
      <c r="V483" s="1" t="str">
        <f t="shared" si="354"/>
        <v>U0031306</v>
      </c>
      <c r="W483" s="1">
        <v>1</v>
      </c>
      <c r="Y483" s="1">
        <v>0</v>
      </c>
      <c r="Z483" s="1">
        <v>0</v>
      </c>
      <c r="AB483" s="1" t="str">
        <f t="shared" si="350"/>
        <v>SMU</v>
      </c>
      <c r="AD483" s="1" t="str">
        <f t="shared" si="355"/>
        <v>4520308</v>
      </c>
      <c r="AE483" s="1" t="str">
        <f t="shared" si="356"/>
        <v>QUANZHOU REORDERS FORSUN</v>
      </c>
      <c r="AG483" s="1">
        <v>0</v>
      </c>
      <c r="AH483" s="1">
        <v>0</v>
      </c>
      <c r="AI483" s="1" t="str">
        <f t="shared" si="348"/>
        <v>F06</v>
      </c>
      <c r="AJ483" s="1" t="str">
        <f t="shared" si="357"/>
        <v>WOMAN</v>
      </c>
      <c r="AK483" s="1" t="str">
        <f t="shared" si="337"/>
        <v>PA</v>
      </c>
      <c r="AP483" s="1" t="str">
        <f t="shared" si="338"/>
        <v>False</v>
      </c>
      <c r="AR483" s="1" t="str">
        <f t="shared" si="358"/>
        <v>DECOR</v>
      </c>
      <c r="AY483" s="1" t="str">
        <f t="shared" si="340"/>
        <v>PF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 t="str">
        <f t="shared" si="359"/>
        <v>R GOMMA CANVAS</v>
      </c>
      <c r="BF483" s="1" t="str">
        <f t="shared" si="342"/>
        <v>Bonis SpA</v>
      </c>
      <c r="BO483" s="1">
        <v>0</v>
      </c>
      <c r="BP483" s="1">
        <v>0</v>
      </c>
      <c r="BQ483" s="1">
        <v>0</v>
      </c>
    </row>
    <row r="484" spans="2:69" x14ac:dyDescent="0.25">
      <c r="B484" s="1">
        <v>1754</v>
      </c>
      <c r="C484" s="1" t="str">
        <f t="shared" si="351"/>
        <v>DECOR4237S7/C1</v>
      </c>
      <c r="D484" s="1" t="str">
        <f>"ODA17N00003-272"</f>
        <v>ODA17N00003-272</v>
      </c>
      <c r="E484" s="1" t="str">
        <f t="shared" si="352"/>
        <v>D12 USPA</v>
      </c>
      <c r="F484" s="1" t="str">
        <f t="shared" si="319"/>
        <v>BONIS SPA</v>
      </c>
      <c r="G484" s="1" t="str">
        <f t="shared" si="320"/>
        <v>STOCK TERRA MP</v>
      </c>
      <c r="H484" s="1" t="str">
        <f t="shared" si="353"/>
        <v>GREY</v>
      </c>
      <c r="J484" s="1">
        <v>1</v>
      </c>
      <c r="K484" s="1">
        <f t="shared" si="347"/>
        <v>12</v>
      </c>
      <c r="L484" s="1" t="str">
        <f t="shared" si="323"/>
        <v>01</v>
      </c>
      <c r="M484" s="1" t="str">
        <f t="shared" si="305"/>
        <v>102</v>
      </c>
      <c r="N484" s="1" t="str">
        <f t="shared" si="349"/>
        <v>008</v>
      </c>
      <c r="O484" s="1" t="str">
        <f t="shared" si="325"/>
        <v>00</v>
      </c>
      <c r="P484" s="1" t="str">
        <f t="shared" si="326"/>
        <v>S</v>
      </c>
      <c r="Q484" s="1" t="str">
        <f t="shared" si="327"/>
        <v>P</v>
      </c>
      <c r="R484" s="1" t="str">
        <f t="shared" si="328"/>
        <v>01</v>
      </c>
      <c r="S484" s="1" t="str">
        <f t="shared" si="329"/>
        <v>03</v>
      </c>
      <c r="T484" s="1" t="str">
        <f t="shared" si="330"/>
        <v>False</v>
      </c>
      <c r="U484" s="1" t="str">
        <f t="shared" si="331"/>
        <v>True</v>
      </c>
      <c r="V484" s="1" t="str">
        <f t="shared" si="354"/>
        <v>U0031306</v>
      </c>
      <c r="W484" s="1">
        <v>1</v>
      </c>
      <c r="Y484" s="1">
        <v>0</v>
      </c>
      <c r="Z484" s="1">
        <v>0</v>
      </c>
      <c r="AB484" s="1" t="str">
        <f t="shared" si="350"/>
        <v>SMU</v>
      </c>
      <c r="AD484" s="1" t="str">
        <f t="shared" si="355"/>
        <v>4520308</v>
      </c>
      <c r="AE484" s="1" t="str">
        <f t="shared" si="356"/>
        <v>QUANZHOU REORDERS FORSUN</v>
      </c>
      <c r="AG484" s="1">
        <v>0</v>
      </c>
      <c r="AH484" s="1">
        <v>0</v>
      </c>
      <c r="AI484" s="1" t="str">
        <f t="shared" si="348"/>
        <v>F06</v>
      </c>
      <c r="AJ484" s="1" t="str">
        <f t="shared" si="357"/>
        <v>WOMAN</v>
      </c>
      <c r="AK484" s="1" t="str">
        <f t="shared" si="337"/>
        <v>PA</v>
      </c>
      <c r="AP484" s="1" t="str">
        <f t="shared" si="338"/>
        <v>False</v>
      </c>
      <c r="AR484" s="1" t="str">
        <f t="shared" si="358"/>
        <v>DECOR</v>
      </c>
      <c r="AY484" s="1" t="str">
        <f t="shared" si="340"/>
        <v>PF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 t="str">
        <f t="shared" si="359"/>
        <v>R GOMMA CANVAS</v>
      </c>
      <c r="BF484" s="1" t="str">
        <f t="shared" si="342"/>
        <v>Bonis SpA</v>
      </c>
      <c r="BO484" s="1">
        <v>0</v>
      </c>
      <c r="BP484" s="1">
        <v>0</v>
      </c>
      <c r="BQ484" s="1">
        <v>0</v>
      </c>
    </row>
    <row r="485" spans="2:69" x14ac:dyDescent="0.25">
      <c r="B485" s="1">
        <v>1754</v>
      </c>
      <c r="C485" s="1" t="str">
        <f t="shared" si="351"/>
        <v>DECOR4237S7/C1</v>
      </c>
      <c r="D485" s="1" t="str">
        <f>"ODA17N00003-276"</f>
        <v>ODA17N00003-276</v>
      </c>
      <c r="E485" s="1" t="str">
        <f t="shared" si="352"/>
        <v>D12 USPA</v>
      </c>
      <c r="F485" s="1" t="str">
        <f t="shared" si="319"/>
        <v>BONIS SPA</v>
      </c>
      <c r="G485" s="1" t="str">
        <f t="shared" si="320"/>
        <v>STOCK TERRA MP</v>
      </c>
      <c r="H485" s="1" t="str">
        <f t="shared" si="353"/>
        <v>GREY</v>
      </c>
      <c r="J485" s="1">
        <v>1</v>
      </c>
      <c r="K485" s="1">
        <f t="shared" si="347"/>
        <v>12</v>
      </c>
      <c r="L485" s="1" t="str">
        <f t="shared" si="323"/>
        <v>01</v>
      </c>
      <c r="M485" s="1" t="str">
        <f t="shared" si="305"/>
        <v>102</v>
      </c>
      <c r="N485" s="1" t="str">
        <f t="shared" si="349"/>
        <v>008</v>
      </c>
      <c r="O485" s="1" t="str">
        <f t="shared" si="325"/>
        <v>00</v>
      </c>
      <c r="P485" s="1" t="str">
        <f t="shared" si="326"/>
        <v>S</v>
      </c>
      <c r="Q485" s="1" t="str">
        <f t="shared" si="327"/>
        <v>P</v>
      </c>
      <c r="R485" s="1" t="str">
        <f t="shared" si="328"/>
        <v>01</v>
      </c>
      <c r="S485" s="1" t="str">
        <f t="shared" si="329"/>
        <v>03</v>
      </c>
      <c r="T485" s="1" t="str">
        <f t="shared" si="330"/>
        <v>False</v>
      </c>
      <c r="U485" s="1" t="str">
        <f t="shared" si="331"/>
        <v>True</v>
      </c>
      <c r="V485" s="1" t="str">
        <f t="shared" si="354"/>
        <v>U0031306</v>
      </c>
      <c r="W485" s="1">
        <v>1</v>
      </c>
      <c r="Y485" s="1">
        <v>0</v>
      </c>
      <c r="Z485" s="1">
        <v>0</v>
      </c>
      <c r="AB485" s="1" t="str">
        <f t="shared" si="350"/>
        <v>SMU</v>
      </c>
      <c r="AD485" s="1" t="str">
        <f t="shared" si="355"/>
        <v>4520308</v>
      </c>
      <c r="AE485" s="1" t="str">
        <f t="shared" si="356"/>
        <v>QUANZHOU REORDERS FORSUN</v>
      </c>
      <c r="AG485" s="1">
        <v>0</v>
      </c>
      <c r="AH485" s="1">
        <v>0</v>
      </c>
      <c r="AI485" s="1" t="str">
        <f t="shared" si="348"/>
        <v>F06</v>
      </c>
      <c r="AJ485" s="1" t="str">
        <f t="shared" si="357"/>
        <v>WOMAN</v>
      </c>
      <c r="AK485" s="1" t="str">
        <f t="shared" si="337"/>
        <v>PA</v>
      </c>
      <c r="AP485" s="1" t="str">
        <f t="shared" si="338"/>
        <v>False</v>
      </c>
      <c r="AR485" s="1" t="str">
        <f t="shared" si="358"/>
        <v>DECOR</v>
      </c>
      <c r="AY485" s="1" t="str">
        <f t="shared" si="340"/>
        <v>PF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 t="str">
        <f t="shared" si="359"/>
        <v>R GOMMA CANVAS</v>
      </c>
      <c r="BF485" s="1" t="str">
        <f t="shared" si="342"/>
        <v>Bonis SpA</v>
      </c>
      <c r="BO485" s="1">
        <v>0</v>
      </c>
      <c r="BP485" s="1">
        <v>0</v>
      </c>
      <c r="BQ485" s="1">
        <v>0</v>
      </c>
    </row>
    <row r="486" spans="2:69" x14ac:dyDescent="0.25">
      <c r="B486" s="1">
        <v>1754</v>
      </c>
      <c r="C486" s="1" t="str">
        <f t="shared" si="351"/>
        <v>DECOR4237S7/C1</v>
      </c>
      <c r="D486" s="1" t="str">
        <f>"ODA17N00003-278"</f>
        <v>ODA17N00003-278</v>
      </c>
      <c r="E486" s="1" t="str">
        <f t="shared" si="352"/>
        <v>D12 USPA</v>
      </c>
      <c r="F486" s="1" t="str">
        <f t="shared" si="319"/>
        <v>BONIS SPA</v>
      </c>
      <c r="G486" s="1" t="str">
        <f t="shared" si="320"/>
        <v>STOCK TERRA MP</v>
      </c>
      <c r="H486" s="1" t="str">
        <f t="shared" si="353"/>
        <v>GREY</v>
      </c>
      <c r="J486" s="1">
        <v>1</v>
      </c>
      <c r="K486" s="1">
        <f t="shared" si="347"/>
        <v>12</v>
      </c>
      <c r="L486" s="1" t="str">
        <f t="shared" si="323"/>
        <v>01</v>
      </c>
      <c r="M486" s="1" t="str">
        <f t="shared" si="305"/>
        <v>102</v>
      </c>
      <c r="N486" s="1" t="str">
        <f t="shared" si="349"/>
        <v>008</v>
      </c>
      <c r="O486" s="1" t="str">
        <f t="shared" si="325"/>
        <v>00</v>
      </c>
      <c r="P486" s="1" t="str">
        <f t="shared" si="326"/>
        <v>S</v>
      </c>
      <c r="Q486" s="1" t="str">
        <f t="shared" si="327"/>
        <v>P</v>
      </c>
      <c r="R486" s="1" t="str">
        <f t="shared" si="328"/>
        <v>01</v>
      </c>
      <c r="S486" s="1" t="str">
        <f t="shared" si="329"/>
        <v>03</v>
      </c>
      <c r="T486" s="1" t="str">
        <f t="shared" si="330"/>
        <v>False</v>
      </c>
      <c r="U486" s="1" t="str">
        <f t="shared" si="331"/>
        <v>True</v>
      </c>
      <c r="V486" s="1" t="str">
        <f t="shared" si="354"/>
        <v>U0031306</v>
      </c>
      <c r="W486" s="1">
        <v>1</v>
      </c>
      <c r="Y486" s="1">
        <v>0</v>
      </c>
      <c r="Z486" s="1">
        <v>0</v>
      </c>
      <c r="AB486" s="1" t="str">
        <f t="shared" si="350"/>
        <v>SMU</v>
      </c>
      <c r="AD486" s="1" t="str">
        <f t="shared" si="355"/>
        <v>4520308</v>
      </c>
      <c r="AE486" s="1" t="str">
        <f t="shared" si="356"/>
        <v>QUANZHOU REORDERS FORSUN</v>
      </c>
      <c r="AG486" s="1">
        <v>0</v>
      </c>
      <c r="AH486" s="1">
        <v>0</v>
      </c>
      <c r="AI486" s="1" t="str">
        <f t="shared" si="348"/>
        <v>F06</v>
      </c>
      <c r="AJ486" s="1" t="str">
        <f t="shared" si="357"/>
        <v>WOMAN</v>
      </c>
      <c r="AK486" s="1" t="str">
        <f t="shared" si="337"/>
        <v>PA</v>
      </c>
      <c r="AP486" s="1" t="str">
        <f t="shared" si="338"/>
        <v>False</v>
      </c>
      <c r="AR486" s="1" t="str">
        <f t="shared" si="358"/>
        <v>DECOR</v>
      </c>
      <c r="AY486" s="1" t="str">
        <f t="shared" si="340"/>
        <v>PF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 t="str">
        <f t="shared" si="359"/>
        <v>R GOMMA CANVAS</v>
      </c>
      <c r="BF486" s="1" t="str">
        <f t="shared" si="342"/>
        <v>Bonis SpA</v>
      </c>
      <c r="BO486" s="1">
        <v>0</v>
      </c>
      <c r="BP486" s="1">
        <v>0</v>
      </c>
      <c r="BQ486" s="1">
        <v>0</v>
      </c>
    </row>
    <row r="487" spans="2:69" x14ac:dyDescent="0.25">
      <c r="B487" s="1">
        <v>1754</v>
      </c>
      <c r="C487" s="1" t="str">
        <f t="shared" si="351"/>
        <v>DECOR4237S7/C1</v>
      </c>
      <c r="D487" s="1" t="str">
        <f>"ODA17N00003-290"</f>
        <v>ODA17N00003-290</v>
      </c>
      <c r="E487" s="1" t="str">
        <f t="shared" si="352"/>
        <v>D12 USPA</v>
      </c>
      <c r="F487" s="1" t="str">
        <f t="shared" si="319"/>
        <v>BONIS SPA</v>
      </c>
      <c r="G487" s="1" t="str">
        <f t="shared" si="320"/>
        <v>STOCK TERRA MP</v>
      </c>
      <c r="H487" s="1" t="str">
        <f t="shared" si="353"/>
        <v>GREY</v>
      </c>
      <c r="J487" s="1">
        <v>1</v>
      </c>
      <c r="K487" s="1">
        <f t="shared" si="347"/>
        <v>12</v>
      </c>
      <c r="L487" s="1" t="str">
        <f t="shared" si="323"/>
        <v>01</v>
      </c>
      <c r="M487" s="1" t="str">
        <f t="shared" si="305"/>
        <v>102</v>
      </c>
      <c r="N487" s="1" t="str">
        <f t="shared" si="349"/>
        <v>008</v>
      </c>
      <c r="O487" s="1" t="str">
        <f t="shared" si="325"/>
        <v>00</v>
      </c>
      <c r="P487" s="1" t="str">
        <f t="shared" si="326"/>
        <v>S</v>
      </c>
      <c r="Q487" s="1" t="str">
        <f t="shared" si="327"/>
        <v>P</v>
      </c>
      <c r="R487" s="1" t="str">
        <f t="shared" si="328"/>
        <v>01</v>
      </c>
      <c r="S487" s="1" t="str">
        <f t="shared" si="329"/>
        <v>03</v>
      </c>
      <c r="T487" s="1" t="str">
        <f t="shared" si="330"/>
        <v>False</v>
      </c>
      <c r="U487" s="1" t="str">
        <f t="shared" si="331"/>
        <v>True</v>
      </c>
      <c r="V487" s="1" t="str">
        <f t="shared" si="354"/>
        <v>U0031306</v>
      </c>
      <c r="W487" s="1">
        <v>1</v>
      </c>
      <c r="Y487" s="1">
        <v>0</v>
      </c>
      <c r="Z487" s="1">
        <v>0</v>
      </c>
      <c r="AB487" s="1" t="str">
        <f t="shared" si="350"/>
        <v>SMU</v>
      </c>
      <c r="AD487" s="1" t="str">
        <f t="shared" si="355"/>
        <v>4520308</v>
      </c>
      <c r="AE487" s="1" t="str">
        <f t="shared" si="356"/>
        <v>QUANZHOU REORDERS FORSUN</v>
      </c>
      <c r="AG487" s="1">
        <v>0</v>
      </c>
      <c r="AH487" s="1">
        <v>0</v>
      </c>
      <c r="AI487" s="1" t="str">
        <f t="shared" si="348"/>
        <v>F06</v>
      </c>
      <c r="AJ487" s="1" t="str">
        <f t="shared" si="357"/>
        <v>WOMAN</v>
      </c>
      <c r="AK487" s="1" t="str">
        <f t="shared" si="337"/>
        <v>PA</v>
      </c>
      <c r="AP487" s="1" t="str">
        <f t="shared" si="338"/>
        <v>False</v>
      </c>
      <c r="AR487" s="1" t="str">
        <f t="shared" si="358"/>
        <v>DECOR</v>
      </c>
      <c r="AY487" s="1" t="str">
        <f t="shared" si="340"/>
        <v>PF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 t="str">
        <f t="shared" si="359"/>
        <v>R GOMMA CANVAS</v>
      </c>
      <c r="BF487" s="1" t="str">
        <f t="shared" si="342"/>
        <v>Bonis SpA</v>
      </c>
      <c r="BO487" s="1">
        <v>0</v>
      </c>
      <c r="BP487" s="1">
        <v>0</v>
      </c>
      <c r="BQ487" s="1">
        <v>0</v>
      </c>
    </row>
    <row r="488" spans="2:69" x14ac:dyDescent="0.25">
      <c r="B488" s="1">
        <v>1754</v>
      </c>
      <c r="C488" s="1" t="str">
        <f t="shared" si="351"/>
        <v>DECOR4237S7/C1</v>
      </c>
      <c r="D488" s="1" t="str">
        <f>"ODA17N00003-291"</f>
        <v>ODA17N00003-291</v>
      </c>
      <c r="E488" s="1" t="str">
        <f t="shared" si="352"/>
        <v>D12 USPA</v>
      </c>
      <c r="F488" s="1" t="str">
        <f t="shared" si="319"/>
        <v>BONIS SPA</v>
      </c>
      <c r="G488" s="1" t="str">
        <f t="shared" si="320"/>
        <v>STOCK TERRA MP</v>
      </c>
      <c r="H488" s="1" t="str">
        <f t="shared" si="353"/>
        <v>GREY</v>
      </c>
      <c r="J488" s="1">
        <v>1</v>
      </c>
      <c r="K488" s="1">
        <f t="shared" si="347"/>
        <v>12</v>
      </c>
      <c r="L488" s="1" t="str">
        <f t="shared" si="323"/>
        <v>01</v>
      </c>
      <c r="M488" s="1" t="str">
        <f t="shared" si="305"/>
        <v>102</v>
      </c>
      <c r="N488" s="1" t="str">
        <f t="shared" si="349"/>
        <v>008</v>
      </c>
      <c r="O488" s="1" t="str">
        <f t="shared" si="325"/>
        <v>00</v>
      </c>
      <c r="P488" s="1" t="str">
        <f t="shared" si="326"/>
        <v>S</v>
      </c>
      <c r="Q488" s="1" t="str">
        <f t="shared" si="327"/>
        <v>P</v>
      </c>
      <c r="R488" s="1" t="str">
        <f t="shared" si="328"/>
        <v>01</v>
      </c>
      <c r="S488" s="1" t="str">
        <f t="shared" si="329"/>
        <v>03</v>
      </c>
      <c r="T488" s="1" t="str">
        <f t="shared" si="330"/>
        <v>False</v>
      </c>
      <c r="U488" s="1" t="str">
        <f t="shared" si="331"/>
        <v>True</v>
      </c>
      <c r="V488" s="1" t="str">
        <f t="shared" si="354"/>
        <v>U0031306</v>
      </c>
      <c r="W488" s="1">
        <v>1</v>
      </c>
      <c r="Y488" s="1">
        <v>0</v>
      </c>
      <c r="Z488" s="1">
        <v>0</v>
      </c>
      <c r="AB488" s="1" t="str">
        <f t="shared" si="350"/>
        <v>SMU</v>
      </c>
      <c r="AD488" s="1" t="str">
        <f t="shared" si="355"/>
        <v>4520308</v>
      </c>
      <c r="AE488" s="1" t="str">
        <f t="shared" si="356"/>
        <v>QUANZHOU REORDERS FORSUN</v>
      </c>
      <c r="AG488" s="1">
        <v>0</v>
      </c>
      <c r="AH488" s="1">
        <v>0</v>
      </c>
      <c r="AI488" s="1" t="str">
        <f t="shared" si="348"/>
        <v>F06</v>
      </c>
      <c r="AJ488" s="1" t="str">
        <f t="shared" si="357"/>
        <v>WOMAN</v>
      </c>
      <c r="AK488" s="1" t="str">
        <f t="shared" si="337"/>
        <v>PA</v>
      </c>
      <c r="AP488" s="1" t="str">
        <f t="shared" si="338"/>
        <v>False</v>
      </c>
      <c r="AR488" s="1" t="str">
        <f t="shared" si="358"/>
        <v>DECOR</v>
      </c>
      <c r="AY488" s="1" t="str">
        <f t="shared" si="340"/>
        <v>PF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 t="str">
        <f t="shared" si="359"/>
        <v>R GOMMA CANVAS</v>
      </c>
      <c r="BF488" s="1" t="str">
        <f t="shared" si="342"/>
        <v>Bonis SpA</v>
      </c>
      <c r="BO488" s="1">
        <v>0</v>
      </c>
      <c r="BP488" s="1">
        <v>0</v>
      </c>
      <c r="BQ488" s="1">
        <v>0</v>
      </c>
    </row>
    <row r="489" spans="2:69" x14ac:dyDescent="0.25">
      <c r="B489" s="1">
        <v>1754</v>
      </c>
      <c r="C489" s="1" t="str">
        <f t="shared" si="351"/>
        <v>DECOR4237S7/C1</v>
      </c>
      <c r="D489" s="1" t="str">
        <f>"ODA17N00003-295"</f>
        <v>ODA17N00003-295</v>
      </c>
      <c r="E489" s="1" t="str">
        <f t="shared" si="352"/>
        <v>D12 USPA</v>
      </c>
      <c r="F489" s="1" t="str">
        <f t="shared" si="319"/>
        <v>BONIS SPA</v>
      </c>
      <c r="G489" s="1" t="str">
        <f t="shared" si="320"/>
        <v>STOCK TERRA MP</v>
      </c>
      <c r="H489" s="1" t="str">
        <f t="shared" si="353"/>
        <v>GREY</v>
      </c>
      <c r="J489" s="1">
        <v>1</v>
      </c>
      <c r="K489" s="1">
        <f t="shared" si="347"/>
        <v>12</v>
      </c>
      <c r="L489" s="1" t="str">
        <f t="shared" si="323"/>
        <v>01</v>
      </c>
      <c r="M489" s="1" t="str">
        <f t="shared" si="305"/>
        <v>102</v>
      </c>
      <c r="N489" s="1" t="str">
        <f t="shared" si="349"/>
        <v>008</v>
      </c>
      <c r="O489" s="1" t="str">
        <f t="shared" si="325"/>
        <v>00</v>
      </c>
      <c r="P489" s="1" t="str">
        <f t="shared" si="326"/>
        <v>S</v>
      </c>
      <c r="Q489" s="1" t="str">
        <f t="shared" si="327"/>
        <v>P</v>
      </c>
      <c r="R489" s="1" t="str">
        <f t="shared" si="328"/>
        <v>01</v>
      </c>
      <c r="S489" s="1" t="str">
        <f t="shared" si="329"/>
        <v>03</v>
      </c>
      <c r="T489" s="1" t="str">
        <f t="shared" si="330"/>
        <v>False</v>
      </c>
      <c r="U489" s="1" t="str">
        <f t="shared" si="331"/>
        <v>True</v>
      </c>
      <c r="V489" s="1" t="str">
        <f t="shared" si="354"/>
        <v>U0031306</v>
      </c>
      <c r="W489" s="1">
        <v>1</v>
      </c>
      <c r="Y489" s="1">
        <v>0</v>
      </c>
      <c r="Z489" s="1">
        <v>0</v>
      </c>
      <c r="AB489" s="1" t="str">
        <f t="shared" si="350"/>
        <v>SMU</v>
      </c>
      <c r="AD489" s="1" t="str">
        <f t="shared" si="355"/>
        <v>4520308</v>
      </c>
      <c r="AE489" s="1" t="str">
        <f t="shared" si="356"/>
        <v>QUANZHOU REORDERS FORSUN</v>
      </c>
      <c r="AG489" s="1">
        <v>0</v>
      </c>
      <c r="AH489" s="1">
        <v>0</v>
      </c>
      <c r="AI489" s="1" t="str">
        <f t="shared" si="348"/>
        <v>F06</v>
      </c>
      <c r="AJ489" s="1" t="str">
        <f t="shared" si="357"/>
        <v>WOMAN</v>
      </c>
      <c r="AK489" s="1" t="str">
        <f t="shared" si="337"/>
        <v>PA</v>
      </c>
      <c r="AP489" s="1" t="str">
        <f t="shared" si="338"/>
        <v>False</v>
      </c>
      <c r="AR489" s="1" t="str">
        <f t="shared" si="358"/>
        <v>DECOR</v>
      </c>
      <c r="AY489" s="1" t="str">
        <f t="shared" si="340"/>
        <v>PF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 t="str">
        <f t="shared" si="359"/>
        <v>R GOMMA CANVAS</v>
      </c>
      <c r="BF489" s="1" t="str">
        <f t="shared" si="342"/>
        <v>Bonis SpA</v>
      </c>
      <c r="BO489" s="1">
        <v>0</v>
      </c>
      <c r="BP489" s="1">
        <v>0</v>
      </c>
      <c r="BQ489" s="1">
        <v>0</v>
      </c>
    </row>
    <row r="490" spans="2:69" x14ac:dyDescent="0.25">
      <c r="B490" s="1">
        <v>1754</v>
      </c>
      <c r="C490" s="1" t="str">
        <f t="shared" si="351"/>
        <v>DECOR4237S7/C1</v>
      </c>
      <c r="D490" s="1" t="str">
        <f>"ODA17N00003-296"</f>
        <v>ODA17N00003-296</v>
      </c>
      <c r="E490" s="1" t="str">
        <f t="shared" si="352"/>
        <v>D12 USPA</v>
      </c>
      <c r="F490" s="1" t="str">
        <f t="shared" si="319"/>
        <v>BONIS SPA</v>
      </c>
      <c r="G490" s="1" t="str">
        <f t="shared" si="320"/>
        <v>STOCK TERRA MP</v>
      </c>
      <c r="H490" s="1" t="str">
        <f t="shared" si="353"/>
        <v>GREY</v>
      </c>
      <c r="J490" s="1">
        <v>1</v>
      </c>
      <c r="K490" s="1">
        <f t="shared" si="347"/>
        <v>12</v>
      </c>
      <c r="L490" s="1" t="str">
        <f t="shared" si="323"/>
        <v>01</v>
      </c>
      <c r="M490" s="1" t="str">
        <f t="shared" si="305"/>
        <v>102</v>
      </c>
      <c r="N490" s="1" t="str">
        <f t="shared" si="349"/>
        <v>008</v>
      </c>
      <c r="O490" s="1" t="str">
        <f t="shared" si="325"/>
        <v>00</v>
      </c>
      <c r="P490" s="1" t="str">
        <f t="shared" si="326"/>
        <v>S</v>
      </c>
      <c r="Q490" s="1" t="str">
        <f t="shared" si="327"/>
        <v>P</v>
      </c>
      <c r="R490" s="1" t="str">
        <f t="shared" si="328"/>
        <v>01</v>
      </c>
      <c r="S490" s="1" t="str">
        <f t="shared" si="329"/>
        <v>03</v>
      </c>
      <c r="T490" s="1" t="str">
        <f t="shared" si="330"/>
        <v>False</v>
      </c>
      <c r="U490" s="1" t="str">
        <f t="shared" si="331"/>
        <v>True</v>
      </c>
      <c r="V490" s="1" t="str">
        <f t="shared" si="354"/>
        <v>U0031306</v>
      </c>
      <c r="W490" s="1">
        <v>1</v>
      </c>
      <c r="Y490" s="1">
        <v>0</v>
      </c>
      <c r="Z490" s="1">
        <v>0</v>
      </c>
      <c r="AB490" s="1" t="str">
        <f t="shared" si="350"/>
        <v>SMU</v>
      </c>
      <c r="AD490" s="1" t="str">
        <f t="shared" si="355"/>
        <v>4520308</v>
      </c>
      <c r="AE490" s="1" t="str">
        <f t="shared" si="356"/>
        <v>QUANZHOU REORDERS FORSUN</v>
      </c>
      <c r="AG490" s="1">
        <v>0</v>
      </c>
      <c r="AH490" s="1">
        <v>0</v>
      </c>
      <c r="AI490" s="1" t="str">
        <f t="shared" si="348"/>
        <v>F06</v>
      </c>
      <c r="AJ490" s="1" t="str">
        <f t="shared" si="357"/>
        <v>WOMAN</v>
      </c>
      <c r="AK490" s="1" t="str">
        <f t="shared" si="337"/>
        <v>PA</v>
      </c>
      <c r="AP490" s="1" t="str">
        <f t="shared" si="338"/>
        <v>False</v>
      </c>
      <c r="AR490" s="1" t="str">
        <f t="shared" si="358"/>
        <v>DECOR</v>
      </c>
      <c r="AY490" s="1" t="str">
        <f t="shared" si="340"/>
        <v>PF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 t="str">
        <f t="shared" si="359"/>
        <v>R GOMMA CANVAS</v>
      </c>
      <c r="BF490" s="1" t="str">
        <f t="shared" si="342"/>
        <v>Bonis SpA</v>
      </c>
      <c r="BO490" s="1">
        <v>0</v>
      </c>
      <c r="BP490" s="1">
        <v>0</v>
      </c>
      <c r="BQ490" s="1">
        <v>0</v>
      </c>
    </row>
    <row r="491" spans="2:69" x14ac:dyDescent="0.25">
      <c r="B491" s="1">
        <v>1754</v>
      </c>
      <c r="C491" s="1" t="str">
        <f t="shared" si="351"/>
        <v>DECOR4237S7/C1</v>
      </c>
      <c r="D491" s="1" t="str">
        <f>"ODA17N00003-297"</f>
        <v>ODA17N00003-297</v>
      </c>
      <c r="E491" s="1" t="str">
        <f t="shared" si="352"/>
        <v>D12 USPA</v>
      </c>
      <c r="F491" s="1" t="str">
        <f t="shared" si="319"/>
        <v>BONIS SPA</v>
      </c>
      <c r="G491" s="1" t="str">
        <f t="shared" si="320"/>
        <v>STOCK TERRA MP</v>
      </c>
      <c r="H491" s="1" t="str">
        <f t="shared" si="353"/>
        <v>GREY</v>
      </c>
      <c r="J491" s="1">
        <v>1</v>
      </c>
      <c r="K491" s="1">
        <f t="shared" si="347"/>
        <v>12</v>
      </c>
      <c r="L491" s="1" t="str">
        <f t="shared" si="323"/>
        <v>01</v>
      </c>
      <c r="M491" s="1" t="str">
        <f t="shared" ref="M491:M553" si="360">"102"</f>
        <v>102</v>
      </c>
      <c r="N491" s="1" t="str">
        <f t="shared" si="349"/>
        <v>008</v>
      </c>
      <c r="O491" s="1" t="str">
        <f t="shared" si="325"/>
        <v>00</v>
      </c>
      <c r="P491" s="1" t="str">
        <f t="shared" si="326"/>
        <v>S</v>
      </c>
      <c r="Q491" s="1" t="str">
        <f t="shared" si="327"/>
        <v>P</v>
      </c>
      <c r="R491" s="1" t="str">
        <f t="shared" si="328"/>
        <v>01</v>
      </c>
      <c r="S491" s="1" t="str">
        <f t="shared" si="329"/>
        <v>03</v>
      </c>
      <c r="T491" s="1" t="str">
        <f t="shared" si="330"/>
        <v>False</v>
      </c>
      <c r="U491" s="1" t="str">
        <f t="shared" si="331"/>
        <v>True</v>
      </c>
      <c r="V491" s="1" t="str">
        <f t="shared" si="354"/>
        <v>U0031306</v>
      </c>
      <c r="W491" s="1">
        <v>1</v>
      </c>
      <c r="Y491" s="1">
        <v>0</v>
      </c>
      <c r="Z491" s="1">
        <v>0</v>
      </c>
      <c r="AB491" s="1" t="str">
        <f t="shared" si="350"/>
        <v>SMU</v>
      </c>
      <c r="AD491" s="1" t="str">
        <f t="shared" si="355"/>
        <v>4520308</v>
      </c>
      <c r="AE491" s="1" t="str">
        <f t="shared" si="356"/>
        <v>QUANZHOU REORDERS FORSUN</v>
      </c>
      <c r="AG491" s="1">
        <v>0</v>
      </c>
      <c r="AH491" s="1">
        <v>0</v>
      </c>
      <c r="AI491" s="1" t="str">
        <f t="shared" si="348"/>
        <v>F06</v>
      </c>
      <c r="AJ491" s="1" t="str">
        <f t="shared" si="357"/>
        <v>WOMAN</v>
      </c>
      <c r="AK491" s="1" t="str">
        <f t="shared" si="337"/>
        <v>PA</v>
      </c>
      <c r="AP491" s="1" t="str">
        <f t="shared" si="338"/>
        <v>False</v>
      </c>
      <c r="AR491" s="1" t="str">
        <f t="shared" si="358"/>
        <v>DECOR</v>
      </c>
      <c r="AY491" s="1" t="str">
        <f t="shared" si="340"/>
        <v>PF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 t="str">
        <f t="shared" si="359"/>
        <v>R GOMMA CANVAS</v>
      </c>
      <c r="BF491" s="1" t="str">
        <f t="shared" si="342"/>
        <v>Bonis SpA</v>
      </c>
      <c r="BO491" s="1">
        <v>0</v>
      </c>
      <c r="BP491" s="1">
        <v>0</v>
      </c>
      <c r="BQ491" s="1">
        <v>0</v>
      </c>
    </row>
    <row r="492" spans="2:69" x14ac:dyDescent="0.25">
      <c r="B492" s="1">
        <v>1749</v>
      </c>
      <c r="C492" s="1" t="str">
        <f>"TOSCA4062W7/L1"</f>
        <v>TOSCA4062W7/L1</v>
      </c>
      <c r="D492" s="1" t="str">
        <f>"ODA17N00060-033"</f>
        <v>ODA17N00060-033</v>
      </c>
      <c r="E492" s="1" t="str">
        <f t="shared" si="352"/>
        <v>D12 USPA</v>
      </c>
      <c r="F492" s="1" t="str">
        <f t="shared" si="319"/>
        <v>BONIS SPA</v>
      </c>
      <c r="G492" s="1" t="str">
        <f t="shared" si="320"/>
        <v>STOCK TERRA MP</v>
      </c>
      <c r="H492" s="1" t="str">
        <f>"DKBR"</f>
        <v>DKBR</v>
      </c>
      <c r="J492" s="1">
        <v>1</v>
      </c>
      <c r="K492" s="1">
        <f t="shared" si="347"/>
        <v>12</v>
      </c>
      <c r="L492" s="1" t="str">
        <f t="shared" si="323"/>
        <v>01</v>
      </c>
      <c r="M492" s="1" t="str">
        <f t="shared" si="360"/>
        <v>102</v>
      </c>
      <c r="N492" s="1" t="str">
        <f>"003"</f>
        <v>003</v>
      </c>
      <c r="O492" s="1" t="str">
        <f t="shared" si="325"/>
        <v>00</v>
      </c>
      <c r="P492" s="1" t="str">
        <f t="shared" si="326"/>
        <v>S</v>
      </c>
      <c r="Q492" s="1" t="str">
        <f t="shared" si="327"/>
        <v>P</v>
      </c>
      <c r="R492" s="1" t="str">
        <f t="shared" si="328"/>
        <v>01</v>
      </c>
      <c r="S492" s="1" t="str">
        <f t="shared" si="329"/>
        <v>03</v>
      </c>
      <c r="T492" s="1" t="str">
        <f t="shared" si="330"/>
        <v>False</v>
      </c>
      <c r="U492" s="1" t="str">
        <f t="shared" si="331"/>
        <v>True</v>
      </c>
      <c r="V492" s="1" t="str">
        <f>"U0033622"</f>
        <v>U0033622</v>
      </c>
      <c r="W492" s="1">
        <v>1</v>
      </c>
      <c r="Y492" s="1">
        <v>0</v>
      </c>
      <c r="Z492" s="1">
        <v>0</v>
      </c>
      <c r="AD492" s="1" t="str">
        <f t="shared" ref="AD492:AD501" si="361">"4520200"</f>
        <v>4520200</v>
      </c>
      <c r="AE492" s="1" t="str">
        <f t="shared" ref="AE492:AE501" si="362">"FOCUS FOOTWEAR Co. Ltd."</f>
        <v>FOCUS FOOTWEAR Co. Ltd.</v>
      </c>
      <c r="AG492" s="1">
        <v>0</v>
      </c>
      <c r="AH492" s="1">
        <v>0</v>
      </c>
      <c r="AI492" s="1" t="str">
        <f t="shared" si="348"/>
        <v>F06</v>
      </c>
      <c r="AJ492" s="1" t="str">
        <f t="shared" si="357"/>
        <v>WOMAN</v>
      </c>
      <c r="AK492" s="1" t="str">
        <f t="shared" si="337"/>
        <v>PA</v>
      </c>
      <c r="AP492" s="1" t="str">
        <f t="shared" si="338"/>
        <v>False</v>
      </c>
      <c r="AR492" s="1" t="str">
        <f t="shared" ref="AR492:AR501" si="363">"TOSCA"</f>
        <v>TOSCA</v>
      </c>
      <c r="AY492" s="1" t="str">
        <f t="shared" si="340"/>
        <v>PF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 t="str">
        <f>"OSCA PELLE PAMPERO LUX"</f>
        <v>OSCA PELLE PAMPERO LUX</v>
      </c>
      <c r="BF492" s="1" t="str">
        <f t="shared" si="342"/>
        <v>Bonis SpA</v>
      </c>
      <c r="BO492" s="1">
        <v>0</v>
      </c>
      <c r="BP492" s="1">
        <v>0</v>
      </c>
      <c r="BQ492" s="1">
        <v>0</v>
      </c>
    </row>
    <row r="493" spans="2:69" x14ac:dyDescent="0.25">
      <c r="B493" s="1">
        <v>1749</v>
      </c>
      <c r="C493" s="1" t="str">
        <f>"TOSCA4062W7/L1"</f>
        <v>TOSCA4062W7/L1</v>
      </c>
      <c r="D493" s="1" t="str">
        <f>"ODA17N00060-034"</f>
        <v>ODA17N00060-034</v>
      </c>
      <c r="E493" s="1" t="str">
        <f t="shared" si="352"/>
        <v>D12 USPA</v>
      </c>
      <c r="F493" s="1" t="str">
        <f t="shared" si="319"/>
        <v>BONIS SPA</v>
      </c>
      <c r="G493" s="1" t="str">
        <f t="shared" si="320"/>
        <v>STOCK TERRA MP</v>
      </c>
      <c r="H493" s="1" t="str">
        <f>"DKBR"</f>
        <v>DKBR</v>
      </c>
      <c r="J493" s="1">
        <v>1</v>
      </c>
      <c r="K493" s="1">
        <f t="shared" si="347"/>
        <v>12</v>
      </c>
      <c r="L493" s="1" t="str">
        <f t="shared" si="323"/>
        <v>01</v>
      </c>
      <c r="M493" s="1" t="str">
        <f t="shared" si="360"/>
        <v>102</v>
      </c>
      <c r="N493" s="1" t="str">
        <f>"003"</f>
        <v>003</v>
      </c>
      <c r="O493" s="1" t="str">
        <f t="shared" si="325"/>
        <v>00</v>
      </c>
      <c r="P493" s="1" t="str">
        <f t="shared" si="326"/>
        <v>S</v>
      </c>
      <c r="Q493" s="1" t="str">
        <f t="shared" si="327"/>
        <v>P</v>
      </c>
      <c r="R493" s="1" t="str">
        <f t="shared" si="328"/>
        <v>01</v>
      </c>
      <c r="S493" s="1" t="str">
        <f t="shared" si="329"/>
        <v>03</v>
      </c>
      <c r="T493" s="1" t="str">
        <f t="shared" si="330"/>
        <v>False</v>
      </c>
      <c r="U493" s="1" t="str">
        <f t="shared" si="331"/>
        <v>True</v>
      </c>
      <c r="V493" s="1" t="str">
        <f>"U0033622"</f>
        <v>U0033622</v>
      </c>
      <c r="W493" s="1">
        <v>1</v>
      </c>
      <c r="Y493" s="1">
        <v>0</v>
      </c>
      <c r="Z493" s="1">
        <v>0</v>
      </c>
      <c r="AD493" s="1" t="str">
        <f t="shared" si="361"/>
        <v>4520200</v>
      </c>
      <c r="AE493" s="1" t="str">
        <f t="shared" si="362"/>
        <v>FOCUS FOOTWEAR Co. Ltd.</v>
      </c>
      <c r="AG493" s="1">
        <v>0</v>
      </c>
      <c r="AH493" s="1">
        <v>0</v>
      </c>
      <c r="AI493" s="1" t="str">
        <f t="shared" si="348"/>
        <v>F06</v>
      </c>
      <c r="AJ493" s="1" t="str">
        <f t="shared" si="357"/>
        <v>WOMAN</v>
      </c>
      <c r="AK493" s="1" t="str">
        <f t="shared" si="337"/>
        <v>PA</v>
      </c>
      <c r="AP493" s="1" t="str">
        <f t="shared" si="338"/>
        <v>False</v>
      </c>
      <c r="AR493" s="1" t="str">
        <f t="shared" si="363"/>
        <v>TOSCA</v>
      </c>
      <c r="AY493" s="1" t="str">
        <f t="shared" si="340"/>
        <v>PF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 t="str">
        <f>"OSCA PELLE PAMPERO LUX"</f>
        <v>OSCA PELLE PAMPERO LUX</v>
      </c>
      <c r="BF493" s="1" t="str">
        <f t="shared" si="342"/>
        <v>Bonis SpA</v>
      </c>
      <c r="BO493" s="1">
        <v>0</v>
      </c>
      <c r="BP493" s="1">
        <v>0</v>
      </c>
      <c r="BQ493" s="1">
        <v>0</v>
      </c>
    </row>
    <row r="494" spans="2:69" x14ac:dyDescent="0.25">
      <c r="B494" s="1">
        <v>1749</v>
      </c>
      <c r="C494" s="1" t="str">
        <f>"TOSCA4062W7/L1"</f>
        <v>TOSCA4062W7/L1</v>
      </c>
      <c r="D494" s="1" t="str">
        <f>"ODA17N00060-036"</f>
        <v>ODA17N00060-036</v>
      </c>
      <c r="E494" s="1" t="str">
        <f t="shared" si="352"/>
        <v>D12 USPA</v>
      </c>
      <c r="F494" s="1" t="str">
        <f t="shared" si="319"/>
        <v>BONIS SPA</v>
      </c>
      <c r="G494" s="1" t="str">
        <f t="shared" si="320"/>
        <v>STOCK TERRA MP</v>
      </c>
      <c r="H494" s="1" t="str">
        <f>"DKBR"</f>
        <v>DKBR</v>
      </c>
      <c r="J494" s="1">
        <v>1</v>
      </c>
      <c r="K494" s="1">
        <f t="shared" si="347"/>
        <v>12</v>
      </c>
      <c r="L494" s="1" t="str">
        <f t="shared" si="323"/>
        <v>01</v>
      </c>
      <c r="M494" s="1" t="str">
        <f t="shared" si="360"/>
        <v>102</v>
      </c>
      <c r="N494" s="1" t="str">
        <f>"003"</f>
        <v>003</v>
      </c>
      <c r="O494" s="1" t="str">
        <f t="shared" si="325"/>
        <v>00</v>
      </c>
      <c r="P494" s="1" t="str">
        <f t="shared" si="326"/>
        <v>S</v>
      </c>
      <c r="Q494" s="1" t="str">
        <f t="shared" si="327"/>
        <v>P</v>
      </c>
      <c r="R494" s="1" t="str">
        <f t="shared" si="328"/>
        <v>01</v>
      </c>
      <c r="S494" s="1" t="str">
        <f t="shared" si="329"/>
        <v>03</v>
      </c>
      <c r="T494" s="1" t="str">
        <f t="shared" si="330"/>
        <v>False</v>
      </c>
      <c r="U494" s="1" t="str">
        <f t="shared" si="331"/>
        <v>True</v>
      </c>
      <c r="V494" s="1" t="str">
        <f>"U0033622"</f>
        <v>U0033622</v>
      </c>
      <c r="W494" s="1">
        <v>1</v>
      </c>
      <c r="Y494" s="1">
        <v>0</v>
      </c>
      <c r="Z494" s="1">
        <v>0</v>
      </c>
      <c r="AD494" s="1" t="str">
        <f t="shared" si="361"/>
        <v>4520200</v>
      </c>
      <c r="AE494" s="1" t="str">
        <f t="shared" si="362"/>
        <v>FOCUS FOOTWEAR Co. Ltd.</v>
      </c>
      <c r="AG494" s="1">
        <v>0</v>
      </c>
      <c r="AH494" s="1">
        <v>0</v>
      </c>
      <c r="AI494" s="1" t="str">
        <f t="shared" si="348"/>
        <v>F06</v>
      </c>
      <c r="AJ494" s="1" t="str">
        <f t="shared" si="357"/>
        <v>WOMAN</v>
      </c>
      <c r="AK494" s="1" t="str">
        <f t="shared" si="337"/>
        <v>PA</v>
      </c>
      <c r="AP494" s="1" t="str">
        <f t="shared" si="338"/>
        <v>False</v>
      </c>
      <c r="AR494" s="1" t="str">
        <f t="shared" si="363"/>
        <v>TOSCA</v>
      </c>
      <c r="AY494" s="1" t="str">
        <f t="shared" si="340"/>
        <v>PF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 t="str">
        <f>"OSCA PELLE PAMPERO LUX"</f>
        <v>OSCA PELLE PAMPERO LUX</v>
      </c>
      <c r="BF494" s="1" t="str">
        <f t="shared" si="342"/>
        <v>Bonis SpA</v>
      </c>
      <c r="BO494" s="1">
        <v>0</v>
      </c>
      <c r="BP494" s="1">
        <v>0</v>
      </c>
      <c r="BQ494" s="1">
        <v>0</v>
      </c>
    </row>
    <row r="495" spans="2:69" x14ac:dyDescent="0.25">
      <c r="B495" s="1">
        <v>1749</v>
      </c>
      <c r="C495" s="1" t="str">
        <f>"TOSCA4062W7/L1"</f>
        <v>TOSCA4062W7/L1</v>
      </c>
      <c r="D495" s="1" t="str">
        <f>"ODA17N00060-037"</f>
        <v>ODA17N00060-037</v>
      </c>
      <c r="E495" s="1" t="str">
        <f t="shared" si="352"/>
        <v>D12 USPA</v>
      </c>
      <c r="F495" s="1" t="str">
        <f t="shared" si="319"/>
        <v>BONIS SPA</v>
      </c>
      <c r="G495" s="1" t="str">
        <f t="shared" si="320"/>
        <v>STOCK TERRA MP</v>
      </c>
      <c r="H495" s="1" t="str">
        <f>"DKBR"</f>
        <v>DKBR</v>
      </c>
      <c r="J495" s="1">
        <v>1</v>
      </c>
      <c r="K495" s="1">
        <f t="shared" si="347"/>
        <v>12</v>
      </c>
      <c r="L495" s="1" t="str">
        <f t="shared" si="323"/>
        <v>01</v>
      </c>
      <c r="M495" s="1" t="str">
        <f t="shared" si="360"/>
        <v>102</v>
      </c>
      <c r="N495" s="1" t="str">
        <f>"003"</f>
        <v>003</v>
      </c>
      <c r="O495" s="1" t="str">
        <f t="shared" si="325"/>
        <v>00</v>
      </c>
      <c r="P495" s="1" t="str">
        <f t="shared" si="326"/>
        <v>S</v>
      </c>
      <c r="Q495" s="1" t="str">
        <f t="shared" si="327"/>
        <v>P</v>
      </c>
      <c r="R495" s="1" t="str">
        <f t="shared" si="328"/>
        <v>01</v>
      </c>
      <c r="S495" s="1" t="str">
        <f t="shared" si="329"/>
        <v>03</v>
      </c>
      <c r="T495" s="1" t="str">
        <f t="shared" si="330"/>
        <v>False</v>
      </c>
      <c r="U495" s="1" t="str">
        <f t="shared" si="331"/>
        <v>True</v>
      </c>
      <c r="V495" s="1" t="str">
        <f>"U0033622"</f>
        <v>U0033622</v>
      </c>
      <c r="W495" s="1">
        <v>1</v>
      </c>
      <c r="Y495" s="1">
        <v>0</v>
      </c>
      <c r="Z495" s="1">
        <v>0</v>
      </c>
      <c r="AD495" s="1" t="str">
        <f t="shared" si="361"/>
        <v>4520200</v>
      </c>
      <c r="AE495" s="1" t="str">
        <f t="shared" si="362"/>
        <v>FOCUS FOOTWEAR Co. Ltd.</v>
      </c>
      <c r="AG495" s="1">
        <v>0</v>
      </c>
      <c r="AH495" s="1">
        <v>0</v>
      </c>
      <c r="AI495" s="1" t="str">
        <f t="shared" si="348"/>
        <v>F06</v>
      </c>
      <c r="AJ495" s="1" t="str">
        <f t="shared" si="357"/>
        <v>WOMAN</v>
      </c>
      <c r="AK495" s="1" t="str">
        <f t="shared" si="337"/>
        <v>PA</v>
      </c>
      <c r="AP495" s="1" t="str">
        <f t="shared" si="338"/>
        <v>False</v>
      </c>
      <c r="AR495" s="1" t="str">
        <f t="shared" si="363"/>
        <v>TOSCA</v>
      </c>
      <c r="AY495" s="1" t="str">
        <f t="shared" si="340"/>
        <v>PF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 t="str">
        <f>"OSCA PELLE PAMPERO LUX"</f>
        <v>OSCA PELLE PAMPERO LUX</v>
      </c>
      <c r="BF495" s="1" t="str">
        <f t="shared" si="342"/>
        <v>Bonis SpA</v>
      </c>
      <c r="BO495" s="1">
        <v>0</v>
      </c>
      <c r="BP495" s="1">
        <v>0</v>
      </c>
      <c r="BQ495" s="1">
        <v>0</v>
      </c>
    </row>
    <row r="496" spans="2:69" x14ac:dyDescent="0.25">
      <c r="B496" s="1">
        <v>1751</v>
      </c>
      <c r="C496" s="1" t="str">
        <f>"TOSCA4062W7/S1"</f>
        <v>TOSCA4062W7/S1</v>
      </c>
      <c r="D496" s="1" t="str">
        <f>"ODA17N00060-083"</f>
        <v>ODA17N00060-083</v>
      </c>
      <c r="E496" s="1" t="str">
        <f t="shared" si="352"/>
        <v>D12 USPA</v>
      </c>
      <c r="F496" s="1" t="str">
        <f t="shared" si="319"/>
        <v>BONIS SPA</v>
      </c>
      <c r="G496" s="1" t="str">
        <f t="shared" si="320"/>
        <v>STOCK TERRA MP</v>
      </c>
      <c r="H496" s="1" t="str">
        <f>"BRICK"</f>
        <v>BRICK</v>
      </c>
      <c r="J496" s="1">
        <v>1</v>
      </c>
      <c r="K496" s="1">
        <f t="shared" si="347"/>
        <v>12</v>
      </c>
      <c r="L496" s="1" t="str">
        <f t="shared" si="323"/>
        <v>01</v>
      </c>
      <c r="M496" s="1" t="str">
        <f t="shared" si="360"/>
        <v>102</v>
      </c>
      <c r="N496" s="1" t="str">
        <f>"005"</f>
        <v>005</v>
      </c>
      <c r="O496" s="1" t="str">
        <f t="shared" si="325"/>
        <v>00</v>
      </c>
      <c r="P496" s="1" t="str">
        <f t="shared" si="326"/>
        <v>S</v>
      </c>
      <c r="Q496" s="1" t="str">
        <f t="shared" si="327"/>
        <v>P</v>
      </c>
      <c r="R496" s="1" t="str">
        <f t="shared" si="328"/>
        <v>01</v>
      </c>
      <c r="S496" s="1" t="str">
        <f t="shared" si="329"/>
        <v>03</v>
      </c>
      <c r="T496" s="1" t="str">
        <f t="shared" si="330"/>
        <v>False</v>
      </c>
      <c r="U496" s="1" t="str">
        <f t="shared" si="331"/>
        <v>True</v>
      </c>
      <c r="V496" s="1" t="str">
        <f>"U0024305"</f>
        <v>U0024305</v>
      </c>
      <c r="W496" s="1">
        <v>1</v>
      </c>
      <c r="Y496" s="1">
        <v>0</v>
      </c>
      <c r="Z496" s="1">
        <v>0</v>
      </c>
      <c r="AD496" s="1" t="str">
        <f t="shared" si="361"/>
        <v>4520200</v>
      </c>
      <c r="AE496" s="1" t="str">
        <f t="shared" si="362"/>
        <v>FOCUS FOOTWEAR Co. Ltd.</v>
      </c>
      <c r="AG496" s="1">
        <v>0</v>
      </c>
      <c r="AH496" s="1">
        <v>0</v>
      </c>
      <c r="AI496" s="1" t="str">
        <f t="shared" si="348"/>
        <v>F06</v>
      </c>
      <c r="AJ496" s="1" t="str">
        <f t="shared" si="357"/>
        <v>WOMAN</v>
      </c>
      <c r="AK496" s="1" t="str">
        <f t="shared" si="337"/>
        <v>PA</v>
      </c>
      <c r="AP496" s="1" t="str">
        <f t="shared" si="338"/>
        <v>False</v>
      </c>
      <c r="AR496" s="1" t="str">
        <f t="shared" si="363"/>
        <v>TOSCA</v>
      </c>
      <c r="AY496" s="1" t="str">
        <f t="shared" si="340"/>
        <v>PF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 t="str">
        <f t="shared" ref="BE496:BE501" si="364">"OSCA CROSTA MR TOUCH X"</f>
        <v>OSCA CROSTA MR TOUCH X</v>
      </c>
      <c r="BF496" s="1" t="str">
        <f t="shared" si="342"/>
        <v>Bonis SpA</v>
      </c>
      <c r="BO496" s="1">
        <v>0</v>
      </c>
      <c r="BP496" s="1">
        <v>0</v>
      </c>
      <c r="BQ496" s="1">
        <v>0</v>
      </c>
    </row>
    <row r="497" spans="2:69" x14ac:dyDescent="0.25">
      <c r="B497" s="1">
        <v>1749</v>
      </c>
      <c r="C497" s="1" t="str">
        <f>"TOSCA4064W7/S1"</f>
        <v>TOSCA4064W7/S1</v>
      </c>
      <c r="D497" s="1" t="str">
        <f>"ODA17N00060-156"</f>
        <v>ODA17N00060-156</v>
      </c>
      <c r="E497" s="1" t="str">
        <f>"K8 USPA"</f>
        <v>K8 USPA</v>
      </c>
      <c r="F497" s="1" t="str">
        <f t="shared" si="319"/>
        <v>BONIS SPA</v>
      </c>
      <c r="G497" s="1" t="str">
        <f t="shared" si="320"/>
        <v>STOCK TERRA MP</v>
      </c>
      <c r="H497" s="1" t="str">
        <f>"DKBL"</f>
        <v>DKBL</v>
      </c>
      <c r="J497" s="1">
        <v>1</v>
      </c>
      <c r="K497" s="1">
        <f t="shared" ref="K497:K539" si="365">8*J497</f>
        <v>8</v>
      </c>
      <c r="L497" s="1" t="str">
        <f t="shared" si="323"/>
        <v>01</v>
      </c>
      <c r="M497" s="1" t="str">
        <f t="shared" si="360"/>
        <v>102</v>
      </c>
      <c r="N497" s="1" t="str">
        <f>"003"</f>
        <v>003</v>
      </c>
      <c r="O497" s="1" t="str">
        <f t="shared" si="325"/>
        <v>00</v>
      </c>
      <c r="P497" s="1" t="str">
        <f t="shared" si="326"/>
        <v>S</v>
      </c>
      <c r="Q497" s="1" t="str">
        <f t="shared" si="327"/>
        <v>P</v>
      </c>
      <c r="R497" s="1" t="str">
        <f t="shared" si="328"/>
        <v>01</v>
      </c>
      <c r="S497" s="1" t="str">
        <f t="shared" si="329"/>
        <v>03</v>
      </c>
      <c r="T497" s="1" t="str">
        <f t="shared" si="330"/>
        <v>False</v>
      </c>
      <c r="U497" s="1" t="str">
        <f t="shared" si="331"/>
        <v>True</v>
      </c>
      <c r="V497" s="1" t="str">
        <f>"U0033622"</f>
        <v>U0033622</v>
      </c>
      <c r="W497" s="1">
        <v>1</v>
      </c>
      <c r="Y497" s="1">
        <v>0</v>
      </c>
      <c r="Z497" s="1">
        <v>0</v>
      </c>
      <c r="AD497" s="1" t="str">
        <f t="shared" si="361"/>
        <v>4520200</v>
      </c>
      <c r="AE497" s="1" t="str">
        <f t="shared" si="362"/>
        <v>FOCUS FOOTWEAR Co. Ltd.</v>
      </c>
      <c r="AG497" s="1">
        <v>0</v>
      </c>
      <c r="AH497" s="1">
        <v>0</v>
      </c>
      <c r="AI497" s="1" t="str">
        <f t="shared" si="348"/>
        <v>F06</v>
      </c>
      <c r="AJ497" s="1" t="str">
        <f t="shared" si="357"/>
        <v>WOMAN</v>
      </c>
      <c r="AK497" s="1" t="str">
        <f t="shared" si="337"/>
        <v>PA</v>
      </c>
      <c r="AP497" s="1" t="str">
        <f t="shared" si="338"/>
        <v>False</v>
      </c>
      <c r="AR497" s="1" t="str">
        <f t="shared" si="363"/>
        <v>TOSCA</v>
      </c>
      <c r="AY497" s="1" t="str">
        <f t="shared" si="340"/>
        <v>PF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 t="str">
        <f t="shared" si="364"/>
        <v>OSCA CROSTA MR TOUCH X</v>
      </c>
      <c r="BF497" s="1" t="str">
        <f t="shared" si="342"/>
        <v>Bonis SpA</v>
      </c>
      <c r="BO497" s="1">
        <v>0</v>
      </c>
      <c r="BP497" s="1">
        <v>0</v>
      </c>
      <c r="BQ497" s="1">
        <v>0</v>
      </c>
    </row>
    <row r="498" spans="2:69" x14ac:dyDescent="0.25">
      <c r="B498" s="1">
        <v>1751</v>
      </c>
      <c r="C498" s="1" t="str">
        <f>"TOSCA4064W7/S1"</f>
        <v>TOSCA4064W7/S1</v>
      </c>
      <c r="D498" s="1" t="str">
        <f>"ODA17N00060-212"</f>
        <v>ODA17N00060-212</v>
      </c>
      <c r="E498" s="1" t="str">
        <f>"K8 USPA"</f>
        <v>K8 USPA</v>
      </c>
      <c r="F498" s="1" t="str">
        <f t="shared" si="319"/>
        <v>BONIS SPA</v>
      </c>
      <c r="G498" s="1" t="str">
        <f t="shared" si="320"/>
        <v>STOCK TERRA MP</v>
      </c>
      <c r="H498" s="1" t="str">
        <f>"TAU"</f>
        <v>TAU</v>
      </c>
      <c r="J498" s="1">
        <v>1</v>
      </c>
      <c r="K498" s="1">
        <f t="shared" si="365"/>
        <v>8</v>
      </c>
      <c r="L498" s="1" t="str">
        <f t="shared" si="323"/>
        <v>01</v>
      </c>
      <c r="M498" s="1" t="str">
        <f t="shared" si="360"/>
        <v>102</v>
      </c>
      <c r="N498" s="1" t="str">
        <f>"005"</f>
        <v>005</v>
      </c>
      <c r="O498" s="1" t="str">
        <f t="shared" si="325"/>
        <v>00</v>
      </c>
      <c r="P498" s="1" t="str">
        <f t="shared" si="326"/>
        <v>S</v>
      </c>
      <c r="Q498" s="1" t="str">
        <f t="shared" si="327"/>
        <v>P</v>
      </c>
      <c r="R498" s="1" t="str">
        <f t="shared" si="328"/>
        <v>01</v>
      </c>
      <c r="S498" s="1" t="str">
        <f t="shared" si="329"/>
        <v>03</v>
      </c>
      <c r="T498" s="1" t="str">
        <f t="shared" si="330"/>
        <v>False</v>
      </c>
      <c r="U498" s="1" t="str">
        <f t="shared" si="331"/>
        <v>True</v>
      </c>
      <c r="V498" s="1" t="str">
        <f>"U0024305"</f>
        <v>U0024305</v>
      </c>
      <c r="W498" s="1">
        <v>1</v>
      </c>
      <c r="Y498" s="1">
        <v>0</v>
      </c>
      <c r="Z498" s="1">
        <v>0</v>
      </c>
      <c r="AD498" s="1" t="str">
        <f t="shared" si="361"/>
        <v>4520200</v>
      </c>
      <c r="AE498" s="1" t="str">
        <f t="shared" si="362"/>
        <v>FOCUS FOOTWEAR Co. Ltd.</v>
      </c>
      <c r="AG498" s="1">
        <v>0</v>
      </c>
      <c r="AH498" s="1">
        <v>0</v>
      </c>
      <c r="AI498" s="1" t="str">
        <f t="shared" si="348"/>
        <v>F06</v>
      </c>
      <c r="AJ498" s="1" t="str">
        <f t="shared" si="357"/>
        <v>WOMAN</v>
      </c>
      <c r="AK498" s="1" t="str">
        <f t="shared" si="337"/>
        <v>PA</v>
      </c>
      <c r="AP498" s="1" t="str">
        <f t="shared" si="338"/>
        <v>False</v>
      </c>
      <c r="AR498" s="1" t="str">
        <f t="shared" si="363"/>
        <v>TOSCA</v>
      </c>
      <c r="AY498" s="1" t="str">
        <f t="shared" si="340"/>
        <v>PF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 t="str">
        <f t="shared" si="364"/>
        <v>OSCA CROSTA MR TOUCH X</v>
      </c>
      <c r="BF498" s="1" t="str">
        <f t="shared" si="342"/>
        <v>Bonis SpA</v>
      </c>
      <c r="BO498" s="1">
        <v>0</v>
      </c>
      <c r="BP498" s="1">
        <v>0</v>
      </c>
      <c r="BQ498" s="1">
        <v>0</v>
      </c>
    </row>
    <row r="499" spans="2:69" x14ac:dyDescent="0.25">
      <c r="B499" s="1">
        <v>1751</v>
      </c>
      <c r="C499" s="1" t="str">
        <f>"TOSCA4064W7/S1"</f>
        <v>TOSCA4064W7/S1</v>
      </c>
      <c r="D499" s="1" t="str">
        <f>"ODA17N00060-213"</f>
        <v>ODA17N00060-213</v>
      </c>
      <c r="E499" s="1" t="str">
        <f>"K8 USPA"</f>
        <v>K8 USPA</v>
      </c>
      <c r="F499" s="1" t="str">
        <f t="shared" si="319"/>
        <v>BONIS SPA</v>
      </c>
      <c r="G499" s="1" t="str">
        <f t="shared" si="320"/>
        <v>STOCK TERRA MP</v>
      </c>
      <c r="H499" s="1" t="str">
        <f>"TAU"</f>
        <v>TAU</v>
      </c>
      <c r="J499" s="1">
        <v>1</v>
      </c>
      <c r="K499" s="1">
        <f t="shared" si="365"/>
        <v>8</v>
      </c>
      <c r="L499" s="1" t="str">
        <f t="shared" si="323"/>
        <v>01</v>
      </c>
      <c r="M499" s="1" t="str">
        <f t="shared" si="360"/>
        <v>102</v>
      </c>
      <c r="N499" s="1" t="str">
        <f>"005"</f>
        <v>005</v>
      </c>
      <c r="O499" s="1" t="str">
        <f t="shared" si="325"/>
        <v>00</v>
      </c>
      <c r="P499" s="1" t="str">
        <f t="shared" si="326"/>
        <v>S</v>
      </c>
      <c r="Q499" s="1" t="str">
        <f t="shared" si="327"/>
        <v>P</v>
      </c>
      <c r="R499" s="1" t="str">
        <f t="shared" si="328"/>
        <v>01</v>
      </c>
      <c r="S499" s="1" t="str">
        <f t="shared" si="329"/>
        <v>03</v>
      </c>
      <c r="T499" s="1" t="str">
        <f t="shared" si="330"/>
        <v>False</v>
      </c>
      <c r="U499" s="1" t="str">
        <f t="shared" si="331"/>
        <v>True</v>
      </c>
      <c r="V499" s="1" t="str">
        <f>"U0024305"</f>
        <v>U0024305</v>
      </c>
      <c r="W499" s="1">
        <v>1</v>
      </c>
      <c r="Y499" s="1">
        <v>0</v>
      </c>
      <c r="Z499" s="1">
        <v>0</v>
      </c>
      <c r="AD499" s="1" t="str">
        <f t="shared" si="361"/>
        <v>4520200</v>
      </c>
      <c r="AE499" s="1" t="str">
        <f t="shared" si="362"/>
        <v>FOCUS FOOTWEAR Co. Ltd.</v>
      </c>
      <c r="AG499" s="1">
        <v>0</v>
      </c>
      <c r="AH499" s="1">
        <v>0</v>
      </c>
      <c r="AI499" s="1" t="str">
        <f t="shared" ref="AI499:AI530" si="366">"F06"</f>
        <v>F06</v>
      </c>
      <c r="AJ499" s="1" t="str">
        <f t="shared" si="357"/>
        <v>WOMAN</v>
      </c>
      <c r="AK499" s="1" t="str">
        <f t="shared" si="337"/>
        <v>PA</v>
      </c>
      <c r="AP499" s="1" t="str">
        <f t="shared" si="338"/>
        <v>False</v>
      </c>
      <c r="AR499" s="1" t="str">
        <f t="shared" si="363"/>
        <v>TOSCA</v>
      </c>
      <c r="AY499" s="1" t="str">
        <f t="shared" si="340"/>
        <v>PF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 t="str">
        <f t="shared" si="364"/>
        <v>OSCA CROSTA MR TOUCH X</v>
      </c>
      <c r="BF499" s="1" t="str">
        <f t="shared" si="342"/>
        <v>Bonis SpA</v>
      </c>
      <c r="BO499" s="1">
        <v>0</v>
      </c>
      <c r="BP499" s="1">
        <v>0</v>
      </c>
      <c r="BQ499" s="1">
        <v>0</v>
      </c>
    </row>
    <row r="500" spans="2:69" x14ac:dyDescent="0.25">
      <c r="B500" s="1">
        <v>1751</v>
      </c>
      <c r="C500" s="1" t="str">
        <f>"TOSCA4064W7/S1"</f>
        <v>TOSCA4064W7/S1</v>
      </c>
      <c r="D500" s="1" t="str">
        <f>"ODA17N00060-217"</f>
        <v>ODA17N00060-217</v>
      </c>
      <c r="E500" s="1" t="str">
        <f>"K8 USPA"</f>
        <v>K8 USPA</v>
      </c>
      <c r="F500" s="1" t="str">
        <f t="shared" si="319"/>
        <v>BONIS SPA</v>
      </c>
      <c r="G500" s="1" t="str">
        <f t="shared" si="320"/>
        <v>STOCK TERRA MP</v>
      </c>
      <c r="H500" s="1" t="str">
        <f>"TAU"</f>
        <v>TAU</v>
      </c>
      <c r="J500" s="1">
        <v>1</v>
      </c>
      <c r="K500" s="1">
        <f t="shared" si="365"/>
        <v>8</v>
      </c>
      <c r="L500" s="1" t="str">
        <f t="shared" si="323"/>
        <v>01</v>
      </c>
      <c r="M500" s="1" t="str">
        <f t="shared" si="360"/>
        <v>102</v>
      </c>
      <c r="N500" s="1" t="str">
        <f>"005"</f>
        <v>005</v>
      </c>
      <c r="O500" s="1" t="str">
        <f t="shared" si="325"/>
        <v>00</v>
      </c>
      <c r="P500" s="1" t="str">
        <f t="shared" si="326"/>
        <v>S</v>
      </c>
      <c r="Q500" s="1" t="str">
        <f t="shared" si="327"/>
        <v>P</v>
      </c>
      <c r="R500" s="1" t="str">
        <f t="shared" si="328"/>
        <v>01</v>
      </c>
      <c r="S500" s="1" t="str">
        <f t="shared" si="329"/>
        <v>03</v>
      </c>
      <c r="T500" s="1" t="str">
        <f t="shared" si="330"/>
        <v>False</v>
      </c>
      <c r="U500" s="1" t="str">
        <f t="shared" si="331"/>
        <v>True</v>
      </c>
      <c r="V500" s="1" t="str">
        <f>"U0024305"</f>
        <v>U0024305</v>
      </c>
      <c r="W500" s="1">
        <v>1</v>
      </c>
      <c r="Y500" s="1">
        <v>0</v>
      </c>
      <c r="Z500" s="1">
        <v>0</v>
      </c>
      <c r="AD500" s="1" t="str">
        <f t="shared" si="361"/>
        <v>4520200</v>
      </c>
      <c r="AE500" s="1" t="str">
        <f t="shared" si="362"/>
        <v>FOCUS FOOTWEAR Co. Ltd.</v>
      </c>
      <c r="AG500" s="1">
        <v>0</v>
      </c>
      <c r="AH500" s="1">
        <v>0</v>
      </c>
      <c r="AI500" s="1" t="str">
        <f t="shared" si="366"/>
        <v>F06</v>
      </c>
      <c r="AJ500" s="1" t="str">
        <f t="shared" si="357"/>
        <v>WOMAN</v>
      </c>
      <c r="AK500" s="1" t="str">
        <f t="shared" si="337"/>
        <v>PA</v>
      </c>
      <c r="AP500" s="1" t="str">
        <f t="shared" si="338"/>
        <v>False</v>
      </c>
      <c r="AR500" s="1" t="str">
        <f t="shared" si="363"/>
        <v>TOSCA</v>
      </c>
      <c r="AY500" s="1" t="str">
        <f t="shared" si="340"/>
        <v>PF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 t="str">
        <f t="shared" si="364"/>
        <v>OSCA CROSTA MR TOUCH X</v>
      </c>
      <c r="BF500" s="1" t="str">
        <f t="shared" si="342"/>
        <v>Bonis SpA</v>
      </c>
      <c r="BO500" s="1">
        <v>0</v>
      </c>
      <c r="BP500" s="1">
        <v>0</v>
      </c>
      <c r="BQ500" s="1">
        <v>0</v>
      </c>
    </row>
    <row r="501" spans="2:69" x14ac:dyDescent="0.25">
      <c r="B501" s="1">
        <v>1751</v>
      </c>
      <c r="C501" s="1" t="str">
        <f>"TOSCA4064W7/S1"</f>
        <v>TOSCA4064W7/S1</v>
      </c>
      <c r="D501" s="1" t="str">
        <f>"ODA17N00060-218"</f>
        <v>ODA17N00060-218</v>
      </c>
      <c r="E501" s="1" t="str">
        <f>"K8 USPA"</f>
        <v>K8 USPA</v>
      </c>
      <c r="F501" s="1" t="str">
        <f t="shared" si="319"/>
        <v>BONIS SPA</v>
      </c>
      <c r="G501" s="1" t="str">
        <f t="shared" si="320"/>
        <v>STOCK TERRA MP</v>
      </c>
      <c r="H501" s="1" t="str">
        <f>"TAU"</f>
        <v>TAU</v>
      </c>
      <c r="J501" s="1">
        <v>1</v>
      </c>
      <c r="K501" s="1">
        <f t="shared" si="365"/>
        <v>8</v>
      </c>
      <c r="L501" s="1" t="str">
        <f t="shared" si="323"/>
        <v>01</v>
      </c>
      <c r="M501" s="1" t="str">
        <f t="shared" si="360"/>
        <v>102</v>
      </c>
      <c r="N501" s="1" t="str">
        <f>"005"</f>
        <v>005</v>
      </c>
      <c r="O501" s="1" t="str">
        <f t="shared" si="325"/>
        <v>00</v>
      </c>
      <c r="P501" s="1" t="str">
        <f t="shared" si="326"/>
        <v>S</v>
      </c>
      <c r="Q501" s="1" t="str">
        <f t="shared" si="327"/>
        <v>P</v>
      </c>
      <c r="R501" s="1" t="str">
        <f t="shared" si="328"/>
        <v>01</v>
      </c>
      <c r="S501" s="1" t="str">
        <f t="shared" si="329"/>
        <v>03</v>
      </c>
      <c r="T501" s="1" t="str">
        <f t="shared" si="330"/>
        <v>False</v>
      </c>
      <c r="U501" s="1" t="str">
        <f t="shared" si="331"/>
        <v>True</v>
      </c>
      <c r="V501" s="1" t="str">
        <f>"U0024305"</f>
        <v>U0024305</v>
      </c>
      <c r="W501" s="1">
        <v>1</v>
      </c>
      <c r="Y501" s="1">
        <v>0</v>
      </c>
      <c r="Z501" s="1">
        <v>0</v>
      </c>
      <c r="AD501" s="1" t="str">
        <f t="shared" si="361"/>
        <v>4520200</v>
      </c>
      <c r="AE501" s="1" t="str">
        <f t="shared" si="362"/>
        <v>FOCUS FOOTWEAR Co. Ltd.</v>
      </c>
      <c r="AG501" s="1">
        <v>0</v>
      </c>
      <c r="AH501" s="1">
        <v>0</v>
      </c>
      <c r="AI501" s="1" t="str">
        <f t="shared" si="366"/>
        <v>F06</v>
      </c>
      <c r="AJ501" s="1" t="str">
        <f t="shared" si="357"/>
        <v>WOMAN</v>
      </c>
      <c r="AK501" s="1" t="str">
        <f t="shared" si="337"/>
        <v>PA</v>
      </c>
      <c r="AP501" s="1" t="str">
        <f t="shared" si="338"/>
        <v>False</v>
      </c>
      <c r="AR501" s="1" t="str">
        <f t="shared" si="363"/>
        <v>TOSCA</v>
      </c>
      <c r="AY501" s="1" t="str">
        <f t="shared" si="340"/>
        <v>PF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 t="str">
        <f t="shared" si="364"/>
        <v>OSCA CROSTA MR TOUCH X</v>
      </c>
      <c r="BF501" s="1" t="str">
        <f t="shared" si="342"/>
        <v>Bonis SpA</v>
      </c>
      <c r="BO501" s="1">
        <v>0</v>
      </c>
      <c r="BP501" s="1">
        <v>0</v>
      </c>
      <c r="BQ501" s="1">
        <v>0</v>
      </c>
    </row>
    <row r="502" spans="2:69" x14ac:dyDescent="0.25">
      <c r="B502" s="1">
        <v>1757</v>
      </c>
      <c r="C502" s="1" t="str">
        <f t="shared" ref="C502:C545" si="367">"TOMAS4026S7E/S2"</f>
        <v>TOMAS4026S7E/S2</v>
      </c>
      <c r="D502" s="1" t="str">
        <f>"ODV16N02275-001"</f>
        <v>ODV16N02275-001</v>
      </c>
      <c r="E502" s="1" t="str">
        <f t="shared" ref="E502:E539" si="368">"A8 USPA"</f>
        <v>A8 USPA</v>
      </c>
      <c r="F502" s="1" t="str">
        <f t="shared" si="319"/>
        <v>BONIS SPA</v>
      </c>
      <c r="G502" s="1" t="str">
        <f t="shared" si="320"/>
        <v>STOCK TERRA MP</v>
      </c>
      <c r="H502" s="1" t="str">
        <f t="shared" ref="H502:H520" si="369">"BLU"</f>
        <v>BLU</v>
      </c>
      <c r="J502" s="1">
        <v>1</v>
      </c>
      <c r="K502" s="1">
        <f t="shared" si="365"/>
        <v>8</v>
      </c>
      <c r="L502" s="1" t="str">
        <f t="shared" si="323"/>
        <v>01</v>
      </c>
      <c r="M502" s="1" t="str">
        <f t="shared" si="360"/>
        <v>102</v>
      </c>
      <c r="N502" s="1" t="str">
        <f t="shared" ref="N502:N520" si="370">"011"</f>
        <v>011</v>
      </c>
      <c r="O502" s="1" t="str">
        <f t="shared" si="325"/>
        <v>00</v>
      </c>
      <c r="P502" s="1" t="str">
        <f t="shared" si="326"/>
        <v>S</v>
      </c>
      <c r="Q502" s="1" t="str">
        <f t="shared" si="327"/>
        <v>P</v>
      </c>
      <c r="R502" s="1" t="str">
        <f t="shared" si="328"/>
        <v>01</v>
      </c>
      <c r="S502" s="1" t="str">
        <f t="shared" si="329"/>
        <v>03</v>
      </c>
      <c r="T502" s="1" t="str">
        <f t="shared" si="330"/>
        <v>False</v>
      </c>
      <c r="U502" s="1" t="str">
        <f t="shared" si="331"/>
        <v>True</v>
      </c>
      <c r="V502" s="1" t="str">
        <f t="shared" ref="V502:V520" si="371">"U0023787"</f>
        <v>U0023787</v>
      </c>
      <c r="W502" s="1">
        <v>1</v>
      </c>
      <c r="Y502" s="1">
        <v>0</v>
      </c>
      <c r="Z502" s="1">
        <v>0</v>
      </c>
      <c r="AB502" s="1" t="str">
        <f t="shared" ref="AB502:AB547" si="372">"ECOM"</f>
        <v>ECOM</v>
      </c>
      <c r="AG502" s="1">
        <v>0</v>
      </c>
      <c r="AH502" s="1">
        <v>0</v>
      </c>
      <c r="AI502" s="1" t="str">
        <f t="shared" si="366"/>
        <v>F06</v>
      </c>
      <c r="AJ502" s="1" t="str">
        <f t="shared" ref="AJ502:AJ545" si="373">"MAN"</f>
        <v>MAN</v>
      </c>
      <c r="AK502" s="1" t="str">
        <f t="shared" si="337"/>
        <v>PA</v>
      </c>
      <c r="AP502" s="1" t="str">
        <f t="shared" si="338"/>
        <v>False</v>
      </c>
      <c r="AR502" s="1" t="str">
        <f t="shared" ref="AR502:AR545" si="374">"TOMAS"</f>
        <v>TOMAS</v>
      </c>
      <c r="AY502" s="1" t="str">
        <f t="shared" si="340"/>
        <v>PF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 t="str">
        <f t="shared" ref="BE502:BE545" si="375">"GERO TOMAS SUEDE x sfoderato"</f>
        <v>GERO TOMAS SUEDE x sfoderato</v>
      </c>
      <c r="BF502" s="1" t="str">
        <f t="shared" si="342"/>
        <v>Bonis SpA</v>
      </c>
      <c r="BO502" s="1">
        <v>0</v>
      </c>
      <c r="BP502" s="1">
        <v>0</v>
      </c>
      <c r="BQ502" s="1">
        <v>0</v>
      </c>
    </row>
    <row r="503" spans="2:69" x14ac:dyDescent="0.25">
      <c r="B503" s="1">
        <v>1757</v>
      </c>
      <c r="C503" s="1" t="str">
        <f t="shared" si="367"/>
        <v>TOMAS4026S7E/S2</v>
      </c>
      <c r="D503" s="1" t="str">
        <f>"ODV16N02275-002"</f>
        <v>ODV16N02275-002</v>
      </c>
      <c r="E503" s="1" t="str">
        <f t="shared" si="368"/>
        <v>A8 USPA</v>
      </c>
      <c r="F503" s="1" t="str">
        <f t="shared" si="319"/>
        <v>BONIS SPA</v>
      </c>
      <c r="G503" s="1" t="str">
        <f t="shared" si="320"/>
        <v>STOCK TERRA MP</v>
      </c>
      <c r="H503" s="1" t="str">
        <f t="shared" si="369"/>
        <v>BLU</v>
      </c>
      <c r="J503" s="1">
        <v>1</v>
      </c>
      <c r="K503" s="1">
        <f t="shared" si="365"/>
        <v>8</v>
      </c>
      <c r="L503" s="1" t="str">
        <f t="shared" si="323"/>
        <v>01</v>
      </c>
      <c r="M503" s="1" t="str">
        <f t="shared" si="360"/>
        <v>102</v>
      </c>
      <c r="N503" s="1" t="str">
        <f t="shared" si="370"/>
        <v>011</v>
      </c>
      <c r="O503" s="1" t="str">
        <f t="shared" si="325"/>
        <v>00</v>
      </c>
      <c r="P503" s="1" t="str">
        <f t="shared" si="326"/>
        <v>S</v>
      </c>
      <c r="Q503" s="1" t="str">
        <f t="shared" si="327"/>
        <v>P</v>
      </c>
      <c r="R503" s="1" t="str">
        <f t="shared" si="328"/>
        <v>01</v>
      </c>
      <c r="S503" s="1" t="str">
        <f t="shared" si="329"/>
        <v>03</v>
      </c>
      <c r="T503" s="1" t="str">
        <f t="shared" si="330"/>
        <v>False</v>
      </c>
      <c r="U503" s="1" t="str">
        <f t="shared" si="331"/>
        <v>True</v>
      </c>
      <c r="V503" s="1" t="str">
        <f t="shared" si="371"/>
        <v>U0023787</v>
      </c>
      <c r="W503" s="1">
        <v>1</v>
      </c>
      <c r="Y503" s="1">
        <v>0</v>
      </c>
      <c r="Z503" s="1">
        <v>0</v>
      </c>
      <c r="AB503" s="1" t="str">
        <f t="shared" si="372"/>
        <v>ECOM</v>
      </c>
      <c r="AG503" s="1">
        <v>0</v>
      </c>
      <c r="AH503" s="1">
        <v>0</v>
      </c>
      <c r="AI503" s="1" t="str">
        <f t="shared" si="366"/>
        <v>F06</v>
      </c>
      <c r="AJ503" s="1" t="str">
        <f t="shared" si="373"/>
        <v>MAN</v>
      </c>
      <c r="AK503" s="1" t="str">
        <f t="shared" si="337"/>
        <v>PA</v>
      </c>
      <c r="AP503" s="1" t="str">
        <f t="shared" si="338"/>
        <v>False</v>
      </c>
      <c r="AR503" s="1" t="str">
        <f t="shared" si="374"/>
        <v>TOMAS</v>
      </c>
      <c r="AY503" s="1" t="str">
        <f t="shared" si="340"/>
        <v>PF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 t="str">
        <f t="shared" si="375"/>
        <v>GERO TOMAS SUEDE x sfoderato</v>
      </c>
      <c r="BF503" s="1" t="str">
        <f t="shared" si="342"/>
        <v>Bonis SpA</v>
      </c>
      <c r="BO503" s="1">
        <v>0</v>
      </c>
      <c r="BP503" s="1">
        <v>0</v>
      </c>
      <c r="BQ503" s="1">
        <v>0</v>
      </c>
    </row>
    <row r="504" spans="2:69" x14ac:dyDescent="0.25">
      <c r="B504" s="1">
        <v>1757</v>
      </c>
      <c r="C504" s="1" t="str">
        <f t="shared" si="367"/>
        <v>TOMAS4026S7E/S2</v>
      </c>
      <c r="D504" s="1" t="str">
        <f>"ODV16N02275-003"</f>
        <v>ODV16N02275-003</v>
      </c>
      <c r="E504" s="1" t="str">
        <f t="shared" si="368"/>
        <v>A8 USPA</v>
      </c>
      <c r="F504" s="1" t="str">
        <f t="shared" si="319"/>
        <v>BONIS SPA</v>
      </c>
      <c r="G504" s="1" t="str">
        <f t="shared" si="320"/>
        <v>STOCK TERRA MP</v>
      </c>
      <c r="H504" s="1" t="str">
        <f t="shared" si="369"/>
        <v>BLU</v>
      </c>
      <c r="J504" s="1">
        <v>1</v>
      </c>
      <c r="K504" s="1">
        <f t="shared" si="365"/>
        <v>8</v>
      </c>
      <c r="L504" s="1" t="str">
        <f t="shared" si="323"/>
        <v>01</v>
      </c>
      <c r="M504" s="1" t="str">
        <f t="shared" si="360"/>
        <v>102</v>
      </c>
      <c r="N504" s="1" t="str">
        <f t="shared" si="370"/>
        <v>011</v>
      </c>
      <c r="O504" s="1" t="str">
        <f t="shared" si="325"/>
        <v>00</v>
      </c>
      <c r="P504" s="1" t="str">
        <f t="shared" si="326"/>
        <v>S</v>
      </c>
      <c r="Q504" s="1" t="str">
        <f t="shared" si="327"/>
        <v>P</v>
      </c>
      <c r="R504" s="1" t="str">
        <f t="shared" si="328"/>
        <v>01</v>
      </c>
      <c r="S504" s="1" t="str">
        <f t="shared" si="329"/>
        <v>03</v>
      </c>
      <c r="T504" s="1" t="str">
        <f t="shared" si="330"/>
        <v>False</v>
      </c>
      <c r="U504" s="1" t="str">
        <f t="shared" si="331"/>
        <v>True</v>
      </c>
      <c r="V504" s="1" t="str">
        <f t="shared" si="371"/>
        <v>U0023787</v>
      </c>
      <c r="W504" s="1">
        <v>1</v>
      </c>
      <c r="Y504" s="1">
        <v>0</v>
      </c>
      <c r="Z504" s="1">
        <v>0</v>
      </c>
      <c r="AB504" s="1" t="str">
        <f t="shared" si="372"/>
        <v>ECOM</v>
      </c>
      <c r="AG504" s="1">
        <v>0</v>
      </c>
      <c r="AH504" s="1">
        <v>0</v>
      </c>
      <c r="AI504" s="1" t="str">
        <f t="shared" si="366"/>
        <v>F06</v>
      </c>
      <c r="AJ504" s="1" t="str">
        <f t="shared" si="373"/>
        <v>MAN</v>
      </c>
      <c r="AK504" s="1" t="str">
        <f t="shared" si="337"/>
        <v>PA</v>
      </c>
      <c r="AP504" s="1" t="str">
        <f t="shared" si="338"/>
        <v>False</v>
      </c>
      <c r="AR504" s="1" t="str">
        <f t="shared" si="374"/>
        <v>TOMAS</v>
      </c>
      <c r="AY504" s="1" t="str">
        <f t="shared" si="340"/>
        <v>PF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 t="str">
        <f t="shared" si="375"/>
        <v>GERO TOMAS SUEDE x sfoderato</v>
      </c>
      <c r="BF504" s="1" t="str">
        <f t="shared" si="342"/>
        <v>Bonis SpA</v>
      </c>
      <c r="BO504" s="1">
        <v>0</v>
      </c>
      <c r="BP504" s="1">
        <v>0</v>
      </c>
      <c r="BQ504" s="1">
        <v>0</v>
      </c>
    </row>
    <row r="505" spans="2:69" x14ac:dyDescent="0.25">
      <c r="B505" s="1">
        <v>1757</v>
      </c>
      <c r="C505" s="1" t="str">
        <f t="shared" si="367"/>
        <v>TOMAS4026S7E/S2</v>
      </c>
      <c r="D505" s="1" t="str">
        <f>"ODV16N02275-004"</f>
        <v>ODV16N02275-004</v>
      </c>
      <c r="E505" s="1" t="str">
        <f t="shared" si="368"/>
        <v>A8 USPA</v>
      </c>
      <c r="F505" s="1" t="str">
        <f t="shared" si="319"/>
        <v>BONIS SPA</v>
      </c>
      <c r="G505" s="1" t="str">
        <f t="shared" si="320"/>
        <v>STOCK TERRA MP</v>
      </c>
      <c r="H505" s="1" t="str">
        <f t="shared" si="369"/>
        <v>BLU</v>
      </c>
      <c r="J505" s="1">
        <v>1</v>
      </c>
      <c r="K505" s="1">
        <f t="shared" si="365"/>
        <v>8</v>
      </c>
      <c r="L505" s="1" t="str">
        <f t="shared" si="323"/>
        <v>01</v>
      </c>
      <c r="M505" s="1" t="str">
        <f t="shared" si="360"/>
        <v>102</v>
      </c>
      <c r="N505" s="1" t="str">
        <f t="shared" si="370"/>
        <v>011</v>
      </c>
      <c r="O505" s="1" t="str">
        <f t="shared" si="325"/>
        <v>00</v>
      </c>
      <c r="P505" s="1" t="str">
        <f t="shared" si="326"/>
        <v>S</v>
      </c>
      <c r="Q505" s="1" t="str">
        <f t="shared" si="327"/>
        <v>P</v>
      </c>
      <c r="R505" s="1" t="str">
        <f t="shared" si="328"/>
        <v>01</v>
      </c>
      <c r="S505" s="1" t="str">
        <f t="shared" si="329"/>
        <v>03</v>
      </c>
      <c r="T505" s="1" t="str">
        <f t="shared" si="330"/>
        <v>False</v>
      </c>
      <c r="U505" s="1" t="str">
        <f t="shared" si="331"/>
        <v>True</v>
      </c>
      <c r="V505" s="1" t="str">
        <f t="shared" si="371"/>
        <v>U0023787</v>
      </c>
      <c r="W505" s="1">
        <v>1</v>
      </c>
      <c r="Y505" s="1">
        <v>0</v>
      </c>
      <c r="Z505" s="1">
        <v>0</v>
      </c>
      <c r="AB505" s="1" t="str">
        <f t="shared" si="372"/>
        <v>ECOM</v>
      </c>
      <c r="AG505" s="1">
        <v>0</v>
      </c>
      <c r="AH505" s="1">
        <v>0</v>
      </c>
      <c r="AI505" s="1" t="str">
        <f t="shared" si="366"/>
        <v>F06</v>
      </c>
      <c r="AJ505" s="1" t="str">
        <f t="shared" si="373"/>
        <v>MAN</v>
      </c>
      <c r="AK505" s="1" t="str">
        <f t="shared" si="337"/>
        <v>PA</v>
      </c>
      <c r="AP505" s="1" t="str">
        <f t="shared" si="338"/>
        <v>False</v>
      </c>
      <c r="AR505" s="1" t="str">
        <f t="shared" si="374"/>
        <v>TOMAS</v>
      </c>
      <c r="AY505" s="1" t="str">
        <f t="shared" si="340"/>
        <v>PF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 t="str">
        <f t="shared" si="375"/>
        <v>GERO TOMAS SUEDE x sfoderato</v>
      </c>
      <c r="BF505" s="1" t="str">
        <f t="shared" si="342"/>
        <v>Bonis SpA</v>
      </c>
      <c r="BO505" s="1">
        <v>0</v>
      </c>
      <c r="BP505" s="1">
        <v>0</v>
      </c>
      <c r="BQ505" s="1">
        <v>0</v>
      </c>
    </row>
    <row r="506" spans="2:69" x14ac:dyDescent="0.25">
      <c r="B506" s="1">
        <v>1757</v>
      </c>
      <c r="C506" s="1" t="str">
        <f t="shared" si="367"/>
        <v>TOMAS4026S7E/S2</v>
      </c>
      <c r="D506" s="1" t="str">
        <f>"ODV16N02275-005"</f>
        <v>ODV16N02275-005</v>
      </c>
      <c r="E506" s="1" t="str">
        <f t="shared" si="368"/>
        <v>A8 USPA</v>
      </c>
      <c r="F506" s="1" t="str">
        <f t="shared" si="319"/>
        <v>BONIS SPA</v>
      </c>
      <c r="G506" s="1" t="str">
        <f t="shared" si="320"/>
        <v>STOCK TERRA MP</v>
      </c>
      <c r="H506" s="1" t="str">
        <f t="shared" si="369"/>
        <v>BLU</v>
      </c>
      <c r="J506" s="1">
        <v>1</v>
      </c>
      <c r="K506" s="1">
        <f t="shared" si="365"/>
        <v>8</v>
      </c>
      <c r="L506" s="1" t="str">
        <f t="shared" si="323"/>
        <v>01</v>
      </c>
      <c r="M506" s="1" t="str">
        <f t="shared" si="360"/>
        <v>102</v>
      </c>
      <c r="N506" s="1" t="str">
        <f t="shared" si="370"/>
        <v>011</v>
      </c>
      <c r="O506" s="1" t="str">
        <f t="shared" si="325"/>
        <v>00</v>
      </c>
      <c r="P506" s="1" t="str">
        <f t="shared" si="326"/>
        <v>S</v>
      </c>
      <c r="Q506" s="1" t="str">
        <f t="shared" si="327"/>
        <v>P</v>
      </c>
      <c r="R506" s="1" t="str">
        <f t="shared" si="328"/>
        <v>01</v>
      </c>
      <c r="S506" s="1" t="str">
        <f t="shared" si="329"/>
        <v>03</v>
      </c>
      <c r="T506" s="1" t="str">
        <f t="shared" si="330"/>
        <v>False</v>
      </c>
      <c r="U506" s="1" t="str">
        <f t="shared" si="331"/>
        <v>True</v>
      </c>
      <c r="V506" s="1" t="str">
        <f t="shared" si="371"/>
        <v>U0023787</v>
      </c>
      <c r="W506" s="1">
        <v>1</v>
      </c>
      <c r="Y506" s="1">
        <v>0</v>
      </c>
      <c r="Z506" s="1">
        <v>0</v>
      </c>
      <c r="AB506" s="1" t="str">
        <f t="shared" si="372"/>
        <v>ECOM</v>
      </c>
      <c r="AG506" s="1">
        <v>0</v>
      </c>
      <c r="AH506" s="1">
        <v>0</v>
      </c>
      <c r="AI506" s="1" t="str">
        <f t="shared" si="366"/>
        <v>F06</v>
      </c>
      <c r="AJ506" s="1" t="str">
        <f t="shared" si="373"/>
        <v>MAN</v>
      </c>
      <c r="AK506" s="1" t="str">
        <f t="shared" si="337"/>
        <v>PA</v>
      </c>
      <c r="AP506" s="1" t="str">
        <f t="shared" si="338"/>
        <v>False</v>
      </c>
      <c r="AR506" s="1" t="str">
        <f t="shared" si="374"/>
        <v>TOMAS</v>
      </c>
      <c r="AY506" s="1" t="str">
        <f t="shared" si="340"/>
        <v>PF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 t="str">
        <f t="shared" si="375"/>
        <v>GERO TOMAS SUEDE x sfoderato</v>
      </c>
      <c r="BF506" s="1" t="str">
        <f t="shared" si="342"/>
        <v>Bonis SpA</v>
      </c>
      <c r="BO506" s="1">
        <v>0</v>
      </c>
      <c r="BP506" s="1">
        <v>0</v>
      </c>
      <c r="BQ506" s="1">
        <v>0</v>
      </c>
    </row>
    <row r="507" spans="2:69" x14ac:dyDescent="0.25">
      <c r="B507" s="1">
        <v>1757</v>
      </c>
      <c r="C507" s="1" t="str">
        <f t="shared" si="367"/>
        <v>TOMAS4026S7E/S2</v>
      </c>
      <c r="D507" s="1" t="str">
        <f>"ODV16N02275-006"</f>
        <v>ODV16N02275-006</v>
      </c>
      <c r="E507" s="1" t="str">
        <f t="shared" si="368"/>
        <v>A8 USPA</v>
      </c>
      <c r="F507" s="1" t="str">
        <f t="shared" si="319"/>
        <v>BONIS SPA</v>
      </c>
      <c r="G507" s="1" t="str">
        <f t="shared" si="320"/>
        <v>STOCK TERRA MP</v>
      </c>
      <c r="H507" s="1" t="str">
        <f t="shared" si="369"/>
        <v>BLU</v>
      </c>
      <c r="J507" s="1">
        <v>1</v>
      </c>
      <c r="K507" s="1">
        <f t="shared" si="365"/>
        <v>8</v>
      </c>
      <c r="L507" s="1" t="str">
        <f t="shared" si="323"/>
        <v>01</v>
      </c>
      <c r="M507" s="1" t="str">
        <f t="shared" si="360"/>
        <v>102</v>
      </c>
      <c r="N507" s="1" t="str">
        <f t="shared" si="370"/>
        <v>011</v>
      </c>
      <c r="O507" s="1" t="str">
        <f t="shared" si="325"/>
        <v>00</v>
      </c>
      <c r="P507" s="1" t="str">
        <f t="shared" si="326"/>
        <v>S</v>
      </c>
      <c r="Q507" s="1" t="str">
        <f t="shared" si="327"/>
        <v>P</v>
      </c>
      <c r="R507" s="1" t="str">
        <f t="shared" si="328"/>
        <v>01</v>
      </c>
      <c r="S507" s="1" t="str">
        <f t="shared" si="329"/>
        <v>03</v>
      </c>
      <c r="T507" s="1" t="str">
        <f t="shared" si="330"/>
        <v>False</v>
      </c>
      <c r="U507" s="1" t="str">
        <f t="shared" si="331"/>
        <v>True</v>
      </c>
      <c r="V507" s="1" t="str">
        <f t="shared" si="371"/>
        <v>U0023787</v>
      </c>
      <c r="W507" s="1">
        <v>1</v>
      </c>
      <c r="Y507" s="1">
        <v>0</v>
      </c>
      <c r="Z507" s="1">
        <v>0</v>
      </c>
      <c r="AB507" s="1" t="str">
        <f t="shared" si="372"/>
        <v>ECOM</v>
      </c>
      <c r="AG507" s="1">
        <v>0</v>
      </c>
      <c r="AH507" s="1">
        <v>0</v>
      </c>
      <c r="AI507" s="1" t="str">
        <f t="shared" si="366"/>
        <v>F06</v>
      </c>
      <c r="AJ507" s="1" t="str">
        <f t="shared" si="373"/>
        <v>MAN</v>
      </c>
      <c r="AK507" s="1" t="str">
        <f t="shared" si="337"/>
        <v>PA</v>
      </c>
      <c r="AP507" s="1" t="str">
        <f t="shared" si="338"/>
        <v>False</v>
      </c>
      <c r="AR507" s="1" t="str">
        <f t="shared" si="374"/>
        <v>TOMAS</v>
      </c>
      <c r="AY507" s="1" t="str">
        <f t="shared" si="340"/>
        <v>PF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 t="str">
        <f t="shared" si="375"/>
        <v>GERO TOMAS SUEDE x sfoderato</v>
      </c>
      <c r="BF507" s="1" t="str">
        <f t="shared" si="342"/>
        <v>Bonis SpA</v>
      </c>
      <c r="BO507" s="1">
        <v>0</v>
      </c>
      <c r="BP507" s="1">
        <v>0</v>
      </c>
      <c r="BQ507" s="1">
        <v>0</v>
      </c>
    </row>
    <row r="508" spans="2:69" x14ac:dyDescent="0.25">
      <c r="B508" s="1">
        <v>1757</v>
      </c>
      <c r="C508" s="1" t="str">
        <f t="shared" si="367"/>
        <v>TOMAS4026S7E/S2</v>
      </c>
      <c r="D508" s="1" t="str">
        <f>"ODV16N02275-007"</f>
        <v>ODV16N02275-007</v>
      </c>
      <c r="E508" s="1" t="str">
        <f t="shared" si="368"/>
        <v>A8 USPA</v>
      </c>
      <c r="F508" s="1" t="str">
        <f t="shared" si="319"/>
        <v>BONIS SPA</v>
      </c>
      <c r="G508" s="1" t="str">
        <f t="shared" si="320"/>
        <v>STOCK TERRA MP</v>
      </c>
      <c r="H508" s="1" t="str">
        <f t="shared" si="369"/>
        <v>BLU</v>
      </c>
      <c r="J508" s="1">
        <v>1</v>
      </c>
      <c r="K508" s="1">
        <f t="shared" si="365"/>
        <v>8</v>
      </c>
      <c r="L508" s="1" t="str">
        <f t="shared" si="323"/>
        <v>01</v>
      </c>
      <c r="M508" s="1" t="str">
        <f t="shared" si="360"/>
        <v>102</v>
      </c>
      <c r="N508" s="1" t="str">
        <f t="shared" si="370"/>
        <v>011</v>
      </c>
      <c r="O508" s="1" t="str">
        <f t="shared" si="325"/>
        <v>00</v>
      </c>
      <c r="P508" s="1" t="str">
        <f t="shared" si="326"/>
        <v>S</v>
      </c>
      <c r="Q508" s="1" t="str">
        <f t="shared" si="327"/>
        <v>P</v>
      </c>
      <c r="R508" s="1" t="str">
        <f t="shared" si="328"/>
        <v>01</v>
      </c>
      <c r="S508" s="1" t="str">
        <f t="shared" si="329"/>
        <v>03</v>
      </c>
      <c r="T508" s="1" t="str">
        <f t="shared" si="330"/>
        <v>False</v>
      </c>
      <c r="U508" s="1" t="str">
        <f t="shared" si="331"/>
        <v>True</v>
      </c>
      <c r="V508" s="1" t="str">
        <f t="shared" si="371"/>
        <v>U0023787</v>
      </c>
      <c r="W508" s="1">
        <v>1</v>
      </c>
      <c r="Y508" s="1">
        <v>0</v>
      </c>
      <c r="Z508" s="1">
        <v>0</v>
      </c>
      <c r="AB508" s="1" t="str">
        <f t="shared" si="372"/>
        <v>ECOM</v>
      </c>
      <c r="AG508" s="1">
        <v>0</v>
      </c>
      <c r="AH508" s="1">
        <v>0</v>
      </c>
      <c r="AI508" s="1" t="str">
        <f t="shared" si="366"/>
        <v>F06</v>
      </c>
      <c r="AJ508" s="1" t="str">
        <f t="shared" si="373"/>
        <v>MAN</v>
      </c>
      <c r="AK508" s="1" t="str">
        <f t="shared" si="337"/>
        <v>PA</v>
      </c>
      <c r="AP508" s="1" t="str">
        <f t="shared" si="338"/>
        <v>False</v>
      </c>
      <c r="AR508" s="1" t="str">
        <f t="shared" si="374"/>
        <v>TOMAS</v>
      </c>
      <c r="AY508" s="1" t="str">
        <f t="shared" si="340"/>
        <v>PF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 t="str">
        <f t="shared" si="375"/>
        <v>GERO TOMAS SUEDE x sfoderato</v>
      </c>
      <c r="BF508" s="1" t="str">
        <f t="shared" si="342"/>
        <v>Bonis SpA</v>
      </c>
      <c r="BO508" s="1">
        <v>0</v>
      </c>
      <c r="BP508" s="1">
        <v>0</v>
      </c>
      <c r="BQ508" s="1">
        <v>0</v>
      </c>
    </row>
    <row r="509" spans="2:69" x14ac:dyDescent="0.25">
      <c r="B509" s="1">
        <v>1757</v>
      </c>
      <c r="C509" s="1" t="str">
        <f t="shared" si="367"/>
        <v>TOMAS4026S7E/S2</v>
      </c>
      <c r="D509" s="1" t="str">
        <f>"ODV16N02275-008"</f>
        <v>ODV16N02275-008</v>
      </c>
      <c r="E509" s="1" t="str">
        <f t="shared" si="368"/>
        <v>A8 USPA</v>
      </c>
      <c r="F509" s="1" t="str">
        <f t="shared" si="319"/>
        <v>BONIS SPA</v>
      </c>
      <c r="G509" s="1" t="str">
        <f t="shared" si="320"/>
        <v>STOCK TERRA MP</v>
      </c>
      <c r="H509" s="1" t="str">
        <f t="shared" si="369"/>
        <v>BLU</v>
      </c>
      <c r="J509" s="1">
        <v>1</v>
      </c>
      <c r="K509" s="1">
        <f t="shared" si="365"/>
        <v>8</v>
      </c>
      <c r="L509" s="1" t="str">
        <f t="shared" si="323"/>
        <v>01</v>
      </c>
      <c r="M509" s="1" t="str">
        <f t="shared" si="360"/>
        <v>102</v>
      </c>
      <c r="N509" s="1" t="str">
        <f t="shared" si="370"/>
        <v>011</v>
      </c>
      <c r="O509" s="1" t="str">
        <f t="shared" si="325"/>
        <v>00</v>
      </c>
      <c r="P509" s="1" t="str">
        <f t="shared" si="326"/>
        <v>S</v>
      </c>
      <c r="Q509" s="1" t="str">
        <f t="shared" si="327"/>
        <v>P</v>
      </c>
      <c r="R509" s="1" t="str">
        <f t="shared" si="328"/>
        <v>01</v>
      </c>
      <c r="S509" s="1" t="str">
        <f t="shared" si="329"/>
        <v>03</v>
      </c>
      <c r="T509" s="1" t="str">
        <f t="shared" si="330"/>
        <v>False</v>
      </c>
      <c r="U509" s="1" t="str">
        <f t="shared" si="331"/>
        <v>True</v>
      </c>
      <c r="V509" s="1" t="str">
        <f t="shared" si="371"/>
        <v>U0023787</v>
      </c>
      <c r="W509" s="1">
        <v>1</v>
      </c>
      <c r="Y509" s="1">
        <v>0</v>
      </c>
      <c r="Z509" s="1">
        <v>0</v>
      </c>
      <c r="AB509" s="1" t="str">
        <f t="shared" si="372"/>
        <v>ECOM</v>
      </c>
      <c r="AG509" s="1">
        <v>0</v>
      </c>
      <c r="AH509" s="1">
        <v>0</v>
      </c>
      <c r="AI509" s="1" t="str">
        <f t="shared" si="366"/>
        <v>F06</v>
      </c>
      <c r="AJ509" s="1" t="str">
        <f t="shared" si="373"/>
        <v>MAN</v>
      </c>
      <c r="AK509" s="1" t="str">
        <f t="shared" si="337"/>
        <v>PA</v>
      </c>
      <c r="AP509" s="1" t="str">
        <f t="shared" si="338"/>
        <v>False</v>
      </c>
      <c r="AR509" s="1" t="str">
        <f t="shared" si="374"/>
        <v>TOMAS</v>
      </c>
      <c r="AY509" s="1" t="str">
        <f t="shared" si="340"/>
        <v>PF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 t="str">
        <f t="shared" si="375"/>
        <v>GERO TOMAS SUEDE x sfoderato</v>
      </c>
      <c r="BF509" s="1" t="str">
        <f t="shared" si="342"/>
        <v>Bonis SpA</v>
      </c>
      <c r="BO509" s="1">
        <v>0</v>
      </c>
      <c r="BP509" s="1">
        <v>0</v>
      </c>
      <c r="BQ509" s="1">
        <v>0</v>
      </c>
    </row>
    <row r="510" spans="2:69" x14ac:dyDescent="0.25">
      <c r="B510" s="1">
        <v>1757</v>
      </c>
      <c r="C510" s="1" t="str">
        <f t="shared" si="367"/>
        <v>TOMAS4026S7E/S2</v>
      </c>
      <c r="D510" s="1" t="str">
        <f>"ODV16N02275-009"</f>
        <v>ODV16N02275-009</v>
      </c>
      <c r="E510" s="1" t="str">
        <f t="shared" si="368"/>
        <v>A8 USPA</v>
      </c>
      <c r="F510" s="1" t="str">
        <f t="shared" si="319"/>
        <v>BONIS SPA</v>
      </c>
      <c r="G510" s="1" t="str">
        <f t="shared" si="320"/>
        <v>STOCK TERRA MP</v>
      </c>
      <c r="H510" s="1" t="str">
        <f t="shared" si="369"/>
        <v>BLU</v>
      </c>
      <c r="J510" s="1">
        <v>1</v>
      </c>
      <c r="K510" s="1">
        <f t="shared" si="365"/>
        <v>8</v>
      </c>
      <c r="L510" s="1" t="str">
        <f t="shared" si="323"/>
        <v>01</v>
      </c>
      <c r="M510" s="1" t="str">
        <f t="shared" si="360"/>
        <v>102</v>
      </c>
      <c r="N510" s="1" t="str">
        <f t="shared" si="370"/>
        <v>011</v>
      </c>
      <c r="O510" s="1" t="str">
        <f t="shared" si="325"/>
        <v>00</v>
      </c>
      <c r="P510" s="1" t="str">
        <f t="shared" si="326"/>
        <v>S</v>
      </c>
      <c r="Q510" s="1" t="str">
        <f t="shared" si="327"/>
        <v>P</v>
      </c>
      <c r="R510" s="1" t="str">
        <f t="shared" si="328"/>
        <v>01</v>
      </c>
      <c r="S510" s="1" t="str">
        <f t="shared" si="329"/>
        <v>03</v>
      </c>
      <c r="T510" s="1" t="str">
        <f t="shared" si="330"/>
        <v>False</v>
      </c>
      <c r="U510" s="1" t="str">
        <f t="shared" si="331"/>
        <v>True</v>
      </c>
      <c r="V510" s="1" t="str">
        <f t="shared" si="371"/>
        <v>U0023787</v>
      </c>
      <c r="W510" s="1">
        <v>1</v>
      </c>
      <c r="Y510" s="1">
        <v>0</v>
      </c>
      <c r="Z510" s="1">
        <v>0</v>
      </c>
      <c r="AB510" s="1" t="str">
        <f t="shared" si="372"/>
        <v>ECOM</v>
      </c>
      <c r="AG510" s="1">
        <v>0</v>
      </c>
      <c r="AH510" s="1">
        <v>0</v>
      </c>
      <c r="AI510" s="1" t="str">
        <f t="shared" si="366"/>
        <v>F06</v>
      </c>
      <c r="AJ510" s="1" t="str">
        <f t="shared" si="373"/>
        <v>MAN</v>
      </c>
      <c r="AK510" s="1" t="str">
        <f t="shared" si="337"/>
        <v>PA</v>
      </c>
      <c r="AP510" s="1" t="str">
        <f t="shared" si="338"/>
        <v>False</v>
      </c>
      <c r="AR510" s="1" t="str">
        <f t="shared" si="374"/>
        <v>TOMAS</v>
      </c>
      <c r="AY510" s="1" t="str">
        <f t="shared" si="340"/>
        <v>PF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 t="str">
        <f t="shared" si="375"/>
        <v>GERO TOMAS SUEDE x sfoderato</v>
      </c>
      <c r="BF510" s="1" t="str">
        <f t="shared" si="342"/>
        <v>Bonis SpA</v>
      </c>
      <c r="BO510" s="1">
        <v>0</v>
      </c>
      <c r="BP510" s="1">
        <v>0</v>
      </c>
      <c r="BQ510" s="1">
        <v>0</v>
      </c>
    </row>
    <row r="511" spans="2:69" x14ac:dyDescent="0.25">
      <c r="B511" s="1">
        <v>1757</v>
      </c>
      <c r="C511" s="1" t="str">
        <f t="shared" si="367"/>
        <v>TOMAS4026S7E/S2</v>
      </c>
      <c r="D511" s="1" t="str">
        <f>"ODV16N02275-011"</f>
        <v>ODV16N02275-011</v>
      </c>
      <c r="E511" s="1" t="str">
        <f t="shared" si="368"/>
        <v>A8 USPA</v>
      </c>
      <c r="F511" s="1" t="str">
        <f t="shared" si="319"/>
        <v>BONIS SPA</v>
      </c>
      <c r="G511" s="1" t="str">
        <f t="shared" si="320"/>
        <v>STOCK TERRA MP</v>
      </c>
      <c r="H511" s="1" t="str">
        <f t="shared" si="369"/>
        <v>BLU</v>
      </c>
      <c r="J511" s="1">
        <v>1</v>
      </c>
      <c r="K511" s="1">
        <f t="shared" si="365"/>
        <v>8</v>
      </c>
      <c r="L511" s="1" t="str">
        <f t="shared" si="323"/>
        <v>01</v>
      </c>
      <c r="M511" s="1" t="str">
        <f t="shared" si="360"/>
        <v>102</v>
      </c>
      <c r="N511" s="1" t="str">
        <f t="shared" si="370"/>
        <v>011</v>
      </c>
      <c r="O511" s="1" t="str">
        <f t="shared" si="325"/>
        <v>00</v>
      </c>
      <c r="P511" s="1" t="str">
        <f t="shared" si="326"/>
        <v>S</v>
      </c>
      <c r="Q511" s="1" t="str">
        <f t="shared" si="327"/>
        <v>P</v>
      </c>
      <c r="R511" s="1" t="str">
        <f t="shared" si="328"/>
        <v>01</v>
      </c>
      <c r="S511" s="1" t="str">
        <f t="shared" si="329"/>
        <v>03</v>
      </c>
      <c r="T511" s="1" t="str">
        <f t="shared" si="330"/>
        <v>False</v>
      </c>
      <c r="U511" s="1" t="str">
        <f t="shared" si="331"/>
        <v>True</v>
      </c>
      <c r="V511" s="1" t="str">
        <f t="shared" si="371"/>
        <v>U0023787</v>
      </c>
      <c r="W511" s="1">
        <v>1</v>
      </c>
      <c r="Y511" s="1">
        <v>0</v>
      </c>
      <c r="Z511" s="1">
        <v>0</v>
      </c>
      <c r="AB511" s="1" t="str">
        <f t="shared" si="372"/>
        <v>ECOM</v>
      </c>
      <c r="AG511" s="1">
        <v>0</v>
      </c>
      <c r="AH511" s="1">
        <v>0</v>
      </c>
      <c r="AI511" s="1" t="str">
        <f t="shared" si="366"/>
        <v>F06</v>
      </c>
      <c r="AJ511" s="1" t="str">
        <f t="shared" si="373"/>
        <v>MAN</v>
      </c>
      <c r="AK511" s="1" t="str">
        <f t="shared" si="337"/>
        <v>PA</v>
      </c>
      <c r="AP511" s="1" t="str">
        <f t="shared" si="338"/>
        <v>False</v>
      </c>
      <c r="AR511" s="1" t="str">
        <f t="shared" si="374"/>
        <v>TOMAS</v>
      </c>
      <c r="AY511" s="1" t="str">
        <f t="shared" si="340"/>
        <v>PF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 t="str">
        <f t="shared" si="375"/>
        <v>GERO TOMAS SUEDE x sfoderato</v>
      </c>
      <c r="BF511" s="1" t="str">
        <f t="shared" si="342"/>
        <v>Bonis SpA</v>
      </c>
      <c r="BO511" s="1">
        <v>0</v>
      </c>
      <c r="BP511" s="1">
        <v>0</v>
      </c>
      <c r="BQ511" s="1">
        <v>0</v>
      </c>
    </row>
    <row r="512" spans="2:69" x14ac:dyDescent="0.25">
      <c r="B512" s="1">
        <v>1757</v>
      </c>
      <c r="C512" s="1" t="str">
        <f t="shared" si="367"/>
        <v>TOMAS4026S7E/S2</v>
      </c>
      <c r="D512" s="1" t="str">
        <f>"ODV16N02275-012"</f>
        <v>ODV16N02275-012</v>
      </c>
      <c r="E512" s="1" t="str">
        <f t="shared" si="368"/>
        <v>A8 USPA</v>
      </c>
      <c r="F512" s="1" t="str">
        <f t="shared" si="319"/>
        <v>BONIS SPA</v>
      </c>
      <c r="G512" s="1" t="str">
        <f t="shared" si="320"/>
        <v>STOCK TERRA MP</v>
      </c>
      <c r="H512" s="1" t="str">
        <f t="shared" si="369"/>
        <v>BLU</v>
      </c>
      <c r="J512" s="1">
        <v>1</v>
      </c>
      <c r="K512" s="1">
        <f t="shared" si="365"/>
        <v>8</v>
      </c>
      <c r="L512" s="1" t="str">
        <f t="shared" si="323"/>
        <v>01</v>
      </c>
      <c r="M512" s="1" t="str">
        <f t="shared" si="360"/>
        <v>102</v>
      </c>
      <c r="N512" s="1" t="str">
        <f t="shared" si="370"/>
        <v>011</v>
      </c>
      <c r="O512" s="1" t="str">
        <f t="shared" si="325"/>
        <v>00</v>
      </c>
      <c r="P512" s="1" t="str">
        <f t="shared" si="326"/>
        <v>S</v>
      </c>
      <c r="Q512" s="1" t="str">
        <f t="shared" si="327"/>
        <v>P</v>
      </c>
      <c r="R512" s="1" t="str">
        <f t="shared" si="328"/>
        <v>01</v>
      </c>
      <c r="S512" s="1" t="str">
        <f t="shared" si="329"/>
        <v>03</v>
      </c>
      <c r="T512" s="1" t="str">
        <f t="shared" si="330"/>
        <v>False</v>
      </c>
      <c r="U512" s="1" t="str">
        <f t="shared" si="331"/>
        <v>True</v>
      </c>
      <c r="V512" s="1" t="str">
        <f t="shared" si="371"/>
        <v>U0023787</v>
      </c>
      <c r="W512" s="1">
        <v>1</v>
      </c>
      <c r="Y512" s="1">
        <v>0</v>
      </c>
      <c r="Z512" s="1">
        <v>0</v>
      </c>
      <c r="AB512" s="1" t="str">
        <f t="shared" si="372"/>
        <v>ECOM</v>
      </c>
      <c r="AG512" s="1">
        <v>0</v>
      </c>
      <c r="AH512" s="1">
        <v>0</v>
      </c>
      <c r="AI512" s="1" t="str">
        <f t="shared" si="366"/>
        <v>F06</v>
      </c>
      <c r="AJ512" s="1" t="str">
        <f t="shared" si="373"/>
        <v>MAN</v>
      </c>
      <c r="AK512" s="1" t="str">
        <f t="shared" si="337"/>
        <v>PA</v>
      </c>
      <c r="AP512" s="1" t="str">
        <f t="shared" si="338"/>
        <v>False</v>
      </c>
      <c r="AR512" s="1" t="str">
        <f t="shared" si="374"/>
        <v>TOMAS</v>
      </c>
      <c r="AY512" s="1" t="str">
        <f t="shared" si="340"/>
        <v>PF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 t="str">
        <f t="shared" si="375"/>
        <v>GERO TOMAS SUEDE x sfoderato</v>
      </c>
      <c r="BF512" s="1" t="str">
        <f t="shared" si="342"/>
        <v>Bonis SpA</v>
      </c>
      <c r="BO512" s="1">
        <v>0</v>
      </c>
      <c r="BP512" s="1">
        <v>0</v>
      </c>
      <c r="BQ512" s="1">
        <v>0</v>
      </c>
    </row>
    <row r="513" spans="2:69" x14ac:dyDescent="0.25">
      <c r="B513" s="1">
        <v>1757</v>
      </c>
      <c r="C513" s="1" t="str">
        <f t="shared" si="367"/>
        <v>TOMAS4026S7E/S2</v>
      </c>
      <c r="D513" s="1" t="str">
        <f>"ODV16N02275-013"</f>
        <v>ODV16N02275-013</v>
      </c>
      <c r="E513" s="1" t="str">
        <f t="shared" si="368"/>
        <v>A8 USPA</v>
      </c>
      <c r="F513" s="1" t="str">
        <f t="shared" si="319"/>
        <v>BONIS SPA</v>
      </c>
      <c r="G513" s="1" t="str">
        <f t="shared" si="320"/>
        <v>STOCK TERRA MP</v>
      </c>
      <c r="H513" s="1" t="str">
        <f t="shared" si="369"/>
        <v>BLU</v>
      </c>
      <c r="J513" s="1">
        <v>1</v>
      </c>
      <c r="K513" s="1">
        <f t="shared" si="365"/>
        <v>8</v>
      </c>
      <c r="L513" s="1" t="str">
        <f t="shared" si="323"/>
        <v>01</v>
      </c>
      <c r="M513" s="1" t="str">
        <f t="shared" si="360"/>
        <v>102</v>
      </c>
      <c r="N513" s="1" t="str">
        <f t="shared" si="370"/>
        <v>011</v>
      </c>
      <c r="O513" s="1" t="str">
        <f t="shared" si="325"/>
        <v>00</v>
      </c>
      <c r="P513" s="1" t="str">
        <f t="shared" si="326"/>
        <v>S</v>
      </c>
      <c r="Q513" s="1" t="str">
        <f t="shared" si="327"/>
        <v>P</v>
      </c>
      <c r="R513" s="1" t="str">
        <f t="shared" si="328"/>
        <v>01</v>
      </c>
      <c r="S513" s="1" t="str">
        <f t="shared" si="329"/>
        <v>03</v>
      </c>
      <c r="T513" s="1" t="str">
        <f t="shared" si="330"/>
        <v>False</v>
      </c>
      <c r="U513" s="1" t="str">
        <f t="shared" si="331"/>
        <v>True</v>
      </c>
      <c r="V513" s="1" t="str">
        <f t="shared" si="371"/>
        <v>U0023787</v>
      </c>
      <c r="W513" s="1">
        <v>1</v>
      </c>
      <c r="Y513" s="1">
        <v>0</v>
      </c>
      <c r="Z513" s="1">
        <v>0</v>
      </c>
      <c r="AB513" s="1" t="str">
        <f t="shared" si="372"/>
        <v>ECOM</v>
      </c>
      <c r="AG513" s="1">
        <v>0</v>
      </c>
      <c r="AH513" s="1">
        <v>0</v>
      </c>
      <c r="AI513" s="1" t="str">
        <f t="shared" si="366"/>
        <v>F06</v>
      </c>
      <c r="AJ513" s="1" t="str">
        <f t="shared" si="373"/>
        <v>MAN</v>
      </c>
      <c r="AK513" s="1" t="str">
        <f t="shared" si="337"/>
        <v>PA</v>
      </c>
      <c r="AP513" s="1" t="str">
        <f t="shared" si="338"/>
        <v>False</v>
      </c>
      <c r="AR513" s="1" t="str">
        <f t="shared" si="374"/>
        <v>TOMAS</v>
      </c>
      <c r="AY513" s="1" t="str">
        <f t="shared" si="340"/>
        <v>PF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 t="str">
        <f t="shared" si="375"/>
        <v>GERO TOMAS SUEDE x sfoderato</v>
      </c>
      <c r="BF513" s="1" t="str">
        <f t="shared" si="342"/>
        <v>Bonis SpA</v>
      </c>
      <c r="BO513" s="1">
        <v>0</v>
      </c>
      <c r="BP513" s="1">
        <v>0</v>
      </c>
      <c r="BQ513" s="1">
        <v>0</v>
      </c>
    </row>
    <row r="514" spans="2:69" x14ac:dyDescent="0.25">
      <c r="B514" s="1">
        <v>1757</v>
      </c>
      <c r="C514" s="1" t="str">
        <f t="shared" si="367"/>
        <v>TOMAS4026S7E/S2</v>
      </c>
      <c r="D514" s="1" t="str">
        <f>"ODV16N02275-014"</f>
        <v>ODV16N02275-014</v>
      </c>
      <c r="E514" s="1" t="str">
        <f t="shared" si="368"/>
        <v>A8 USPA</v>
      </c>
      <c r="F514" s="1" t="str">
        <f t="shared" ref="F514:F577" si="376">"BONIS SPA"</f>
        <v>BONIS SPA</v>
      </c>
      <c r="G514" s="1" t="str">
        <f t="shared" ref="G514:G559" si="377">"STOCK TERRA MP"</f>
        <v>STOCK TERRA MP</v>
      </c>
      <c r="H514" s="1" t="str">
        <f t="shared" si="369"/>
        <v>BLU</v>
      </c>
      <c r="J514" s="1">
        <v>1</v>
      </c>
      <c r="K514" s="1">
        <f t="shared" si="365"/>
        <v>8</v>
      </c>
      <c r="L514" s="1" t="str">
        <f t="shared" ref="L514:L577" si="378">"01"</f>
        <v>01</v>
      </c>
      <c r="M514" s="1" t="str">
        <f t="shared" si="360"/>
        <v>102</v>
      </c>
      <c r="N514" s="1" t="str">
        <f t="shared" si="370"/>
        <v>011</v>
      </c>
      <c r="O514" s="1" t="str">
        <f t="shared" ref="O514:O577" si="379">"00"</f>
        <v>00</v>
      </c>
      <c r="P514" s="1" t="str">
        <f t="shared" ref="P514:P577" si="380">"S"</f>
        <v>S</v>
      </c>
      <c r="Q514" s="1" t="str">
        <f t="shared" ref="Q514:Q577" si="381">"P"</f>
        <v>P</v>
      </c>
      <c r="R514" s="1" t="str">
        <f t="shared" ref="R514:R577" si="382">"01"</f>
        <v>01</v>
      </c>
      <c r="S514" s="1" t="str">
        <f t="shared" ref="S514:S559" si="383">"03"</f>
        <v>03</v>
      </c>
      <c r="T514" s="1" t="str">
        <f t="shared" ref="T514:T577" si="384">"False"</f>
        <v>False</v>
      </c>
      <c r="U514" s="1" t="str">
        <f t="shared" ref="U514:U577" si="385">"True"</f>
        <v>True</v>
      </c>
      <c r="V514" s="1" t="str">
        <f t="shared" si="371"/>
        <v>U0023787</v>
      </c>
      <c r="W514" s="1">
        <v>1</v>
      </c>
      <c r="Y514" s="1">
        <v>0</v>
      </c>
      <c r="Z514" s="1">
        <v>0</v>
      </c>
      <c r="AB514" s="1" t="str">
        <f t="shared" si="372"/>
        <v>ECOM</v>
      </c>
      <c r="AG514" s="1">
        <v>0</v>
      </c>
      <c r="AH514" s="1">
        <v>0</v>
      </c>
      <c r="AI514" s="1" t="str">
        <f t="shared" si="366"/>
        <v>F06</v>
      </c>
      <c r="AJ514" s="1" t="str">
        <f t="shared" si="373"/>
        <v>MAN</v>
      </c>
      <c r="AK514" s="1" t="str">
        <f t="shared" ref="AK514:AK577" si="386">"PA"</f>
        <v>PA</v>
      </c>
      <c r="AP514" s="1" t="str">
        <f t="shared" ref="AP514:AP577" si="387">"False"</f>
        <v>False</v>
      </c>
      <c r="AR514" s="1" t="str">
        <f t="shared" si="374"/>
        <v>TOMAS</v>
      </c>
      <c r="AY514" s="1" t="str">
        <f t="shared" ref="AY514:AY577" si="388">"PF"</f>
        <v>PF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 t="str">
        <f t="shared" si="375"/>
        <v>GERO TOMAS SUEDE x sfoderato</v>
      </c>
      <c r="BF514" s="1" t="str">
        <f t="shared" ref="BF514:BF577" si="389">"Bonis SpA"</f>
        <v>Bonis SpA</v>
      </c>
      <c r="BO514" s="1">
        <v>0</v>
      </c>
      <c r="BP514" s="1">
        <v>0</v>
      </c>
      <c r="BQ514" s="1">
        <v>0</v>
      </c>
    </row>
    <row r="515" spans="2:69" x14ac:dyDescent="0.25">
      <c r="B515" s="1">
        <v>1757</v>
      </c>
      <c r="C515" s="1" t="str">
        <f t="shared" si="367"/>
        <v>TOMAS4026S7E/S2</v>
      </c>
      <c r="D515" s="1" t="str">
        <f>"ODV16N02275-015"</f>
        <v>ODV16N02275-015</v>
      </c>
      <c r="E515" s="1" t="str">
        <f t="shared" si="368"/>
        <v>A8 USPA</v>
      </c>
      <c r="F515" s="1" t="str">
        <f t="shared" si="376"/>
        <v>BONIS SPA</v>
      </c>
      <c r="G515" s="1" t="str">
        <f t="shared" si="377"/>
        <v>STOCK TERRA MP</v>
      </c>
      <c r="H515" s="1" t="str">
        <f t="shared" si="369"/>
        <v>BLU</v>
      </c>
      <c r="J515" s="1">
        <v>1</v>
      </c>
      <c r="K515" s="1">
        <f t="shared" si="365"/>
        <v>8</v>
      </c>
      <c r="L515" s="1" t="str">
        <f t="shared" si="378"/>
        <v>01</v>
      </c>
      <c r="M515" s="1" t="str">
        <f t="shared" si="360"/>
        <v>102</v>
      </c>
      <c r="N515" s="1" t="str">
        <f t="shared" si="370"/>
        <v>011</v>
      </c>
      <c r="O515" s="1" t="str">
        <f t="shared" si="379"/>
        <v>00</v>
      </c>
      <c r="P515" s="1" t="str">
        <f t="shared" si="380"/>
        <v>S</v>
      </c>
      <c r="Q515" s="1" t="str">
        <f t="shared" si="381"/>
        <v>P</v>
      </c>
      <c r="R515" s="1" t="str">
        <f t="shared" si="382"/>
        <v>01</v>
      </c>
      <c r="S515" s="1" t="str">
        <f t="shared" si="383"/>
        <v>03</v>
      </c>
      <c r="T515" s="1" t="str">
        <f t="shared" si="384"/>
        <v>False</v>
      </c>
      <c r="U515" s="1" t="str">
        <f t="shared" si="385"/>
        <v>True</v>
      </c>
      <c r="V515" s="1" t="str">
        <f t="shared" si="371"/>
        <v>U0023787</v>
      </c>
      <c r="W515" s="1">
        <v>1</v>
      </c>
      <c r="Y515" s="1">
        <v>0</v>
      </c>
      <c r="Z515" s="1">
        <v>0</v>
      </c>
      <c r="AB515" s="1" t="str">
        <f t="shared" si="372"/>
        <v>ECOM</v>
      </c>
      <c r="AG515" s="1">
        <v>0</v>
      </c>
      <c r="AH515" s="1">
        <v>0</v>
      </c>
      <c r="AI515" s="1" t="str">
        <f t="shared" si="366"/>
        <v>F06</v>
      </c>
      <c r="AJ515" s="1" t="str">
        <f t="shared" si="373"/>
        <v>MAN</v>
      </c>
      <c r="AK515" s="1" t="str">
        <f t="shared" si="386"/>
        <v>PA</v>
      </c>
      <c r="AP515" s="1" t="str">
        <f t="shared" si="387"/>
        <v>False</v>
      </c>
      <c r="AR515" s="1" t="str">
        <f t="shared" si="374"/>
        <v>TOMAS</v>
      </c>
      <c r="AY515" s="1" t="str">
        <f t="shared" si="388"/>
        <v>PF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 t="str">
        <f t="shared" si="375"/>
        <v>GERO TOMAS SUEDE x sfoderato</v>
      </c>
      <c r="BF515" s="1" t="str">
        <f t="shared" si="389"/>
        <v>Bonis SpA</v>
      </c>
      <c r="BO515" s="1">
        <v>0</v>
      </c>
      <c r="BP515" s="1">
        <v>0</v>
      </c>
      <c r="BQ515" s="1">
        <v>0</v>
      </c>
    </row>
    <row r="516" spans="2:69" x14ac:dyDescent="0.25">
      <c r="B516" s="1">
        <v>1757</v>
      </c>
      <c r="C516" s="1" t="str">
        <f t="shared" si="367"/>
        <v>TOMAS4026S7E/S2</v>
      </c>
      <c r="D516" s="1" t="str">
        <f>"ODV16N02275-016"</f>
        <v>ODV16N02275-016</v>
      </c>
      <c r="E516" s="1" t="str">
        <f t="shared" si="368"/>
        <v>A8 USPA</v>
      </c>
      <c r="F516" s="1" t="str">
        <f t="shared" si="376"/>
        <v>BONIS SPA</v>
      </c>
      <c r="G516" s="1" t="str">
        <f t="shared" si="377"/>
        <v>STOCK TERRA MP</v>
      </c>
      <c r="H516" s="1" t="str">
        <f t="shared" si="369"/>
        <v>BLU</v>
      </c>
      <c r="J516" s="1">
        <v>1</v>
      </c>
      <c r="K516" s="1">
        <f t="shared" si="365"/>
        <v>8</v>
      </c>
      <c r="L516" s="1" t="str">
        <f t="shared" si="378"/>
        <v>01</v>
      </c>
      <c r="M516" s="1" t="str">
        <f t="shared" si="360"/>
        <v>102</v>
      </c>
      <c r="N516" s="1" t="str">
        <f t="shared" si="370"/>
        <v>011</v>
      </c>
      <c r="O516" s="1" t="str">
        <f t="shared" si="379"/>
        <v>00</v>
      </c>
      <c r="P516" s="1" t="str">
        <f t="shared" si="380"/>
        <v>S</v>
      </c>
      <c r="Q516" s="1" t="str">
        <f t="shared" si="381"/>
        <v>P</v>
      </c>
      <c r="R516" s="1" t="str">
        <f t="shared" si="382"/>
        <v>01</v>
      </c>
      <c r="S516" s="1" t="str">
        <f t="shared" si="383"/>
        <v>03</v>
      </c>
      <c r="T516" s="1" t="str">
        <f t="shared" si="384"/>
        <v>False</v>
      </c>
      <c r="U516" s="1" t="str">
        <f t="shared" si="385"/>
        <v>True</v>
      </c>
      <c r="V516" s="1" t="str">
        <f t="shared" si="371"/>
        <v>U0023787</v>
      </c>
      <c r="W516" s="1">
        <v>1</v>
      </c>
      <c r="Y516" s="1">
        <v>0</v>
      </c>
      <c r="Z516" s="1">
        <v>0</v>
      </c>
      <c r="AB516" s="1" t="str">
        <f t="shared" si="372"/>
        <v>ECOM</v>
      </c>
      <c r="AG516" s="1">
        <v>0</v>
      </c>
      <c r="AH516" s="1">
        <v>0</v>
      </c>
      <c r="AI516" s="1" t="str">
        <f t="shared" si="366"/>
        <v>F06</v>
      </c>
      <c r="AJ516" s="1" t="str">
        <f t="shared" si="373"/>
        <v>MAN</v>
      </c>
      <c r="AK516" s="1" t="str">
        <f t="shared" si="386"/>
        <v>PA</v>
      </c>
      <c r="AP516" s="1" t="str">
        <f t="shared" si="387"/>
        <v>False</v>
      </c>
      <c r="AR516" s="1" t="str">
        <f t="shared" si="374"/>
        <v>TOMAS</v>
      </c>
      <c r="AY516" s="1" t="str">
        <f t="shared" si="388"/>
        <v>PF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 t="str">
        <f t="shared" si="375"/>
        <v>GERO TOMAS SUEDE x sfoderato</v>
      </c>
      <c r="BF516" s="1" t="str">
        <f t="shared" si="389"/>
        <v>Bonis SpA</v>
      </c>
      <c r="BO516" s="1">
        <v>0</v>
      </c>
      <c r="BP516" s="1">
        <v>0</v>
      </c>
      <c r="BQ516" s="1">
        <v>0</v>
      </c>
    </row>
    <row r="517" spans="2:69" x14ac:dyDescent="0.25">
      <c r="B517" s="1">
        <v>1757</v>
      </c>
      <c r="C517" s="1" t="str">
        <f t="shared" si="367"/>
        <v>TOMAS4026S7E/S2</v>
      </c>
      <c r="D517" s="1" t="str">
        <f>"ODV16N02275-017"</f>
        <v>ODV16N02275-017</v>
      </c>
      <c r="E517" s="1" t="str">
        <f t="shared" si="368"/>
        <v>A8 USPA</v>
      </c>
      <c r="F517" s="1" t="str">
        <f t="shared" si="376"/>
        <v>BONIS SPA</v>
      </c>
      <c r="G517" s="1" t="str">
        <f t="shared" si="377"/>
        <v>STOCK TERRA MP</v>
      </c>
      <c r="H517" s="1" t="str">
        <f t="shared" si="369"/>
        <v>BLU</v>
      </c>
      <c r="J517" s="1">
        <v>1</v>
      </c>
      <c r="K517" s="1">
        <f t="shared" si="365"/>
        <v>8</v>
      </c>
      <c r="L517" s="1" t="str">
        <f t="shared" si="378"/>
        <v>01</v>
      </c>
      <c r="M517" s="1" t="str">
        <f t="shared" si="360"/>
        <v>102</v>
      </c>
      <c r="N517" s="1" t="str">
        <f t="shared" si="370"/>
        <v>011</v>
      </c>
      <c r="O517" s="1" t="str">
        <f t="shared" si="379"/>
        <v>00</v>
      </c>
      <c r="P517" s="1" t="str">
        <f t="shared" si="380"/>
        <v>S</v>
      </c>
      <c r="Q517" s="1" t="str">
        <f t="shared" si="381"/>
        <v>P</v>
      </c>
      <c r="R517" s="1" t="str">
        <f t="shared" si="382"/>
        <v>01</v>
      </c>
      <c r="S517" s="1" t="str">
        <f t="shared" si="383"/>
        <v>03</v>
      </c>
      <c r="T517" s="1" t="str">
        <f t="shared" si="384"/>
        <v>False</v>
      </c>
      <c r="U517" s="1" t="str">
        <f t="shared" si="385"/>
        <v>True</v>
      </c>
      <c r="V517" s="1" t="str">
        <f t="shared" si="371"/>
        <v>U0023787</v>
      </c>
      <c r="W517" s="1">
        <v>1</v>
      </c>
      <c r="Y517" s="1">
        <v>0</v>
      </c>
      <c r="Z517" s="1">
        <v>0</v>
      </c>
      <c r="AB517" s="1" t="str">
        <f t="shared" si="372"/>
        <v>ECOM</v>
      </c>
      <c r="AG517" s="1">
        <v>0</v>
      </c>
      <c r="AH517" s="1">
        <v>0</v>
      </c>
      <c r="AI517" s="1" t="str">
        <f t="shared" si="366"/>
        <v>F06</v>
      </c>
      <c r="AJ517" s="1" t="str">
        <f t="shared" si="373"/>
        <v>MAN</v>
      </c>
      <c r="AK517" s="1" t="str">
        <f t="shared" si="386"/>
        <v>PA</v>
      </c>
      <c r="AP517" s="1" t="str">
        <f t="shared" si="387"/>
        <v>False</v>
      </c>
      <c r="AR517" s="1" t="str">
        <f t="shared" si="374"/>
        <v>TOMAS</v>
      </c>
      <c r="AY517" s="1" t="str">
        <f t="shared" si="388"/>
        <v>PF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 t="str">
        <f t="shared" si="375"/>
        <v>GERO TOMAS SUEDE x sfoderato</v>
      </c>
      <c r="BF517" s="1" t="str">
        <f t="shared" si="389"/>
        <v>Bonis SpA</v>
      </c>
      <c r="BO517" s="1">
        <v>0</v>
      </c>
      <c r="BP517" s="1">
        <v>0</v>
      </c>
      <c r="BQ517" s="1">
        <v>0</v>
      </c>
    </row>
    <row r="518" spans="2:69" x14ac:dyDescent="0.25">
      <c r="B518" s="1">
        <v>1757</v>
      </c>
      <c r="C518" s="1" t="str">
        <f t="shared" si="367"/>
        <v>TOMAS4026S7E/S2</v>
      </c>
      <c r="D518" s="1" t="str">
        <f>"ODV16N02275-018"</f>
        <v>ODV16N02275-018</v>
      </c>
      <c r="E518" s="1" t="str">
        <f t="shared" si="368"/>
        <v>A8 USPA</v>
      </c>
      <c r="F518" s="1" t="str">
        <f t="shared" si="376"/>
        <v>BONIS SPA</v>
      </c>
      <c r="G518" s="1" t="str">
        <f t="shared" si="377"/>
        <v>STOCK TERRA MP</v>
      </c>
      <c r="H518" s="1" t="str">
        <f t="shared" si="369"/>
        <v>BLU</v>
      </c>
      <c r="J518" s="1">
        <v>1</v>
      </c>
      <c r="K518" s="1">
        <f t="shared" si="365"/>
        <v>8</v>
      </c>
      <c r="L518" s="1" t="str">
        <f t="shared" si="378"/>
        <v>01</v>
      </c>
      <c r="M518" s="1" t="str">
        <f t="shared" si="360"/>
        <v>102</v>
      </c>
      <c r="N518" s="1" t="str">
        <f t="shared" si="370"/>
        <v>011</v>
      </c>
      <c r="O518" s="1" t="str">
        <f t="shared" si="379"/>
        <v>00</v>
      </c>
      <c r="P518" s="1" t="str">
        <f t="shared" si="380"/>
        <v>S</v>
      </c>
      <c r="Q518" s="1" t="str">
        <f t="shared" si="381"/>
        <v>P</v>
      </c>
      <c r="R518" s="1" t="str">
        <f t="shared" si="382"/>
        <v>01</v>
      </c>
      <c r="S518" s="1" t="str">
        <f t="shared" si="383"/>
        <v>03</v>
      </c>
      <c r="T518" s="1" t="str">
        <f t="shared" si="384"/>
        <v>False</v>
      </c>
      <c r="U518" s="1" t="str">
        <f t="shared" si="385"/>
        <v>True</v>
      </c>
      <c r="V518" s="1" t="str">
        <f t="shared" si="371"/>
        <v>U0023787</v>
      </c>
      <c r="W518" s="1">
        <v>1</v>
      </c>
      <c r="Y518" s="1">
        <v>0</v>
      </c>
      <c r="Z518" s="1">
        <v>0</v>
      </c>
      <c r="AB518" s="1" t="str">
        <f t="shared" si="372"/>
        <v>ECOM</v>
      </c>
      <c r="AG518" s="1">
        <v>0</v>
      </c>
      <c r="AH518" s="1">
        <v>0</v>
      </c>
      <c r="AI518" s="1" t="str">
        <f t="shared" si="366"/>
        <v>F06</v>
      </c>
      <c r="AJ518" s="1" t="str">
        <f t="shared" si="373"/>
        <v>MAN</v>
      </c>
      <c r="AK518" s="1" t="str">
        <f t="shared" si="386"/>
        <v>PA</v>
      </c>
      <c r="AP518" s="1" t="str">
        <f t="shared" si="387"/>
        <v>False</v>
      </c>
      <c r="AR518" s="1" t="str">
        <f t="shared" si="374"/>
        <v>TOMAS</v>
      </c>
      <c r="AY518" s="1" t="str">
        <f t="shared" si="388"/>
        <v>PF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 t="str">
        <f t="shared" si="375"/>
        <v>GERO TOMAS SUEDE x sfoderato</v>
      </c>
      <c r="BF518" s="1" t="str">
        <f t="shared" si="389"/>
        <v>Bonis SpA</v>
      </c>
      <c r="BO518" s="1">
        <v>0</v>
      </c>
      <c r="BP518" s="1">
        <v>0</v>
      </c>
      <c r="BQ518" s="1">
        <v>0</v>
      </c>
    </row>
    <row r="519" spans="2:69" x14ac:dyDescent="0.25">
      <c r="B519" s="1">
        <v>1757</v>
      </c>
      <c r="C519" s="1" t="str">
        <f t="shared" si="367"/>
        <v>TOMAS4026S7E/S2</v>
      </c>
      <c r="D519" s="1" t="str">
        <f>"ODV16N02275-019"</f>
        <v>ODV16N02275-019</v>
      </c>
      <c r="E519" s="1" t="str">
        <f t="shared" si="368"/>
        <v>A8 USPA</v>
      </c>
      <c r="F519" s="1" t="str">
        <f t="shared" si="376"/>
        <v>BONIS SPA</v>
      </c>
      <c r="G519" s="1" t="str">
        <f t="shared" si="377"/>
        <v>STOCK TERRA MP</v>
      </c>
      <c r="H519" s="1" t="str">
        <f t="shared" si="369"/>
        <v>BLU</v>
      </c>
      <c r="J519" s="1">
        <v>1</v>
      </c>
      <c r="K519" s="1">
        <f t="shared" si="365"/>
        <v>8</v>
      </c>
      <c r="L519" s="1" t="str">
        <f t="shared" si="378"/>
        <v>01</v>
      </c>
      <c r="M519" s="1" t="str">
        <f t="shared" si="360"/>
        <v>102</v>
      </c>
      <c r="N519" s="1" t="str">
        <f t="shared" si="370"/>
        <v>011</v>
      </c>
      <c r="O519" s="1" t="str">
        <f t="shared" si="379"/>
        <v>00</v>
      </c>
      <c r="P519" s="1" t="str">
        <f t="shared" si="380"/>
        <v>S</v>
      </c>
      <c r="Q519" s="1" t="str">
        <f t="shared" si="381"/>
        <v>P</v>
      </c>
      <c r="R519" s="1" t="str">
        <f t="shared" si="382"/>
        <v>01</v>
      </c>
      <c r="S519" s="1" t="str">
        <f t="shared" si="383"/>
        <v>03</v>
      </c>
      <c r="T519" s="1" t="str">
        <f t="shared" si="384"/>
        <v>False</v>
      </c>
      <c r="U519" s="1" t="str">
        <f t="shared" si="385"/>
        <v>True</v>
      </c>
      <c r="V519" s="1" t="str">
        <f t="shared" si="371"/>
        <v>U0023787</v>
      </c>
      <c r="W519" s="1">
        <v>1</v>
      </c>
      <c r="Y519" s="1">
        <v>0</v>
      </c>
      <c r="Z519" s="1">
        <v>0</v>
      </c>
      <c r="AB519" s="1" t="str">
        <f t="shared" si="372"/>
        <v>ECOM</v>
      </c>
      <c r="AG519" s="1">
        <v>0</v>
      </c>
      <c r="AH519" s="1">
        <v>0</v>
      </c>
      <c r="AI519" s="1" t="str">
        <f t="shared" si="366"/>
        <v>F06</v>
      </c>
      <c r="AJ519" s="1" t="str">
        <f t="shared" si="373"/>
        <v>MAN</v>
      </c>
      <c r="AK519" s="1" t="str">
        <f t="shared" si="386"/>
        <v>PA</v>
      </c>
      <c r="AP519" s="1" t="str">
        <f t="shared" si="387"/>
        <v>False</v>
      </c>
      <c r="AR519" s="1" t="str">
        <f t="shared" si="374"/>
        <v>TOMAS</v>
      </c>
      <c r="AY519" s="1" t="str">
        <f t="shared" si="388"/>
        <v>PF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 t="str">
        <f t="shared" si="375"/>
        <v>GERO TOMAS SUEDE x sfoderato</v>
      </c>
      <c r="BF519" s="1" t="str">
        <f t="shared" si="389"/>
        <v>Bonis SpA</v>
      </c>
      <c r="BO519" s="1">
        <v>0</v>
      </c>
      <c r="BP519" s="1">
        <v>0</v>
      </c>
      <c r="BQ519" s="1">
        <v>0</v>
      </c>
    </row>
    <row r="520" spans="2:69" x14ac:dyDescent="0.25">
      <c r="B520" s="1">
        <v>1757</v>
      </c>
      <c r="C520" s="1" t="str">
        <f t="shared" si="367"/>
        <v>TOMAS4026S7E/S2</v>
      </c>
      <c r="D520" s="1" t="str">
        <f>"ODV16N02275-020"</f>
        <v>ODV16N02275-020</v>
      </c>
      <c r="E520" s="1" t="str">
        <f t="shared" si="368"/>
        <v>A8 USPA</v>
      </c>
      <c r="F520" s="1" t="str">
        <f t="shared" si="376"/>
        <v>BONIS SPA</v>
      </c>
      <c r="G520" s="1" t="str">
        <f t="shared" si="377"/>
        <v>STOCK TERRA MP</v>
      </c>
      <c r="H520" s="1" t="str">
        <f t="shared" si="369"/>
        <v>BLU</v>
      </c>
      <c r="J520" s="1">
        <v>1</v>
      </c>
      <c r="K520" s="1">
        <f t="shared" si="365"/>
        <v>8</v>
      </c>
      <c r="L520" s="1" t="str">
        <f t="shared" si="378"/>
        <v>01</v>
      </c>
      <c r="M520" s="1" t="str">
        <f t="shared" si="360"/>
        <v>102</v>
      </c>
      <c r="N520" s="1" t="str">
        <f t="shared" si="370"/>
        <v>011</v>
      </c>
      <c r="O520" s="1" t="str">
        <f t="shared" si="379"/>
        <v>00</v>
      </c>
      <c r="P520" s="1" t="str">
        <f t="shared" si="380"/>
        <v>S</v>
      </c>
      <c r="Q520" s="1" t="str">
        <f t="shared" si="381"/>
        <v>P</v>
      </c>
      <c r="R520" s="1" t="str">
        <f t="shared" si="382"/>
        <v>01</v>
      </c>
      <c r="S520" s="1" t="str">
        <f t="shared" si="383"/>
        <v>03</v>
      </c>
      <c r="T520" s="1" t="str">
        <f t="shared" si="384"/>
        <v>False</v>
      </c>
      <c r="U520" s="1" t="str">
        <f t="shared" si="385"/>
        <v>True</v>
      </c>
      <c r="V520" s="1" t="str">
        <f t="shared" si="371"/>
        <v>U0023787</v>
      </c>
      <c r="W520" s="1">
        <v>1</v>
      </c>
      <c r="Y520" s="1">
        <v>0</v>
      </c>
      <c r="Z520" s="1">
        <v>0</v>
      </c>
      <c r="AB520" s="1" t="str">
        <f t="shared" si="372"/>
        <v>ECOM</v>
      </c>
      <c r="AG520" s="1">
        <v>0</v>
      </c>
      <c r="AH520" s="1">
        <v>0</v>
      </c>
      <c r="AI520" s="1" t="str">
        <f t="shared" si="366"/>
        <v>F06</v>
      </c>
      <c r="AJ520" s="1" t="str">
        <f t="shared" si="373"/>
        <v>MAN</v>
      </c>
      <c r="AK520" s="1" t="str">
        <f t="shared" si="386"/>
        <v>PA</v>
      </c>
      <c r="AP520" s="1" t="str">
        <f t="shared" si="387"/>
        <v>False</v>
      </c>
      <c r="AR520" s="1" t="str">
        <f t="shared" si="374"/>
        <v>TOMAS</v>
      </c>
      <c r="AY520" s="1" t="str">
        <f t="shared" si="388"/>
        <v>PF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 t="str">
        <f t="shared" si="375"/>
        <v>GERO TOMAS SUEDE x sfoderato</v>
      </c>
      <c r="BF520" s="1" t="str">
        <f t="shared" si="389"/>
        <v>Bonis SpA</v>
      </c>
      <c r="BO520" s="1">
        <v>0</v>
      </c>
      <c r="BP520" s="1">
        <v>0</v>
      </c>
      <c r="BQ520" s="1">
        <v>0</v>
      </c>
    </row>
    <row r="521" spans="2:69" x14ac:dyDescent="0.25">
      <c r="B521" s="1">
        <v>1755</v>
      </c>
      <c r="C521" s="1" t="str">
        <f t="shared" si="367"/>
        <v>TOMAS4026S7E/S2</v>
      </c>
      <c r="D521" s="1" t="str">
        <f>"ODV16N02275-042"</f>
        <v>ODV16N02275-042</v>
      </c>
      <c r="E521" s="1" t="str">
        <f t="shared" si="368"/>
        <v>A8 USPA</v>
      </c>
      <c r="F521" s="1" t="str">
        <f t="shared" si="376"/>
        <v>BONIS SPA</v>
      </c>
      <c r="G521" s="1" t="str">
        <f t="shared" si="377"/>
        <v>STOCK TERRA MP</v>
      </c>
      <c r="H521" s="1" t="str">
        <f t="shared" ref="H521:H545" si="390">"TAU"</f>
        <v>TAU</v>
      </c>
      <c r="J521" s="1">
        <v>1</v>
      </c>
      <c r="K521" s="1">
        <f t="shared" si="365"/>
        <v>8</v>
      </c>
      <c r="L521" s="1" t="str">
        <f t="shared" si="378"/>
        <v>01</v>
      </c>
      <c r="M521" s="1" t="str">
        <f t="shared" si="360"/>
        <v>102</v>
      </c>
      <c r="N521" s="1" t="str">
        <f t="shared" ref="N521:N537" si="391">"009"</f>
        <v>009</v>
      </c>
      <c r="O521" s="1" t="str">
        <f t="shared" si="379"/>
        <v>00</v>
      </c>
      <c r="P521" s="1" t="str">
        <f t="shared" si="380"/>
        <v>S</v>
      </c>
      <c r="Q521" s="1" t="str">
        <f t="shared" si="381"/>
        <v>P</v>
      </c>
      <c r="R521" s="1" t="str">
        <f t="shared" si="382"/>
        <v>01</v>
      </c>
      <c r="S521" s="1" t="str">
        <f t="shared" si="383"/>
        <v>03</v>
      </c>
      <c r="T521" s="1" t="str">
        <f t="shared" si="384"/>
        <v>False</v>
      </c>
      <c r="U521" s="1" t="str">
        <f t="shared" si="385"/>
        <v>True</v>
      </c>
      <c r="V521" s="1" t="str">
        <f t="shared" ref="V521:V537" si="392">"U0023790"</f>
        <v>U0023790</v>
      </c>
      <c r="W521" s="1">
        <v>1</v>
      </c>
      <c r="Y521" s="1">
        <v>0</v>
      </c>
      <c r="Z521" s="1">
        <v>0</v>
      </c>
      <c r="AB521" s="1" t="str">
        <f t="shared" si="372"/>
        <v>ECOM</v>
      </c>
      <c r="AG521" s="1">
        <v>0</v>
      </c>
      <c r="AH521" s="1">
        <v>0</v>
      </c>
      <c r="AI521" s="1" t="str">
        <f t="shared" si="366"/>
        <v>F06</v>
      </c>
      <c r="AJ521" s="1" t="str">
        <f t="shared" si="373"/>
        <v>MAN</v>
      </c>
      <c r="AK521" s="1" t="str">
        <f t="shared" si="386"/>
        <v>PA</v>
      </c>
      <c r="AP521" s="1" t="str">
        <f t="shared" si="387"/>
        <v>False</v>
      </c>
      <c r="AR521" s="1" t="str">
        <f t="shared" si="374"/>
        <v>TOMAS</v>
      </c>
      <c r="AY521" s="1" t="str">
        <f t="shared" si="388"/>
        <v>PF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 t="str">
        <f t="shared" si="375"/>
        <v>GERO TOMAS SUEDE x sfoderato</v>
      </c>
      <c r="BF521" s="1" t="str">
        <f t="shared" si="389"/>
        <v>Bonis SpA</v>
      </c>
      <c r="BO521" s="1">
        <v>0</v>
      </c>
      <c r="BP521" s="1">
        <v>0</v>
      </c>
      <c r="BQ521" s="1">
        <v>0</v>
      </c>
    </row>
    <row r="522" spans="2:69" x14ac:dyDescent="0.25">
      <c r="B522" s="1">
        <v>1755</v>
      </c>
      <c r="C522" s="1" t="str">
        <f t="shared" si="367"/>
        <v>TOMAS4026S7E/S2</v>
      </c>
      <c r="D522" s="1" t="str">
        <f>"ODV16N02275-043"</f>
        <v>ODV16N02275-043</v>
      </c>
      <c r="E522" s="1" t="str">
        <f t="shared" si="368"/>
        <v>A8 USPA</v>
      </c>
      <c r="F522" s="1" t="str">
        <f t="shared" si="376"/>
        <v>BONIS SPA</v>
      </c>
      <c r="G522" s="1" t="str">
        <f t="shared" si="377"/>
        <v>STOCK TERRA MP</v>
      </c>
      <c r="H522" s="1" t="str">
        <f t="shared" si="390"/>
        <v>TAU</v>
      </c>
      <c r="J522" s="1">
        <v>1</v>
      </c>
      <c r="K522" s="1">
        <f t="shared" si="365"/>
        <v>8</v>
      </c>
      <c r="L522" s="1" t="str">
        <f t="shared" si="378"/>
        <v>01</v>
      </c>
      <c r="M522" s="1" t="str">
        <f t="shared" si="360"/>
        <v>102</v>
      </c>
      <c r="N522" s="1" t="str">
        <f t="shared" si="391"/>
        <v>009</v>
      </c>
      <c r="O522" s="1" t="str">
        <f t="shared" si="379"/>
        <v>00</v>
      </c>
      <c r="P522" s="1" t="str">
        <f t="shared" si="380"/>
        <v>S</v>
      </c>
      <c r="Q522" s="1" t="str">
        <f t="shared" si="381"/>
        <v>P</v>
      </c>
      <c r="R522" s="1" t="str">
        <f t="shared" si="382"/>
        <v>01</v>
      </c>
      <c r="S522" s="1" t="str">
        <f t="shared" si="383"/>
        <v>03</v>
      </c>
      <c r="T522" s="1" t="str">
        <f t="shared" si="384"/>
        <v>False</v>
      </c>
      <c r="U522" s="1" t="str">
        <f t="shared" si="385"/>
        <v>True</v>
      </c>
      <c r="V522" s="1" t="str">
        <f t="shared" si="392"/>
        <v>U0023790</v>
      </c>
      <c r="W522" s="1">
        <v>1</v>
      </c>
      <c r="Y522" s="1">
        <v>0</v>
      </c>
      <c r="Z522" s="1">
        <v>0</v>
      </c>
      <c r="AB522" s="1" t="str">
        <f t="shared" si="372"/>
        <v>ECOM</v>
      </c>
      <c r="AG522" s="1">
        <v>0</v>
      </c>
      <c r="AH522" s="1">
        <v>0</v>
      </c>
      <c r="AI522" s="1" t="str">
        <f t="shared" si="366"/>
        <v>F06</v>
      </c>
      <c r="AJ522" s="1" t="str">
        <f t="shared" si="373"/>
        <v>MAN</v>
      </c>
      <c r="AK522" s="1" t="str">
        <f t="shared" si="386"/>
        <v>PA</v>
      </c>
      <c r="AP522" s="1" t="str">
        <f t="shared" si="387"/>
        <v>False</v>
      </c>
      <c r="AR522" s="1" t="str">
        <f t="shared" si="374"/>
        <v>TOMAS</v>
      </c>
      <c r="AY522" s="1" t="str">
        <f t="shared" si="388"/>
        <v>PF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 t="str">
        <f t="shared" si="375"/>
        <v>GERO TOMAS SUEDE x sfoderato</v>
      </c>
      <c r="BF522" s="1" t="str">
        <f t="shared" si="389"/>
        <v>Bonis SpA</v>
      </c>
      <c r="BO522" s="1">
        <v>0</v>
      </c>
      <c r="BP522" s="1">
        <v>0</v>
      </c>
      <c r="BQ522" s="1">
        <v>0</v>
      </c>
    </row>
    <row r="523" spans="2:69" x14ac:dyDescent="0.25">
      <c r="B523" s="1">
        <v>1755</v>
      </c>
      <c r="C523" s="1" t="str">
        <f t="shared" si="367"/>
        <v>TOMAS4026S7E/S2</v>
      </c>
      <c r="D523" s="1" t="str">
        <f>"ODV16N02275-044"</f>
        <v>ODV16N02275-044</v>
      </c>
      <c r="E523" s="1" t="str">
        <f t="shared" si="368"/>
        <v>A8 USPA</v>
      </c>
      <c r="F523" s="1" t="str">
        <f t="shared" si="376"/>
        <v>BONIS SPA</v>
      </c>
      <c r="G523" s="1" t="str">
        <f t="shared" si="377"/>
        <v>STOCK TERRA MP</v>
      </c>
      <c r="H523" s="1" t="str">
        <f t="shared" si="390"/>
        <v>TAU</v>
      </c>
      <c r="J523" s="1">
        <v>1</v>
      </c>
      <c r="K523" s="1">
        <f t="shared" si="365"/>
        <v>8</v>
      </c>
      <c r="L523" s="1" t="str">
        <f t="shared" si="378"/>
        <v>01</v>
      </c>
      <c r="M523" s="1" t="str">
        <f t="shared" si="360"/>
        <v>102</v>
      </c>
      <c r="N523" s="1" t="str">
        <f t="shared" si="391"/>
        <v>009</v>
      </c>
      <c r="O523" s="1" t="str">
        <f t="shared" si="379"/>
        <v>00</v>
      </c>
      <c r="P523" s="1" t="str">
        <f t="shared" si="380"/>
        <v>S</v>
      </c>
      <c r="Q523" s="1" t="str">
        <f t="shared" si="381"/>
        <v>P</v>
      </c>
      <c r="R523" s="1" t="str">
        <f t="shared" si="382"/>
        <v>01</v>
      </c>
      <c r="S523" s="1" t="str">
        <f t="shared" si="383"/>
        <v>03</v>
      </c>
      <c r="T523" s="1" t="str">
        <f t="shared" si="384"/>
        <v>False</v>
      </c>
      <c r="U523" s="1" t="str">
        <f t="shared" si="385"/>
        <v>True</v>
      </c>
      <c r="V523" s="1" t="str">
        <f t="shared" si="392"/>
        <v>U0023790</v>
      </c>
      <c r="W523" s="1">
        <v>1</v>
      </c>
      <c r="Y523" s="1">
        <v>0</v>
      </c>
      <c r="Z523" s="1">
        <v>0</v>
      </c>
      <c r="AB523" s="1" t="str">
        <f t="shared" si="372"/>
        <v>ECOM</v>
      </c>
      <c r="AG523" s="1">
        <v>0</v>
      </c>
      <c r="AH523" s="1">
        <v>0</v>
      </c>
      <c r="AI523" s="1" t="str">
        <f t="shared" si="366"/>
        <v>F06</v>
      </c>
      <c r="AJ523" s="1" t="str">
        <f t="shared" si="373"/>
        <v>MAN</v>
      </c>
      <c r="AK523" s="1" t="str">
        <f t="shared" si="386"/>
        <v>PA</v>
      </c>
      <c r="AP523" s="1" t="str">
        <f t="shared" si="387"/>
        <v>False</v>
      </c>
      <c r="AR523" s="1" t="str">
        <f t="shared" si="374"/>
        <v>TOMAS</v>
      </c>
      <c r="AY523" s="1" t="str">
        <f t="shared" si="388"/>
        <v>PF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 t="str">
        <f t="shared" si="375"/>
        <v>GERO TOMAS SUEDE x sfoderato</v>
      </c>
      <c r="BF523" s="1" t="str">
        <f t="shared" si="389"/>
        <v>Bonis SpA</v>
      </c>
      <c r="BO523" s="1">
        <v>0</v>
      </c>
      <c r="BP523" s="1">
        <v>0</v>
      </c>
      <c r="BQ523" s="1">
        <v>0</v>
      </c>
    </row>
    <row r="524" spans="2:69" x14ac:dyDescent="0.25">
      <c r="B524" s="1">
        <v>1755</v>
      </c>
      <c r="C524" s="1" t="str">
        <f t="shared" si="367"/>
        <v>TOMAS4026S7E/S2</v>
      </c>
      <c r="D524" s="1" t="str">
        <f>"ODV16N02275-045"</f>
        <v>ODV16N02275-045</v>
      </c>
      <c r="E524" s="1" t="str">
        <f t="shared" si="368"/>
        <v>A8 USPA</v>
      </c>
      <c r="F524" s="1" t="str">
        <f t="shared" si="376"/>
        <v>BONIS SPA</v>
      </c>
      <c r="G524" s="1" t="str">
        <f t="shared" si="377"/>
        <v>STOCK TERRA MP</v>
      </c>
      <c r="H524" s="1" t="str">
        <f t="shared" si="390"/>
        <v>TAU</v>
      </c>
      <c r="J524" s="1">
        <v>1</v>
      </c>
      <c r="K524" s="1">
        <f t="shared" si="365"/>
        <v>8</v>
      </c>
      <c r="L524" s="1" t="str">
        <f t="shared" si="378"/>
        <v>01</v>
      </c>
      <c r="M524" s="1" t="str">
        <f t="shared" si="360"/>
        <v>102</v>
      </c>
      <c r="N524" s="1" t="str">
        <f t="shared" si="391"/>
        <v>009</v>
      </c>
      <c r="O524" s="1" t="str">
        <f t="shared" si="379"/>
        <v>00</v>
      </c>
      <c r="P524" s="1" t="str">
        <f t="shared" si="380"/>
        <v>S</v>
      </c>
      <c r="Q524" s="1" t="str">
        <f t="shared" si="381"/>
        <v>P</v>
      </c>
      <c r="R524" s="1" t="str">
        <f t="shared" si="382"/>
        <v>01</v>
      </c>
      <c r="S524" s="1" t="str">
        <f t="shared" si="383"/>
        <v>03</v>
      </c>
      <c r="T524" s="1" t="str">
        <f t="shared" si="384"/>
        <v>False</v>
      </c>
      <c r="U524" s="1" t="str">
        <f t="shared" si="385"/>
        <v>True</v>
      </c>
      <c r="V524" s="1" t="str">
        <f t="shared" si="392"/>
        <v>U0023790</v>
      </c>
      <c r="W524" s="1">
        <v>1</v>
      </c>
      <c r="Y524" s="1">
        <v>0</v>
      </c>
      <c r="Z524" s="1">
        <v>0</v>
      </c>
      <c r="AB524" s="1" t="str">
        <f t="shared" si="372"/>
        <v>ECOM</v>
      </c>
      <c r="AG524" s="1">
        <v>0</v>
      </c>
      <c r="AH524" s="1">
        <v>0</v>
      </c>
      <c r="AI524" s="1" t="str">
        <f t="shared" si="366"/>
        <v>F06</v>
      </c>
      <c r="AJ524" s="1" t="str">
        <f t="shared" si="373"/>
        <v>MAN</v>
      </c>
      <c r="AK524" s="1" t="str">
        <f t="shared" si="386"/>
        <v>PA</v>
      </c>
      <c r="AP524" s="1" t="str">
        <f t="shared" si="387"/>
        <v>False</v>
      </c>
      <c r="AR524" s="1" t="str">
        <f t="shared" si="374"/>
        <v>TOMAS</v>
      </c>
      <c r="AY524" s="1" t="str">
        <f t="shared" si="388"/>
        <v>PF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 t="str">
        <f t="shared" si="375"/>
        <v>GERO TOMAS SUEDE x sfoderato</v>
      </c>
      <c r="BF524" s="1" t="str">
        <f t="shared" si="389"/>
        <v>Bonis SpA</v>
      </c>
      <c r="BO524" s="1">
        <v>0</v>
      </c>
      <c r="BP524" s="1">
        <v>0</v>
      </c>
      <c r="BQ524" s="1">
        <v>0</v>
      </c>
    </row>
    <row r="525" spans="2:69" x14ac:dyDescent="0.25">
      <c r="B525" s="1">
        <v>1755</v>
      </c>
      <c r="C525" s="1" t="str">
        <f t="shared" si="367"/>
        <v>TOMAS4026S7E/S2</v>
      </c>
      <c r="D525" s="1" t="str">
        <f>"ODV16N02275-046"</f>
        <v>ODV16N02275-046</v>
      </c>
      <c r="E525" s="1" t="str">
        <f t="shared" si="368"/>
        <v>A8 USPA</v>
      </c>
      <c r="F525" s="1" t="str">
        <f t="shared" si="376"/>
        <v>BONIS SPA</v>
      </c>
      <c r="G525" s="1" t="str">
        <f t="shared" si="377"/>
        <v>STOCK TERRA MP</v>
      </c>
      <c r="H525" s="1" t="str">
        <f t="shared" si="390"/>
        <v>TAU</v>
      </c>
      <c r="J525" s="1">
        <v>1</v>
      </c>
      <c r="K525" s="1">
        <f t="shared" si="365"/>
        <v>8</v>
      </c>
      <c r="L525" s="1" t="str">
        <f t="shared" si="378"/>
        <v>01</v>
      </c>
      <c r="M525" s="1" t="str">
        <f t="shared" si="360"/>
        <v>102</v>
      </c>
      <c r="N525" s="1" t="str">
        <f t="shared" si="391"/>
        <v>009</v>
      </c>
      <c r="O525" s="1" t="str">
        <f t="shared" si="379"/>
        <v>00</v>
      </c>
      <c r="P525" s="1" t="str">
        <f t="shared" si="380"/>
        <v>S</v>
      </c>
      <c r="Q525" s="1" t="str">
        <f t="shared" si="381"/>
        <v>P</v>
      </c>
      <c r="R525" s="1" t="str">
        <f t="shared" si="382"/>
        <v>01</v>
      </c>
      <c r="S525" s="1" t="str">
        <f t="shared" si="383"/>
        <v>03</v>
      </c>
      <c r="T525" s="1" t="str">
        <f t="shared" si="384"/>
        <v>False</v>
      </c>
      <c r="U525" s="1" t="str">
        <f t="shared" si="385"/>
        <v>True</v>
      </c>
      <c r="V525" s="1" t="str">
        <f t="shared" si="392"/>
        <v>U0023790</v>
      </c>
      <c r="W525" s="1">
        <v>1</v>
      </c>
      <c r="Y525" s="1">
        <v>0</v>
      </c>
      <c r="Z525" s="1">
        <v>0</v>
      </c>
      <c r="AB525" s="1" t="str">
        <f t="shared" si="372"/>
        <v>ECOM</v>
      </c>
      <c r="AG525" s="1">
        <v>0</v>
      </c>
      <c r="AH525" s="1">
        <v>0</v>
      </c>
      <c r="AI525" s="1" t="str">
        <f t="shared" si="366"/>
        <v>F06</v>
      </c>
      <c r="AJ525" s="1" t="str">
        <f t="shared" si="373"/>
        <v>MAN</v>
      </c>
      <c r="AK525" s="1" t="str">
        <f t="shared" si="386"/>
        <v>PA</v>
      </c>
      <c r="AP525" s="1" t="str">
        <f t="shared" si="387"/>
        <v>False</v>
      </c>
      <c r="AR525" s="1" t="str">
        <f t="shared" si="374"/>
        <v>TOMAS</v>
      </c>
      <c r="AY525" s="1" t="str">
        <f t="shared" si="388"/>
        <v>PF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 t="str">
        <f t="shared" si="375"/>
        <v>GERO TOMAS SUEDE x sfoderato</v>
      </c>
      <c r="BF525" s="1" t="str">
        <f t="shared" si="389"/>
        <v>Bonis SpA</v>
      </c>
      <c r="BO525" s="1">
        <v>0</v>
      </c>
      <c r="BP525" s="1">
        <v>0</v>
      </c>
      <c r="BQ525" s="1">
        <v>0</v>
      </c>
    </row>
    <row r="526" spans="2:69" x14ac:dyDescent="0.25">
      <c r="B526" s="1">
        <v>1755</v>
      </c>
      <c r="C526" s="1" t="str">
        <f t="shared" si="367"/>
        <v>TOMAS4026S7E/S2</v>
      </c>
      <c r="D526" s="1" t="str">
        <f>"ODV16N02275-047"</f>
        <v>ODV16N02275-047</v>
      </c>
      <c r="E526" s="1" t="str">
        <f t="shared" si="368"/>
        <v>A8 USPA</v>
      </c>
      <c r="F526" s="1" t="str">
        <f t="shared" si="376"/>
        <v>BONIS SPA</v>
      </c>
      <c r="G526" s="1" t="str">
        <f t="shared" si="377"/>
        <v>STOCK TERRA MP</v>
      </c>
      <c r="H526" s="1" t="str">
        <f t="shared" si="390"/>
        <v>TAU</v>
      </c>
      <c r="J526" s="1">
        <v>1</v>
      </c>
      <c r="K526" s="1">
        <f t="shared" si="365"/>
        <v>8</v>
      </c>
      <c r="L526" s="1" t="str">
        <f t="shared" si="378"/>
        <v>01</v>
      </c>
      <c r="M526" s="1" t="str">
        <f t="shared" si="360"/>
        <v>102</v>
      </c>
      <c r="N526" s="1" t="str">
        <f t="shared" si="391"/>
        <v>009</v>
      </c>
      <c r="O526" s="1" t="str">
        <f t="shared" si="379"/>
        <v>00</v>
      </c>
      <c r="P526" s="1" t="str">
        <f t="shared" si="380"/>
        <v>S</v>
      </c>
      <c r="Q526" s="1" t="str">
        <f t="shared" si="381"/>
        <v>P</v>
      </c>
      <c r="R526" s="1" t="str">
        <f t="shared" si="382"/>
        <v>01</v>
      </c>
      <c r="S526" s="1" t="str">
        <f t="shared" si="383"/>
        <v>03</v>
      </c>
      <c r="T526" s="1" t="str">
        <f t="shared" si="384"/>
        <v>False</v>
      </c>
      <c r="U526" s="1" t="str">
        <f t="shared" si="385"/>
        <v>True</v>
      </c>
      <c r="V526" s="1" t="str">
        <f t="shared" si="392"/>
        <v>U0023790</v>
      </c>
      <c r="W526" s="1">
        <v>1</v>
      </c>
      <c r="Y526" s="1">
        <v>0</v>
      </c>
      <c r="Z526" s="1">
        <v>0</v>
      </c>
      <c r="AB526" s="1" t="str">
        <f t="shared" si="372"/>
        <v>ECOM</v>
      </c>
      <c r="AG526" s="1">
        <v>0</v>
      </c>
      <c r="AH526" s="1">
        <v>0</v>
      </c>
      <c r="AI526" s="1" t="str">
        <f t="shared" si="366"/>
        <v>F06</v>
      </c>
      <c r="AJ526" s="1" t="str">
        <f t="shared" si="373"/>
        <v>MAN</v>
      </c>
      <c r="AK526" s="1" t="str">
        <f t="shared" si="386"/>
        <v>PA</v>
      </c>
      <c r="AP526" s="1" t="str">
        <f t="shared" si="387"/>
        <v>False</v>
      </c>
      <c r="AR526" s="1" t="str">
        <f t="shared" si="374"/>
        <v>TOMAS</v>
      </c>
      <c r="AY526" s="1" t="str">
        <f t="shared" si="388"/>
        <v>PF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 t="str">
        <f t="shared" si="375"/>
        <v>GERO TOMAS SUEDE x sfoderato</v>
      </c>
      <c r="BF526" s="1" t="str">
        <f t="shared" si="389"/>
        <v>Bonis SpA</v>
      </c>
      <c r="BO526" s="1">
        <v>0</v>
      </c>
      <c r="BP526" s="1">
        <v>0</v>
      </c>
      <c r="BQ526" s="1">
        <v>0</v>
      </c>
    </row>
    <row r="527" spans="2:69" x14ac:dyDescent="0.25">
      <c r="B527" s="1">
        <v>1755</v>
      </c>
      <c r="C527" s="1" t="str">
        <f t="shared" si="367"/>
        <v>TOMAS4026S7E/S2</v>
      </c>
      <c r="D527" s="1" t="str">
        <f>"ODV16N02275-048"</f>
        <v>ODV16N02275-048</v>
      </c>
      <c r="E527" s="1" t="str">
        <f t="shared" si="368"/>
        <v>A8 USPA</v>
      </c>
      <c r="F527" s="1" t="str">
        <f t="shared" si="376"/>
        <v>BONIS SPA</v>
      </c>
      <c r="G527" s="1" t="str">
        <f t="shared" si="377"/>
        <v>STOCK TERRA MP</v>
      </c>
      <c r="H527" s="1" t="str">
        <f t="shared" si="390"/>
        <v>TAU</v>
      </c>
      <c r="J527" s="1">
        <v>1</v>
      </c>
      <c r="K527" s="1">
        <f t="shared" si="365"/>
        <v>8</v>
      </c>
      <c r="L527" s="1" t="str">
        <f t="shared" si="378"/>
        <v>01</v>
      </c>
      <c r="M527" s="1" t="str">
        <f t="shared" si="360"/>
        <v>102</v>
      </c>
      <c r="N527" s="1" t="str">
        <f t="shared" si="391"/>
        <v>009</v>
      </c>
      <c r="O527" s="1" t="str">
        <f t="shared" si="379"/>
        <v>00</v>
      </c>
      <c r="P527" s="1" t="str">
        <f t="shared" si="380"/>
        <v>S</v>
      </c>
      <c r="Q527" s="1" t="str">
        <f t="shared" si="381"/>
        <v>P</v>
      </c>
      <c r="R527" s="1" t="str">
        <f t="shared" si="382"/>
        <v>01</v>
      </c>
      <c r="S527" s="1" t="str">
        <f t="shared" si="383"/>
        <v>03</v>
      </c>
      <c r="T527" s="1" t="str">
        <f t="shared" si="384"/>
        <v>False</v>
      </c>
      <c r="U527" s="1" t="str">
        <f t="shared" si="385"/>
        <v>True</v>
      </c>
      <c r="V527" s="1" t="str">
        <f t="shared" si="392"/>
        <v>U0023790</v>
      </c>
      <c r="W527" s="1">
        <v>1</v>
      </c>
      <c r="Y527" s="1">
        <v>0</v>
      </c>
      <c r="Z527" s="1">
        <v>0</v>
      </c>
      <c r="AB527" s="1" t="str">
        <f t="shared" si="372"/>
        <v>ECOM</v>
      </c>
      <c r="AG527" s="1">
        <v>0</v>
      </c>
      <c r="AH527" s="1">
        <v>0</v>
      </c>
      <c r="AI527" s="1" t="str">
        <f t="shared" si="366"/>
        <v>F06</v>
      </c>
      <c r="AJ527" s="1" t="str">
        <f t="shared" si="373"/>
        <v>MAN</v>
      </c>
      <c r="AK527" s="1" t="str">
        <f t="shared" si="386"/>
        <v>PA</v>
      </c>
      <c r="AP527" s="1" t="str">
        <f t="shared" si="387"/>
        <v>False</v>
      </c>
      <c r="AR527" s="1" t="str">
        <f t="shared" si="374"/>
        <v>TOMAS</v>
      </c>
      <c r="AY527" s="1" t="str">
        <f t="shared" si="388"/>
        <v>PF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 t="str">
        <f t="shared" si="375"/>
        <v>GERO TOMAS SUEDE x sfoderato</v>
      </c>
      <c r="BF527" s="1" t="str">
        <f t="shared" si="389"/>
        <v>Bonis SpA</v>
      </c>
      <c r="BO527" s="1">
        <v>0</v>
      </c>
      <c r="BP527" s="1">
        <v>0</v>
      </c>
      <c r="BQ527" s="1">
        <v>0</v>
      </c>
    </row>
    <row r="528" spans="2:69" x14ac:dyDescent="0.25">
      <c r="B528" s="1">
        <v>1755</v>
      </c>
      <c r="C528" s="1" t="str">
        <f t="shared" si="367"/>
        <v>TOMAS4026S7E/S2</v>
      </c>
      <c r="D528" s="1" t="str">
        <f>"ODV16N02275-049"</f>
        <v>ODV16N02275-049</v>
      </c>
      <c r="E528" s="1" t="str">
        <f t="shared" si="368"/>
        <v>A8 USPA</v>
      </c>
      <c r="F528" s="1" t="str">
        <f t="shared" si="376"/>
        <v>BONIS SPA</v>
      </c>
      <c r="G528" s="1" t="str">
        <f t="shared" si="377"/>
        <v>STOCK TERRA MP</v>
      </c>
      <c r="H528" s="1" t="str">
        <f t="shared" si="390"/>
        <v>TAU</v>
      </c>
      <c r="J528" s="1">
        <v>1</v>
      </c>
      <c r="K528" s="1">
        <f t="shared" si="365"/>
        <v>8</v>
      </c>
      <c r="L528" s="1" t="str">
        <f t="shared" si="378"/>
        <v>01</v>
      </c>
      <c r="M528" s="1" t="str">
        <f t="shared" si="360"/>
        <v>102</v>
      </c>
      <c r="N528" s="1" t="str">
        <f t="shared" si="391"/>
        <v>009</v>
      </c>
      <c r="O528" s="1" t="str">
        <f t="shared" si="379"/>
        <v>00</v>
      </c>
      <c r="P528" s="1" t="str">
        <f t="shared" si="380"/>
        <v>S</v>
      </c>
      <c r="Q528" s="1" t="str">
        <f t="shared" si="381"/>
        <v>P</v>
      </c>
      <c r="R528" s="1" t="str">
        <f t="shared" si="382"/>
        <v>01</v>
      </c>
      <c r="S528" s="1" t="str">
        <f t="shared" si="383"/>
        <v>03</v>
      </c>
      <c r="T528" s="1" t="str">
        <f t="shared" si="384"/>
        <v>False</v>
      </c>
      <c r="U528" s="1" t="str">
        <f t="shared" si="385"/>
        <v>True</v>
      </c>
      <c r="V528" s="1" t="str">
        <f t="shared" si="392"/>
        <v>U0023790</v>
      </c>
      <c r="W528" s="1">
        <v>1</v>
      </c>
      <c r="Y528" s="1">
        <v>0</v>
      </c>
      <c r="Z528" s="1">
        <v>0</v>
      </c>
      <c r="AB528" s="1" t="str">
        <f t="shared" si="372"/>
        <v>ECOM</v>
      </c>
      <c r="AG528" s="1">
        <v>0</v>
      </c>
      <c r="AH528" s="1">
        <v>0</v>
      </c>
      <c r="AI528" s="1" t="str">
        <f t="shared" si="366"/>
        <v>F06</v>
      </c>
      <c r="AJ528" s="1" t="str">
        <f t="shared" si="373"/>
        <v>MAN</v>
      </c>
      <c r="AK528" s="1" t="str">
        <f t="shared" si="386"/>
        <v>PA</v>
      </c>
      <c r="AP528" s="1" t="str">
        <f t="shared" si="387"/>
        <v>False</v>
      </c>
      <c r="AR528" s="1" t="str">
        <f t="shared" si="374"/>
        <v>TOMAS</v>
      </c>
      <c r="AY528" s="1" t="str">
        <f t="shared" si="388"/>
        <v>PF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 t="str">
        <f t="shared" si="375"/>
        <v>GERO TOMAS SUEDE x sfoderato</v>
      </c>
      <c r="BF528" s="1" t="str">
        <f t="shared" si="389"/>
        <v>Bonis SpA</v>
      </c>
      <c r="BO528" s="1">
        <v>0</v>
      </c>
      <c r="BP528" s="1">
        <v>0</v>
      </c>
      <c r="BQ528" s="1">
        <v>0</v>
      </c>
    </row>
    <row r="529" spans="2:69" x14ac:dyDescent="0.25">
      <c r="B529" s="1">
        <v>1755</v>
      </c>
      <c r="C529" s="1" t="str">
        <f t="shared" si="367"/>
        <v>TOMAS4026S7E/S2</v>
      </c>
      <c r="D529" s="1" t="str">
        <f>"ODV16N02275-050"</f>
        <v>ODV16N02275-050</v>
      </c>
      <c r="E529" s="1" t="str">
        <f t="shared" si="368"/>
        <v>A8 USPA</v>
      </c>
      <c r="F529" s="1" t="str">
        <f t="shared" si="376"/>
        <v>BONIS SPA</v>
      </c>
      <c r="G529" s="1" t="str">
        <f t="shared" si="377"/>
        <v>STOCK TERRA MP</v>
      </c>
      <c r="H529" s="1" t="str">
        <f t="shared" si="390"/>
        <v>TAU</v>
      </c>
      <c r="J529" s="1">
        <v>1</v>
      </c>
      <c r="K529" s="1">
        <f t="shared" si="365"/>
        <v>8</v>
      </c>
      <c r="L529" s="1" t="str">
        <f t="shared" si="378"/>
        <v>01</v>
      </c>
      <c r="M529" s="1" t="str">
        <f t="shared" si="360"/>
        <v>102</v>
      </c>
      <c r="N529" s="1" t="str">
        <f t="shared" si="391"/>
        <v>009</v>
      </c>
      <c r="O529" s="1" t="str">
        <f t="shared" si="379"/>
        <v>00</v>
      </c>
      <c r="P529" s="1" t="str">
        <f t="shared" si="380"/>
        <v>S</v>
      </c>
      <c r="Q529" s="1" t="str">
        <f t="shared" si="381"/>
        <v>P</v>
      </c>
      <c r="R529" s="1" t="str">
        <f t="shared" si="382"/>
        <v>01</v>
      </c>
      <c r="S529" s="1" t="str">
        <f t="shared" si="383"/>
        <v>03</v>
      </c>
      <c r="T529" s="1" t="str">
        <f t="shared" si="384"/>
        <v>False</v>
      </c>
      <c r="U529" s="1" t="str">
        <f t="shared" si="385"/>
        <v>True</v>
      </c>
      <c r="V529" s="1" t="str">
        <f t="shared" si="392"/>
        <v>U0023790</v>
      </c>
      <c r="W529" s="1">
        <v>1</v>
      </c>
      <c r="Y529" s="1">
        <v>0</v>
      </c>
      <c r="Z529" s="1">
        <v>0</v>
      </c>
      <c r="AB529" s="1" t="str">
        <f t="shared" si="372"/>
        <v>ECOM</v>
      </c>
      <c r="AG529" s="1">
        <v>0</v>
      </c>
      <c r="AH529" s="1">
        <v>0</v>
      </c>
      <c r="AI529" s="1" t="str">
        <f t="shared" si="366"/>
        <v>F06</v>
      </c>
      <c r="AJ529" s="1" t="str">
        <f t="shared" si="373"/>
        <v>MAN</v>
      </c>
      <c r="AK529" s="1" t="str">
        <f t="shared" si="386"/>
        <v>PA</v>
      </c>
      <c r="AP529" s="1" t="str">
        <f t="shared" si="387"/>
        <v>False</v>
      </c>
      <c r="AR529" s="1" t="str">
        <f t="shared" si="374"/>
        <v>TOMAS</v>
      </c>
      <c r="AY529" s="1" t="str">
        <f t="shared" si="388"/>
        <v>PF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 t="str">
        <f t="shared" si="375"/>
        <v>GERO TOMAS SUEDE x sfoderato</v>
      </c>
      <c r="BF529" s="1" t="str">
        <f t="shared" si="389"/>
        <v>Bonis SpA</v>
      </c>
      <c r="BO529" s="1">
        <v>0</v>
      </c>
      <c r="BP529" s="1">
        <v>0</v>
      </c>
      <c r="BQ529" s="1">
        <v>0</v>
      </c>
    </row>
    <row r="530" spans="2:69" x14ac:dyDescent="0.25">
      <c r="B530" s="1">
        <v>1755</v>
      </c>
      <c r="C530" s="1" t="str">
        <f t="shared" si="367"/>
        <v>TOMAS4026S7E/S2</v>
      </c>
      <c r="D530" s="1" t="str">
        <f>"ODV16N02275-051"</f>
        <v>ODV16N02275-051</v>
      </c>
      <c r="E530" s="1" t="str">
        <f t="shared" si="368"/>
        <v>A8 USPA</v>
      </c>
      <c r="F530" s="1" t="str">
        <f t="shared" si="376"/>
        <v>BONIS SPA</v>
      </c>
      <c r="G530" s="1" t="str">
        <f t="shared" si="377"/>
        <v>STOCK TERRA MP</v>
      </c>
      <c r="H530" s="1" t="str">
        <f t="shared" si="390"/>
        <v>TAU</v>
      </c>
      <c r="J530" s="1">
        <v>1</v>
      </c>
      <c r="K530" s="1">
        <f t="shared" si="365"/>
        <v>8</v>
      </c>
      <c r="L530" s="1" t="str">
        <f t="shared" si="378"/>
        <v>01</v>
      </c>
      <c r="M530" s="1" t="str">
        <f t="shared" si="360"/>
        <v>102</v>
      </c>
      <c r="N530" s="1" t="str">
        <f t="shared" si="391"/>
        <v>009</v>
      </c>
      <c r="O530" s="1" t="str">
        <f t="shared" si="379"/>
        <v>00</v>
      </c>
      <c r="P530" s="1" t="str">
        <f t="shared" si="380"/>
        <v>S</v>
      </c>
      <c r="Q530" s="1" t="str">
        <f t="shared" si="381"/>
        <v>P</v>
      </c>
      <c r="R530" s="1" t="str">
        <f t="shared" si="382"/>
        <v>01</v>
      </c>
      <c r="S530" s="1" t="str">
        <f t="shared" si="383"/>
        <v>03</v>
      </c>
      <c r="T530" s="1" t="str">
        <f t="shared" si="384"/>
        <v>False</v>
      </c>
      <c r="U530" s="1" t="str">
        <f t="shared" si="385"/>
        <v>True</v>
      </c>
      <c r="V530" s="1" t="str">
        <f t="shared" si="392"/>
        <v>U0023790</v>
      </c>
      <c r="W530" s="1">
        <v>1</v>
      </c>
      <c r="Y530" s="1">
        <v>0</v>
      </c>
      <c r="Z530" s="1">
        <v>0</v>
      </c>
      <c r="AB530" s="1" t="str">
        <f t="shared" si="372"/>
        <v>ECOM</v>
      </c>
      <c r="AG530" s="1">
        <v>0</v>
      </c>
      <c r="AH530" s="1">
        <v>0</v>
      </c>
      <c r="AI530" s="1" t="str">
        <f t="shared" si="366"/>
        <v>F06</v>
      </c>
      <c r="AJ530" s="1" t="str">
        <f t="shared" si="373"/>
        <v>MAN</v>
      </c>
      <c r="AK530" s="1" t="str">
        <f t="shared" si="386"/>
        <v>PA</v>
      </c>
      <c r="AP530" s="1" t="str">
        <f t="shared" si="387"/>
        <v>False</v>
      </c>
      <c r="AR530" s="1" t="str">
        <f t="shared" si="374"/>
        <v>TOMAS</v>
      </c>
      <c r="AY530" s="1" t="str">
        <f t="shared" si="388"/>
        <v>PF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 t="str">
        <f t="shared" si="375"/>
        <v>GERO TOMAS SUEDE x sfoderato</v>
      </c>
      <c r="BF530" s="1" t="str">
        <f t="shared" si="389"/>
        <v>Bonis SpA</v>
      </c>
      <c r="BO530" s="1">
        <v>0</v>
      </c>
      <c r="BP530" s="1">
        <v>0</v>
      </c>
      <c r="BQ530" s="1">
        <v>0</v>
      </c>
    </row>
    <row r="531" spans="2:69" x14ac:dyDescent="0.25">
      <c r="B531" s="1">
        <v>1755</v>
      </c>
      <c r="C531" s="1" t="str">
        <f t="shared" si="367"/>
        <v>TOMAS4026S7E/S2</v>
      </c>
      <c r="D531" s="1" t="str">
        <f>"ODV16N02275-052"</f>
        <v>ODV16N02275-052</v>
      </c>
      <c r="E531" s="1" t="str">
        <f t="shared" si="368"/>
        <v>A8 USPA</v>
      </c>
      <c r="F531" s="1" t="str">
        <f t="shared" si="376"/>
        <v>BONIS SPA</v>
      </c>
      <c r="G531" s="1" t="str">
        <f t="shared" si="377"/>
        <v>STOCK TERRA MP</v>
      </c>
      <c r="H531" s="1" t="str">
        <f t="shared" si="390"/>
        <v>TAU</v>
      </c>
      <c r="J531" s="1">
        <v>1</v>
      </c>
      <c r="K531" s="1">
        <f t="shared" si="365"/>
        <v>8</v>
      </c>
      <c r="L531" s="1" t="str">
        <f t="shared" si="378"/>
        <v>01</v>
      </c>
      <c r="M531" s="1" t="str">
        <f t="shared" si="360"/>
        <v>102</v>
      </c>
      <c r="N531" s="1" t="str">
        <f t="shared" si="391"/>
        <v>009</v>
      </c>
      <c r="O531" s="1" t="str">
        <f t="shared" si="379"/>
        <v>00</v>
      </c>
      <c r="P531" s="1" t="str">
        <f t="shared" si="380"/>
        <v>S</v>
      </c>
      <c r="Q531" s="1" t="str">
        <f t="shared" si="381"/>
        <v>P</v>
      </c>
      <c r="R531" s="1" t="str">
        <f t="shared" si="382"/>
        <v>01</v>
      </c>
      <c r="S531" s="1" t="str">
        <f t="shared" si="383"/>
        <v>03</v>
      </c>
      <c r="T531" s="1" t="str">
        <f t="shared" si="384"/>
        <v>False</v>
      </c>
      <c r="U531" s="1" t="str">
        <f t="shared" si="385"/>
        <v>True</v>
      </c>
      <c r="V531" s="1" t="str">
        <f t="shared" si="392"/>
        <v>U0023790</v>
      </c>
      <c r="W531" s="1">
        <v>1</v>
      </c>
      <c r="Y531" s="1">
        <v>0</v>
      </c>
      <c r="Z531" s="1">
        <v>0</v>
      </c>
      <c r="AB531" s="1" t="str">
        <f t="shared" si="372"/>
        <v>ECOM</v>
      </c>
      <c r="AG531" s="1">
        <v>0</v>
      </c>
      <c r="AH531" s="1">
        <v>0</v>
      </c>
      <c r="AI531" s="1" t="str">
        <f t="shared" ref="AI531:AI559" si="393">"F06"</f>
        <v>F06</v>
      </c>
      <c r="AJ531" s="1" t="str">
        <f t="shared" si="373"/>
        <v>MAN</v>
      </c>
      <c r="AK531" s="1" t="str">
        <f t="shared" si="386"/>
        <v>PA</v>
      </c>
      <c r="AP531" s="1" t="str">
        <f t="shared" si="387"/>
        <v>False</v>
      </c>
      <c r="AR531" s="1" t="str">
        <f t="shared" si="374"/>
        <v>TOMAS</v>
      </c>
      <c r="AY531" s="1" t="str">
        <f t="shared" si="388"/>
        <v>PF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 t="str">
        <f t="shared" si="375"/>
        <v>GERO TOMAS SUEDE x sfoderato</v>
      </c>
      <c r="BF531" s="1" t="str">
        <f t="shared" si="389"/>
        <v>Bonis SpA</v>
      </c>
      <c r="BO531" s="1">
        <v>0</v>
      </c>
      <c r="BP531" s="1">
        <v>0</v>
      </c>
      <c r="BQ531" s="1">
        <v>0</v>
      </c>
    </row>
    <row r="532" spans="2:69" x14ac:dyDescent="0.25">
      <c r="B532" s="1">
        <v>1755</v>
      </c>
      <c r="C532" s="1" t="str">
        <f t="shared" si="367"/>
        <v>TOMAS4026S7E/S2</v>
      </c>
      <c r="D532" s="1" t="str">
        <f>"ODV16N02275-053"</f>
        <v>ODV16N02275-053</v>
      </c>
      <c r="E532" s="1" t="str">
        <f t="shared" si="368"/>
        <v>A8 USPA</v>
      </c>
      <c r="F532" s="1" t="str">
        <f t="shared" si="376"/>
        <v>BONIS SPA</v>
      </c>
      <c r="G532" s="1" t="str">
        <f t="shared" si="377"/>
        <v>STOCK TERRA MP</v>
      </c>
      <c r="H532" s="1" t="str">
        <f t="shared" si="390"/>
        <v>TAU</v>
      </c>
      <c r="J532" s="1">
        <v>1</v>
      </c>
      <c r="K532" s="1">
        <f t="shared" si="365"/>
        <v>8</v>
      </c>
      <c r="L532" s="1" t="str">
        <f t="shared" si="378"/>
        <v>01</v>
      </c>
      <c r="M532" s="1" t="str">
        <f t="shared" si="360"/>
        <v>102</v>
      </c>
      <c r="N532" s="1" t="str">
        <f t="shared" si="391"/>
        <v>009</v>
      </c>
      <c r="O532" s="1" t="str">
        <f t="shared" si="379"/>
        <v>00</v>
      </c>
      <c r="P532" s="1" t="str">
        <f t="shared" si="380"/>
        <v>S</v>
      </c>
      <c r="Q532" s="1" t="str">
        <f t="shared" si="381"/>
        <v>P</v>
      </c>
      <c r="R532" s="1" t="str">
        <f t="shared" si="382"/>
        <v>01</v>
      </c>
      <c r="S532" s="1" t="str">
        <f t="shared" si="383"/>
        <v>03</v>
      </c>
      <c r="T532" s="1" t="str">
        <f t="shared" si="384"/>
        <v>False</v>
      </c>
      <c r="U532" s="1" t="str">
        <f t="shared" si="385"/>
        <v>True</v>
      </c>
      <c r="V532" s="1" t="str">
        <f t="shared" si="392"/>
        <v>U0023790</v>
      </c>
      <c r="W532" s="1">
        <v>1</v>
      </c>
      <c r="Y532" s="1">
        <v>0</v>
      </c>
      <c r="Z532" s="1">
        <v>0</v>
      </c>
      <c r="AB532" s="1" t="str">
        <f t="shared" si="372"/>
        <v>ECOM</v>
      </c>
      <c r="AG532" s="1">
        <v>0</v>
      </c>
      <c r="AH532" s="1">
        <v>0</v>
      </c>
      <c r="AI532" s="1" t="str">
        <f t="shared" si="393"/>
        <v>F06</v>
      </c>
      <c r="AJ532" s="1" t="str">
        <f t="shared" si="373"/>
        <v>MAN</v>
      </c>
      <c r="AK532" s="1" t="str">
        <f t="shared" si="386"/>
        <v>PA</v>
      </c>
      <c r="AP532" s="1" t="str">
        <f t="shared" si="387"/>
        <v>False</v>
      </c>
      <c r="AR532" s="1" t="str">
        <f t="shared" si="374"/>
        <v>TOMAS</v>
      </c>
      <c r="AY532" s="1" t="str">
        <f t="shared" si="388"/>
        <v>PF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 t="str">
        <f t="shared" si="375"/>
        <v>GERO TOMAS SUEDE x sfoderato</v>
      </c>
      <c r="BF532" s="1" t="str">
        <f t="shared" si="389"/>
        <v>Bonis SpA</v>
      </c>
      <c r="BO532" s="1">
        <v>0</v>
      </c>
      <c r="BP532" s="1">
        <v>0</v>
      </c>
      <c r="BQ532" s="1">
        <v>0</v>
      </c>
    </row>
    <row r="533" spans="2:69" x14ac:dyDescent="0.25">
      <c r="B533" s="1">
        <v>1755</v>
      </c>
      <c r="C533" s="1" t="str">
        <f t="shared" si="367"/>
        <v>TOMAS4026S7E/S2</v>
      </c>
      <c r="D533" s="1" t="str">
        <f>"ODV16N02275-054"</f>
        <v>ODV16N02275-054</v>
      </c>
      <c r="E533" s="1" t="str">
        <f t="shared" si="368"/>
        <v>A8 USPA</v>
      </c>
      <c r="F533" s="1" t="str">
        <f t="shared" si="376"/>
        <v>BONIS SPA</v>
      </c>
      <c r="G533" s="1" t="str">
        <f t="shared" si="377"/>
        <v>STOCK TERRA MP</v>
      </c>
      <c r="H533" s="1" t="str">
        <f t="shared" si="390"/>
        <v>TAU</v>
      </c>
      <c r="J533" s="1">
        <v>1</v>
      </c>
      <c r="K533" s="1">
        <f t="shared" si="365"/>
        <v>8</v>
      </c>
      <c r="L533" s="1" t="str">
        <f t="shared" si="378"/>
        <v>01</v>
      </c>
      <c r="M533" s="1" t="str">
        <f t="shared" si="360"/>
        <v>102</v>
      </c>
      <c r="N533" s="1" t="str">
        <f t="shared" si="391"/>
        <v>009</v>
      </c>
      <c r="O533" s="1" t="str">
        <f t="shared" si="379"/>
        <v>00</v>
      </c>
      <c r="P533" s="1" t="str">
        <f t="shared" si="380"/>
        <v>S</v>
      </c>
      <c r="Q533" s="1" t="str">
        <f t="shared" si="381"/>
        <v>P</v>
      </c>
      <c r="R533" s="1" t="str">
        <f t="shared" si="382"/>
        <v>01</v>
      </c>
      <c r="S533" s="1" t="str">
        <f t="shared" si="383"/>
        <v>03</v>
      </c>
      <c r="T533" s="1" t="str">
        <f t="shared" si="384"/>
        <v>False</v>
      </c>
      <c r="U533" s="1" t="str">
        <f t="shared" si="385"/>
        <v>True</v>
      </c>
      <c r="V533" s="1" t="str">
        <f t="shared" si="392"/>
        <v>U0023790</v>
      </c>
      <c r="W533" s="1">
        <v>1</v>
      </c>
      <c r="Y533" s="1">
        <v>0</v>
      </c>
      <c r="Z533" s="1">
        <v>0</v>
      </c>
      <c r="AB533" s="1" t="str">
        <f t="shared" si="372"/>
        <v>ECOM</v>
      </c>
      <c r="AG533" s="1">
        <v>0</v>
      </c>
      <c r="AH533" s="1">
        <v>0</v>
      </c>
      <c r="AI533" s="1" t="str">
        <f t="shared" si="393"/>
        <v>F06</v>
      </c>
      <c r="AJ533" s="1" t="str">
        <f t="shared" si="373"/>
        <v>MAN</v>
      </c>
      <c r="AK533" s="1" t="str">
        <f t="shared" si="386"/>
        <v>PA</v>
      </c>
      <c r="AP533" s="1" t="str">
        <f t="shared" si="387"/>
        <v>False</v>
      </c>
      <c r="AR533" s="1" t="str">
        <f t="shared" si="374"/>
        <v>TOMAS</v>
      </c>
      <c r="AY533" s="1" t="str">
        <f t="shared" si="388"/>
        <v>PF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 t="str">
        <f t="shared" si="375"/>
        <v>GERO TOMAS SUEDE x sfoderato</v>
      </c>
      <c r="BF533" s="1" t="str">
        <f t="shared" si="389"/>
        <v>Bonis SpA</v>
      </c>
      <c r="BO533" s="1">
        <v>0</v>
      </c>
      <c r="BP533" s="1">
        <v>0</v>
      </c>
      <c r="BQ533" s="1">
        <v>0</v>
      </c>
    </row>
    <row r="534" spans="2:69" x14ac:dyDescent="0.25">
      <c r="B534" s="1">
        <v>1755</v>
      </c>
      <c r="C534" s="1" t="str">
        <f t="shared" si="367"/>
        <v>TOMAS4026S7E/S2</v>
      </c>
      <c r="D534" s="1" t="str">
        <f>"ODV16N02275-055"</f>
        <v>ODV16N02275-055</v>
      </c>
      <c r="E534" s="1" t="str">
        <f t="shared" si="368"/>
        <v>A8 USPA</v>
      </c>
      <c r="F534" s="1" t="str">
        <f t="shared" si="376"/>
        <v>BONIS SPA</v>
      </c>
      <c r="G534" s="1" t="str">
        <f t="shared" si="377"/>
        <v>STOCK TERRA MP</v>
      </c>
      <c r="H534" s="1" t="str">
        <f t="shared" si="390"/>
        <v>TAU</v>
      </c>
      <c r="J534" s="1">
        <v>1</v>
      </c>
      <c r="K534" s="1">
        <f t="shared" si="365"/>
        <v>8</v>
      </c>
      <c r="L534" s="1" t="str">
        <f t="shared" si="378"/>
        <v>01</v>
      </c>
      <c r="M534" s="1" t="str">
        <f t="shared" si="360"/>
        <v>102</v>
      </c>
      <c r="N534" s="1" t="str">
        <f t="shared" si="391"/>
        <v>009</v>
      </c>
      <c r="O534" s="1" t="str">
        <f t="shared" si="379"/>
        <v>00</v>
      </c>
      <c r="P534" s="1" t="str">
        <f t="shared" si="380"/>
        <v>S</v>
      </c>
      <c r="Q534" s="1" t="str">
        <f t="shared" si="381"/>
        <v>P</v>
      </c>
      <c r="R534" s="1" t="str">
        <f t="shared" si="382"/>
        <v>01</v>
      </c>
      <c r="S534" s="1" t="str">
        <f t="shared" si="383"/>
        <v>03</v>
      </c>
      <c r="T534" s="1" t="str">
        <f t="shared" si="384"/>
        <v>False</v>
      </c>
      <c r="U534" s="1" t="str">
        <f t="shared" si="385"/>
        <v>True</v>
      </c>
      <c r="V534" s="1" t="str">
        <f t="shared" si="392"/>
        <v>U0023790</v>
      </c>
      <c r="W534" s="1">
        <v>1</v>
      </c>
      <c r="Y534" s="1">
        <v>0</v>
      </c>
      <c r="Z534" s="1">
        <v>0</v>
      </c>
      <c r="AB534" s="1" t="str">
        <f t="shared" si="372"/>
        <v>ECOM</v>
      </c>
      <c r="AG534" s="1">
        <v>0</v>
      </c>
      <c r="AH534" s="1">
        <v>0</v>
      </c>
      <c r="AI534" s="1" t="str">
        <f t="shared" si="393"/>
        <v>F06</v>
      </c>
      <c r="AJ534" s="1" t="str">
        <f t="shared" si="373"/>
        <v>MAN</v>
      </c>
      <c r="AK534" s="1" t="str">
        <f t="shared" si="386"/>
        <v>PA</v>
      </c>
      <c r="AP534" s="1" t="str">
        <f t="shared" si="387"/>
        <v>False</v>
      </c>
      <c r="AR534" s="1" t="str">
        <f t="shared" si="374"/>
        <v>TOMAS</v>
      </c>
      <c r="AY534" s="1" t="str">
        <f t="shared" si="388"/>
        <v>PF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 t="str">
        <f t="shared" si="375"/>
        <v>GERO TOMAS SUEDE x sfoderato</v>
      </c>
      <c r="BF534" s="1" t="str">
        <f t="shared" si="389"/>
        <v>Bonis SpA</v>
      </c>
      <c r="BO534" s="1">
        <v>0</v>
      </c>
      <c r="BP534" s="1">
        <v>0</v>
      </c>
      <c r="BQ534" s="1">
        <v>0</v>
      </c>
    </row>
    <row r="535" spans="2:69" x14ac:dyDescent="0.25">
      <c r="B535" s="1">
        <v>1755</v>
      </c>
      <c r="C535" s="1" t="str">
        <f t="shared" si="367"/>
        <v>TOMAS4026S7E/S2</v>
      </c>
      <c r="D535" s="1" t="str">
        <f>"ODV16N02275-056"</f>
        <v>ODV16N02275-056</v>
      </c>
      <c r="E535" s="1" t="str">
        <f t="shared" si="368"/>
        <v>A8 USPA</v>
      </c>
      <c r="F535" s="1" t="str">
        <f t="shared" si="376"/>
        <v>BONIS SPA</v>
      </c>
      <c r="G535" s="1" t="str">
        <f t="shared" si="377"/>
        <v>STOCK TERRA MP</v>
      </c>
      <c r="H535" s="1" t="str">
        <f t="shared" si="390"/>
        <v>TAU</v>
      </c>
      <c r="J535" s="1">
        <v>1</v>
      </c>
      <c r="K535" s="1">
        <f t="shared" si="365"/>
        <v>8</v>
      </c>
      <c r="L535" s="1" t="str">
        <f t="shared" si="378"/>
        <v>01</v>
      </c>
      <c r="M535" s="1" t="str">
        <f t="shared" si="360"/>
        <v>102</v>
      </c>
      <c r="N535" s="1" t="str">
        <f t="shared" si="391"/>
        <v>009</v>
      </c>
      <c r="O535" s="1" t="str">
        <f t="shared" si="379"/>
        <v>00</v>
      </c>
      <c r="P535" s="1" t="str">
        <f t="shared" si="380"/>
        <v>S</v>
      </c>
      <c r="Q535" s="1" t="str">
        <f t="shared" si="381"/>
        <v>P</v>
      </c>
      <c r="R535" s="1" t="str">
        <f t="shared" si="382"/>
        <v>01</v>
      </c>
      <c r="S535" s="1" t="str">
        <f t="shared" si="383"/>
        <v>03</v>
      </c>
      <c r="T535" s="1" t="str">
        <f t="shared" si="384"/>
        <v>False</v>
      </c>
      <c r="U535" s="1" t="str">
        <f t="shared" si="385"/>
        <v>True</v>
      </c>
      <c r="V535" s="1" t="str">
        <f t="shared" si="392"/>
        <v>U0023790</v>
      </c>
      <c r="W535" s="1">
        <v>1</v>
      </c>
      <c r="Y535" s="1">
        <v>0</v>
      </c>
      <c r="Z535" s="1">
        <v>0</v>
      </c>
      <c r="AB535" s="1" t="str">
        <f t="shared" si="372"/>
        <v>ECOM</v>
      </c>
      <c r="AG535" s="1">
        <v>0</v>
      </c>
      <c r="AH535" s="1">
        <v>0</v>
      </c>
      <c r="AI535" s="1" t="str">
        <f t="shared" si="393"/>
        <v>F06</v>
      </c>
      <c r="AJ535" s="1" t="str">
        <f t="shared" si="373"/>
        <v>MAN</v>
      </c>
      <c r="AK535" s="1" t="str">
        <f t="shared" si="386"/>
        <v>PA</v>
      </c>
      <c r="AP535" s="1" t="str">
        <f t="shared" si="387"/>
        <v>False</v>
      </c>
      <c r="AR535" s="1" t="str">
        <f t="shared" si="374"/>
        <v>TOMAS</v>
      </c>
      <c r="AY535" s="1" t="str">
        <f t="shared" si="388"/>
        <v>PF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 t="str">
        <f t="shared" si="375"/>
        <v>GERO TOMAS SUEDE x sfoderato</v>
      </c>
      <c r="BF535" s="1" t="str">
        <f t="shared" si="389"/>
        <v>Bonis SpA</v>
      </c>
      <c r="BO535" s="1">
        <v>0</v>
      </c>
      <c r="BP535" s="1">
        <v>0</v>
      </c>
      <c r="BQ535" s="1">
        <v>0</v>
      </c>
    </row>
    <row r="536" spans="2:69" x14ac:dyDescent="0.25">
      <c r="B536" s="1">
        <v>1755</v>
      </c>
      <c r="C536" s="1" t="str">
        <f t="shared" si="367"/>
        <v>TOMAS4026S7E/S2</v>
      </c>
      <c r="D536" s="1" t="str">
        <f>"ODV16N02275-057"</f>
        <v>ODV16N02275-057</v>
      </c>
      <c r="E536" s="1" t="str">
        <f t="shared" si="368"/>
        <v>A8 USPA</v>
      </c>
      <c r="F536" s="1" t="str">
        <f t="shared" si="376"/>
        <v>BONIS SPA</v>
      </c>
      <c r="G536" s="1" t="str">
        <f t="shared" si="377"/>
        <v>STOCK TERRA MP</v>
      </c>
      <c r="H536" s="1" t="str">
        <f t="shared" si="390"/>
        <v>TAU</v>
      </c>
      <c r="J536" s="1">
        <v>1</v>
      </c>
      <c r="K536" s="1">
        <f t="shared" si="365"/>
        <v>8</v>
      </c>
      <c r="L536" s="1" t="str">
        <f t="shared" si="378"/>
        <v>01</v>
      </c>
      <c r="M536" s="1" t="str">
        <f t="shared" si="360"/>
        <v>102</v>
      </c>
      <c r="N536" s="1" t="str">
        <f t="shared" si="391"/>
        <v>009</v>
      </c>
      <c r="O536" s="1" t="str">
        <f t="shared" si="379"/>
        <v>00</v>
      </c>
      <c r="P536" s="1" t="str">
        <f t="shared" si="380"/>
        <v>S</v>
      </c>
      <c r="Q536" s="1" t="str">
        <f t="shared" si="381"/>
        <v>P</v>
      </c>
      <c r="R536" s="1" t="str">
        <f t="shared" si="382"/>
        <v>01</v>
      </c>
      <c r="S536" s="1" t="str">
        <f t="shared" si="383"/>
        <v>03</v>
      </c>
      <c r="T536" s="1" t="str">
        <f t="shared" si="384"/>
        <v>False</v>
      </c>
      <c r="U536" s="1" t="str">
        <f t="shared" si="385"/>
        <v>True</v>
      </c>
      <c r="V536" s="1" t="str">
        <f t="shared" si="392"/>
        <v>U0023790</v>
      </c>
      <c r="W536" s="1">
        <v>1</v>
      </c>
      <c r="Y536" s="1">
        <v>0</v>
      </c>
      <c r="Z536" s="1">
        <v>0</v>
      </c>
      <c r="AB536" s="1" t="str">
        <f t="shared" si="372"/>
        <v>ECOM</v>
      </c>
      <c r="AG536" s="1">
        <v>0</v>
      </c>
      <c r="AH536" s="1">
        <v>0</v>
      </c>
      <c r="AI536" s="1" t="str">
        <f t="shared" si="393"/>
        <v>F06</v>
      </c>
      <c r="AJ536" s="1" t="str">
        <f t="shared" si="373"/>
        <v>MAN</v>
      </c>
      <c r="AK536" s="1" t="str">
        <f t="shared" si="386"/>
        <v>PA</v>
      </c>
      <c r="AP536" s="1" t="str">
        <f t="shared" si="387"/>
        <v>False</v>
      </c>
      <c r="AR536" s="1" t="str">
        <f t="shared" si="374"/>
        <v>TOMAS</v>
      </c>
      <c r="AY536" s="1" t="str">
        <f t="shared" si="388"/>
        <v>PF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 t="str">
        <f t="shared" si="375"/>
        <v>GERO TOMAS SUEDE x sfoderato</v>
      </c>
      <c r="BF536" s="1" t="str">
        <f t="shared" si="389"/>
        <v>Bonis SpA</v>
      </c>
      <c r="BO536" s="1">
        <v>0</v>
      </c>
      <c r="BP536" s="1">
        <v>0</v>
      </c>
      <c r="BQ536" s="1">
        <v>0</v>
      </c>
    </row>
    <row r="537" spans="2:69" x14ac:dyDescent="0.25">
      <c r="B537" s="1">
        <v>1755</v>
      </c>
      <c r="C537" s="1" t="str">
        <f t="shared" si="367"/>
        <v>TOMAS4026S7E/S2</v>
      </c>
      <c r="D537" s="1" t="str">
        <f>"ODV16N02275-058"</f>
        <v>ODV16N02275-058</v>
      </c>
      <c r="E537" s="1" t="str">
        <f t="shared" si="368"/>
        <v>A8 USPA</v>
      </c>
      <c r="F537" s="1" t="str">
        <f t="shared" si="376"/>
        <v>BONIS SPA</v>
      </c>
      <c r="G537" s="1" t="str">
        <f t="shared" si="377"/>
        <v>STOCK TERRA MP</v>
      </c>
      <c r="H537" s="1" t="str">
        <f t="shared" si="390"/>
        <v>TAU</v>
      </c>
      <c r="J537" s="1">
        <v>1</v>
      </c>
      <c r="K537" s="1">
        <f t="shared" si="365"/>
        <v>8</v>
      </c>
      <c r="L537" s="1" t="str">
        <f t="shared" si="378"/>
        <v>01</v>
      </c>
      <c r="M537" s="1" t="str">
        <f t="shared" si="360"/>
        <v>102</v>
      </c>
      <c r="N537" s="1" t="str">
        <f t="shared" si="391"/>
        <v>009</v>
      </c>
      <c r="O537" s="1" t="str">
        <f t="shared" si="379"/>
        <v>00</v>
      </c>
      <c r="P537" s="1" t="str">
        <f t="shared" si="380"/>
        <v>S</v>
      </c>
      <c r="Q537" s="1" t="str">
        <f t="shared" si="381"/>
        <v>P</v>
      </c>
      <c r="R537" s="1" t="str">
        <f t="shared" si="382"/>
        <v>01</v>
      </c>
      <c r="S537" s="1" t="str">
        <f t="shared" si="383"/>
        <v>03</v>
      </c>
      <c r="T537" s="1" t="str">
        <f t="shared" si="384"/>
        <v>False</v>
      </c>
      <c r="U537" s="1" t="str">
        <f t="shared" si="385"/>
        <v>True</v>
      </c>
      <c r="V537" s="1" t="str">
        <f t="shared" si="392"/>
        <v>U0023790</v>
      </c>
      <c r="W537" s="1">
        <v>1</v>
      </c>
      <c r="Y537" s="1">
        <v>0</v>
      </c>
      <c r="Z537" s="1">
        <v>0</v>
      </c>
      <c r="AB537" s="1" t="str">
        <f t="shared" si="372"/>
        <v>ECOM</v>
      </c>
      <c r="AG537" s="1">
        <v>0</v>
      </c>
      <c r="AH537" s="1">
        <v>0</v>
      </c>
      <c r="AI537" s="1" t="str">
        <f t="shared" si="393"/>
        <v>F06</v>
      </c>
      <c r="AJ537" s="1" t="str">
        <f t="shared" si="373"/>
        <v>MAN</v>
      </c>
      <c r="AK537" s="1" t="str">
        <f t="shared" si="386"/>
        <v>PA</v>
      </c>
      <c r="AP537" s="1" t="str">
        <f t="shared" si="387"/>
        <v>False</v>
      </c>
      <c r="AR537" s="1" t="str">
        <f t="shared" si="374"/>
        <v>TOMAS</v>
      </c>
      <c r="AY537" s="1" t="str">
        <f t="shared" si="388"/>
        <v>PF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 t="str">
        <f t="shared" si="375"/>
        <v>GERO TOMAS SUEDE x sfoderato</v>
      </c>
      <c r="BF537" s="1" t="str">
        <f t="shared" si="389"/>
        <v>Bonis SpA</v>
      </c>
      <c r="BO537" s="1">
        <v>0</v>
      </c>
      <c r="BP537" s="1">
        <v>0</v>
      </c>
      <c r="BQ537" s="1">
        <v>0</v>
      </c>
    </row>
    <row r="538" spans="2:69" x14ac:dyDescent="0.25">
      <c r="B538" s="1">
        <v>1750</v>
      </c>
      <c r="C538" s="1" t="str">
        <f t="shared" si="367"/>
        <v>TOMAS4026S7E/S2</v>
      </c>
      <c r="D538" s="1" t="str">
        <f>"ODV16N02275-059"</f>
        <v>ODV16N02275-059</v>
      </c>
      <c r="E538" s="1" t="str">
        <f t="shared" si="368"/>
        <v>A8 USPA</v>
      </c>
      <c r="F538" s="1" t="str">
        <f t="shared" si="376"/>
        <v>BONIS SPA</v>
      </c>
      <c r="G538" s="1" t="str">
        <f t="shared" si="377"/>
        <v>STOCK TERRA MP</v>
      </c>
      <c r="H538" s="1" t="str">
        <f t="shared" si="390"/>
        <v>TAU</v>
      </c>
      <c r="J538" s="1">
        <v>1</v>
      </c>
      <c r="K538" s="1">
        <f t="shared" si="365"/>
        <v>8</v>
      </c>
      <c r="L538" s="1" t="str">
        <f t="shared" si="378"/>
        <v>01</v>
      </c>
      <c r="M538" s="1" t="str">
        <f t="shared" si="360"/>
        <v>102</v>
      </c>
      <c r="N538" s="1" t="str">
        <f>"004"</f>
        <v>004</v>
      </c>
      <c r="O538" s="1" t="str">
        <f t="shared" si="379"/>
        <v>00</v>
      </c>
      <c r="P538" s="1" t="str">
        <f t="shared" si="380"/>
        <v>S</v>
      </c>
      <c r="Q538" s="1" t="str">
        <f t="shared" si="381"/>
        <v>P</v>
      </c>
      <c r="R538" s="1" t="str">
        <f t="shared" si="382"/>
        <v>01</v>
      </c>
      <c r="S538" s="1" t="str">
        <f t="shared" si="383"/>
        <v>03</v>
      </c>
      <c r="T538" s="1" t="str">
        <f t="shared" si="384"/>
        <v>False</v>
      </c>
      <c r="U538" s="1" t="str">
        <f t="shared" si="385"/>
        <v>True</v>
      </c>
      <c r="V538" s="1" t="str">
        <f>"U0033617"</f>
        <v>U0033617</v>
      </c>
      <c r="W538" s="1">
        <v>1</v>
      </c>
      <c r="Y538" s="1">
        <v>0</v>
      </c>
      <c r="Z538" s="1">
        <v>0</v>
      </c>
      <c r="AB538" s="1" t="str">
        <f t="shared" si="372"/>
        <v>ECOM</v>
      </c>
      <c r="AG538" s="1">
        <v>0</v>
      </c>
      <c r="AH538" s="1">
        <v>0</v>
      </c>
      <c r="AI538" s="1" t="str">
        <f t="shared" si="393"/>
        <v>F06</v>
      </c>
      <c r="AJ538" s="1" t="str">
        <f t="shared" si="373"/>
        <v>MAN</v>
      </c>
      <c r="AK538" s="1" t="str">
        <f t="shared" si="386"/>
        <v>PA</v>
      </c>
      <c r="AP538" s="1" t="str">
        <f t="shared" si="387"/>
        <v>False</v>
      </c>
      <c r="AR538" s="1" t="str">
        <f t="shared" si="374"/>
        <v>TOMAS</v>
      </c>
      <c r="AY538" s="1" t="str">
        <f t="shared" si="388"/>
        <v>PF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 t="str">
        <f t="shared" si="375"/>
        <v>GERO TOMAS SUEDE x sfoderato</v>
      </c>
      <c r="BF538" s="1" t="str">
        <f t="shared" si="389"/>
        <v>Bonis SpA</v>
      </c>
      <c r="BO538" s="1">
        <v>0</v>
      </c>
      <c r="BP538" s="1">
        <v>0</v>
      </c>
      <c r="BQ538" s="1">
        <v>0</v>
      </c>
    </row>
    <row r="539" spans="2:69" x14ac:dyDescent="0.25">
      <c r="B539" s="1">
        <v>1750</v>
      </c>
      <c r="C539" s="1" t="str">
        <f t="shared" si="367"/>
        <v>TOMAS4026S7E/S2</v>
      </c>
      <c r="D539" s="1" t="str">
        <f>"ODV16N02275-060"</f>
        <v>ODV16N02275-060</v>
      </c>
      <c r="E539" s="1" t="str">
        <f t="shared" si="368"/>
        <v>A8 USPA</v>
      </c>
      <c r="F539" s="1" t="str">
        <f t="shared" si="376"/>
        <v>BONIS SPA</v>
      </c>
      <c r="G539" s="1" t="str">
        <f t="shared" si="377"/>
        <v>STOCK TERRA MP</v>
      </c>
      <c r="H539" s="1" t="str">
        <f t="shared" si="390"/>
        <v>TAU</v>
      </c>
      <c r="J539" s="1">
        <v>1</v>
      </c>
      <c r="K539" s="1">
        <f t="shared" si="365"/>
        <v>8</v>
      </c>
      <c r="L539" s="1" t="str">
        <f t="shared" si="378"/>
        <v>01</v>
      </c>
      <c r="M539" s="1" t="str">
        <f t="shared" si="360"/>
        <v>102</v>
      </c>
      <c r="N539" s="1" t="str">
        <f>"004"</f>
        <v>004</v>
      </c>
      <c r="O539" s="1" t="str">
        <f t="shared" si="379"/>
        <v>00</v>
      </c>
      <c r="P539" s="1" t="str">
        <f t="shared" si="380"/>
        <v>S</v>
      </c>
      <c r="Q539" s="1" t="str">
        <f t="shared" si="381"/>
        <v>P</v>
      </c>
      <c r="R539" s="1" t="str">
        <f t="shared" si="382"/>
        <v>01</v>
      </c>
      <c r="S539" s="1" t="str">
        <f t="shared" si="383"/>
        <v>03</v>
      </c>
      <c r="T539" s="1" t="str">
        <f t="shared" si="384"/>
        <v>False</v>
      </c>
      <c r="U539" s="1" t="str">
        <f t="shared" si="385"/>
        <v>True</v>
      </c>
      <c r="V539" s="1" t="str">
        <f>"U0033617"</f>
        <v>U0033617</v>
      </c>
      <c r="W539" s="1">
        <v>1</v>
      </c>
      <c r="Y539" s="1">
        <v>0</v>
      </c>
      <c r="Z539" s="1">
        <v>0</v>
      </c>
      <c r="AB539" s="1" t="str">
        <f t="shared" si="372"/>
        <v>ECOM</v>
      </c>
      <c r="AG539" s="1">
        <v>0</v>
      </c>
      <c r="AH539" s="1">
        <v>0</v>
      </c>
      <c r="AI539" s="1" t="str">
        <f t="shared" si="393"/>
        <v>F06</v>
      </c>
      <c r="AJ539" s="1" t="str">
        <f t="shared" si="373"/>
        <v>MAN</v>
      </c>
      <c r="AK539" s="1" t="str">
        <f t="shared" si="386"/>
        <v>PA</v>
      </c>
      <c r="AP539" s="1" t="str">
        <f t="shared" si="387"/>
        <v>False</v>
      </c>
      <c r="AR539" s="1" t="str">
        <f t="shared" si="374"/>
        <v>TOMAS</v>
      </c>
      <c r="AY539" s="1" t="str">
        <f t="shared" si="388"/>
        <v>PF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 t="str">
        <f t="shared" si="375"/>
        <v>GERO TOMAS SUEDE x sfoderato</v>
      </c>
      <c r="BF539" s="1" t="str">
        <f t="shared" si="389"/>
        <v>Bonis SpA</v>
      </c>
      <c r="BO539" s="1">
        <v>0</v>
      </c>
      <c r="BP539" s="1">
        <v>0</v>
      </c>
      <c r="BQ539" s="1">
        <v>0</v>
      </c>
    </row>
    <row r="540" spans="2:69" x14ac:dyDescent="0.25">
      <c r="B540" s="1">
        <v>1754</v>
      </c>
      <c r="C540" s="1" t="str">
        <f t="shared" si="367"/>
        <v>TOMAS4026S7E/S2</v>
      </c>
      <c r="D540" s="1" t="str">
        <f>"ODV16N02275-062"</f>
        <v>ODV16N02275-062</v>
      </c>
      <c r="E540" s="1" t="str">
        <f t="shared" ref="E540:E545" si="394">"C12 USPA"</f>
        <v>C12 USPA</v>
      </c>
      <c r="F540" s="1" t="str">
        <f t="shared" si="376"/>
        <v>BONIS SPA</v>
      </c>
      <c r="G540" s="1" t="str">
        <f t="shared" si="377"/>
        <v>STOCK TERRA MP</v>
      </c>
      <c r="H540" s="1" t="str">
        <f t="shared" si="390"/>
        <v>TAU</v>
      </c>
      <c r="J540" s="1">
        <v>1</v>
      </c>
      <c r="K540" s="1">
        <f t="shared" ref="K540:K548" si="395">12*J540</f>
        <v>12</v>
      </c>
      <c r="L540" s="1" t="str">
        <f t="shared" si="378"/>
        <v>01</v>
      </c>
      <c r="M540" s="1" t="str">
        <f t="shared" si="360"/>
        <v>102</v>
      </c>
      <c r="N540" s="1" t="str">
        <f t="shared" ref="N540:N545" si="396">"008"</f>
        <v>008</v>
      </c>
      <c r="O540" s="1" t="str">
        <f t="shared" si="379"/>
        <v>00</v>
      </c>
      <c r="P540" s="1" t="str">
        <f t="shared" si="380"/>
        <v>S</v>
      </c>
      <c r="Q540" s="1" t="str">
        <f t="shared" si="381"/>
        <v>P</v>
      </c>
      <c r="R540" s="1" t="str">
        <f t="shared" si="382"/>
        <v>01</v>
      </c>
      <c r="S540" s="1" t="str">
        <f t="shared" si="383"/>
        <v>03</v>
      </c>
      <c r="T540" s="1" t="str">
        <f t="shared" si="384"/>
        <v>False</v>
      </c>
      <c r="U540" s="1" t="str">
        <f t="shared" si="385"/>
        <v>True</v>
      </c>
      <c r="V540" s="1" t="str">
        <f t="shared" ref="V540:V545" si="397">"U0023791"</f>
        <v>U0023791</v>
      </c>
      <c r="W540" s="1">
        <v>1</v>
      </c>
      <c r="Y540" s="1">
        <v>0</v>
      </c>
      <c r="Z540" s="1">
        <v>0</v>
      </c>
      <c r="AB540" s="1" t="str">
        <f t="shared" si="372"/>
        <v>ECOM</v>
      </c>
      <c r="AG540" s="1">
        <v>0</v>
      </c>
      <c r="AH540" s="1">
        <v>0</v>
      </c>
      <c r="AI540" s="1" t="str">
        <f t="shared" si="393"/>
        <v>F06</v>
      </c>
      <c r="AJ540" s="1" t="str">
        <f t="shared" si="373"/>
        <v>MAN</v>
      </c>
      <c r="AK540" s="1" t="str">
        <f t="shared" si="386"/>
        <v>PA</v>
      </c>
      <c r="AP540" s="1" t="str">
        <f t="shared" si="387"/>
        <v>False</v>
      </c>
      <c r="AR540" s="1" t="str">
        <f t="shared" si="374"/>
        <v>TOMAS</v>
      </c>
      <c r="AY540" s="1" t="str">
        <f t="shared" si="388"/>
        <v>PF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 t="str">
        <f t="shared" si="375"/>
        <v>GERO TOMAS SUEDE x sfoderato</v>
      </c>
      <c r="BF540" s="1" t="str">
        <f t="shared" si="389"/>
        <v>Bonis SpA</v>
      </c>
      <c r="BO540" s="1">
        <v>0</v>
      </c>
      <c r="BP540" s="1">
        <v>0</v>
      </c>
      <c r="BQ540" s="1">
        <v>0</v>
      </c>
    </row>
    <row r="541" spans="2:69" x14ac:dyDescent="0.25">
      <c r="B541" s="1">
        <v>1754</v>
      </c>
      <c r="C541" s="1" t="str">
        <f t="shared" si="367"/>
        <v>TOMAS4026S7E/S2</v>
      </c>
      <c r="D541" s="1" t="str">
        <f>"ODV16N02275-063"</f>
        <v>ODV16N02275-063</v>
      </c>
      <c r="E541" s="1" t="str">
        <f t="shared" si="394"/>
        <v>C12 USPA</v>
      </c>
      <c r="F541" s="1" t="str">
        <f t="shared" si="376"/>
        <v>BONIS SPA</v>
      </c>
      <c r="G541" s="1" t="str">
        <f t="shared" si="377"/>
        <v>STOCK TERRA MP</v>
      </c>
      <c r="H541" s="1" t="str">
        <f t="shared" si="390"/>
        <v>TAU</v>
      </c>
      <c r="J541" s="1">
        <v>1</v>
      </c>
      <c r="K541" s="1">
        <f t="shared" si="395"/>
        <v>12</v>
      </c>
      <c r="L541" s="1" t="str">
        <f t="shared" si="378"/>
        <v>01</v>
      </c>
      <c r="M541" s="1" t="str">
        <f t="shared" si="360"/>
        <v>102</v>
      </c>
      <c r="N541" s="1" t="str">
        <f t="shared" si="396"/>
        <v>008</v>
      </c>
      <c r="O541" s="1" t="str">
        <f t="shared" si="379"/>
        <v>00</v>
      </c>
      <c r="P541" s="1" t="str">
        <f t="shared" si="380"/>
        <v>S</v>
      </c>
      <c r="Q541" s="1" t="str">
        <f t="shared" si="381"/>
        <v>P</v>
      </c>
      <c r="R541" s="1" t="str">
        <f t="shared" si="382"/>
        <v>01</v>
      </c>
      <c r="S541" s="1" t="str">
        <f t="shared" si="383"/>
        <v>03</v>
      </c>
      <c r="T541" s="1" t="str">
        <f t="shared" si="384"/>
        <v>False</v>
      </c>
      <c r="U541" s="1" t="str">
        <f t="shared" si="385"/>
        <v>True</v>
      </c>
      <c r="V541" s="1" t="str">
        <f t="shared" si="397"/>
        <v>U0023791</v>
      </c>
      <c r="W541" s="1">
        <v>1</v>
      </c>
      <c r="Y541" s="1">
        <v>0</v>
      </c>
      <c r="Z541" s="1">
        <v>0</v>
      </c>
      <c r="AB541" s="1" t="str">
        <f t="shared" si="372"/>
        <v>ECOM</v>
      </c>
      <c r="AG541" s="1">
        <v>0</v>
      </c>
      <c r="AH541" s="1">
        <v>0</v>
      </c>
      <c r="AI541" s="1" t="str">
        <f t="shared" si="393"/>
        <v>F06</v>
      </c>
      <c r="AJ541" s="1" t="str">
        <f t="shared" si="373"/>
        <v>MAN</v>
      </c>
      <c r="AK541" s="1" t="str">
        <f t="shared" si="386"/>
        <v>PA</v>
      </c>
      <c r="AP541" s="1" t="str">
        <f t="shared" si="387"/>
        <v>False</v>
      </c>
      <c r="AR541" s="1" t="str">
        <f t="shared" si="374"/>
        <v>TOMAS</v>
      </c>
      <c r="AY541" s="1" t="str">
        <f t="shared" si="388"/>
        <v>PF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 t="str">
        <f t="shared" si="375"/>
        <v>GERO TOMAS SUEDE x sfoderato</v>
      </c>
      <c r="BF541" s="1" t="str">
        <f t="shared" si="389"/>
        <v>Bonis SpA</v>
      </c>
      <c r="BO541" s="1">
        <v>0</v>
      </c>
      <c r="BP541" s="1">
        <v>0</v>
      </c>
      <c r="BQ541" s="1">
        <v>0</v>
      </c>
    </row>
    <row r="542" spans="2:69" x14ac:dyDescent="0.25">
      <c r="B542" s="1">
        <v>1754</v>
      </c>
      <c r="C542" s="1" t="str">
        <f t="shared" si="367"/>
        <v>TOMAS4026S7E/S2</v>
      </c>
      <c r="D542" s="1" t="str">
        <f>"ODV16N02275-064"</f>
        <v>ODV16N02275-064</v>
      </c>
      <c r="E542" s="1" t="str">
        <f t="shared" si="394"/>
        <v>C12 USPA</v>
      </c>
      <c r="F542" s="1" t="str">
        <f t="shared" si="376"/>
        <v>BONIS SPA</v>
      </c>
      <c r="G542" s="1" t="str">
        <f t="shared" si="377"/>
        <v>STOCK TERRA MP</v>
      </c>
      <c r="H542" s="1" t="str">
        <f t="shared" si="390"/>
        <v>TAU</v>
      </c>
      <c r="J542" s="1">
        <v>1</v>
      </c>
      <c r="K542" s="1">
        <f t="shared" si="395"/>
        <v>12</v>
      </c>
      <c r="L542" s="1" t="str">
        <f t="shared" si="378"/>
        <v>01</v>
      </c>
      <c r="M542" s="1" t="str">
        <f t="shared" si="360"/>
        <v>102</v>
      </c>
      <c r="N542" s="1" t="str">
        <f t="shared" si="396"/>
        <v>008</v>
      </c>
      <c r="O542" s="1" t="str">
        <f t="shared" si="379"/>
        <v>00</v>
      </c>
      <c r="P542" s="1" t="str">
        <f t="shared" si="380"/>
        <v>S</v>
      </c>
      <c r="Q542" s="1" t="str">
        <f t="shared" si="381"/>
        <v>P</v>
      </c>
      <c r="R542" s="1" t="str">
        <f t="shared" si="382"/>
        <v>01</v>
      </c>
      <c r="S542" s="1" t="str">
        <f t="shared" si="383"/>
        <v>03</v>
      </c>
      <c r="T542" s="1" t="str">
        <f t="shared" si="384"/>
        <v>False</v>
      </c>
      <c r="U542" s="1" t="str">
        <f t="shared" si="385"/>
        <v>True</v>
      </c>
      <c r="V542" s="1" t="str">
        <f t="shared" si="397"/>
        <v>U0023791</v>
      </c>
      <c r="W542" s="1">
        <v>1</v>
      </c>
      <c r="Y542" s="1">
        <v>0</v>
      </c>
      <c r="Z542" s="1">
        <v>0</v>
      </c>
      <c r="AB542" s="1" t="str">
        <f t="shared" si="372"/>
        <v>ECOM</v>
      </c>
      <c r="AG542" s="1">
        <v>0</v>
      </c>
      <c r="AH542" s="1">
        <v>0</v>
      </c>
      <c r="AI542" s="1" t="str">
        <f t="shared" si="393"/>
        <v>F06</v>
      </c>
      <c r="AJ542" s="1" t="str">
        <f t="shared" si="373"/>
        <v>MAN</v>
      </c>
      <c r="AK542" s="1" t="str">
        <f t="shared" si="386"/>
        <v>PA</v>
      </c>
      <c r="AP542" s="1" t="str">
        <f t="shared" si="387"/>
        <v>False</v>
      </c>
      <c r="AR542" s="1" t="str">
        <f t="shared" si="374"/>
        <v>TOMAS</v>
      </c>
      <c r="AY542" s="1" t="str">
        <f t="shared" si="388"/>
        <v>PF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 t="str">
        <f t="shared" si="375"/>
        <v>GERO TOMAS SUEDE x sfoderato</v>
      </c>
      <c r="BF542" s="1" t="str">
        <f t="shared" si="389"/>
        <v>Bonis SpA</v>
      </c>
      <c r="BO542" s="1">
        <v>0</v>
      </c>
      <c r="BP542" s="1">
        <v>0</v>
      </c>
      <c r="BQ542" s="1">
        <v>0</v>
      </c>
    </row>
    <row r="543" spans="2:69" x14ac:dyDescent="0.25">
      <c r="B543" s="1">
        <v>1754</v>
      </c>
      <c r="C543" s="1" t="str">
        <f t="shared" si="367"/>
        <v>TOMAS4026S7E/S2</v>
      </c>
      <c r="D543" s="1" t="str">
        <f>"ODV16N02275-065"</f>
        <v>ODV16N02275-065</v>
      </c>
      <c r="E543" s="1" t="str">
        <f t="shared" si="394"/>
        <v>C12 USPA</v>
      </c>
      <c r="F543" s="1" t="str">
        <f t="shared" si="376"/>
        <v>BONIS SPA</v>
      </c>
      <c r="G543" s="1" t="str">
        <f t="shared" si="377"/>
        <v>STOCK TERRA MP</v>
      </c>
      <c r="H543" s="1" t="str">
        <f t="shared" si="390"/>
        <v>TAU</v>
      </c>
      <c r="J543" s="1">
        <v>1</v>
      </c>
      <c r="K543" s="1">
        <f t="shared" si="395"/>
        <v>12</v>
      </c>
      <c r="L543" s="1" t="str">
        <f t="shared" si="378"/>
        <v>01</v>
      </c>
      <c r="M543" s="1" t="str">
        <f t="shared" si="360"/>
        <v>102</v>
      </c>
      <c r="N543" s="1" t="str">
        <f t="shared" si="396"/>
        <v>008</v>
      </c>
      <c r="O543" s="1" t="str">
        <f t="shared" si="379"/>
        <v>00</v>
      </c>
      <c r="P543" s="1" t="str">
        <f t="shared" si="380"/>
        <v>S</v>
      </c>
      <c r="Q543" s="1" t="str">
        <f t="shared" si="381"/>
        <v>P</v>
      </c>
      <c r="R543" s="1" t="str">
        <f t="shared" si="382"/>
        <v>01</v>
      </c>
      <c r="S543" s="1" t="str">
        <f t="shared" si="383"/>
        <v>03</v>
      </c>
      <c r="T543" s="1" t="str">
        <f t="shared" si="384"/>
        <v>False</v>
      </c>
      <c r="U543" s="1" t="str">
        <f t="shared" si="385"/>
        <v>True</v>
      </c>
      <c r="V543" s="1" t="str">
        <f t="shared" si="397"/>
        <v>U0023791</v>
      </c>
      <c r="W543" s="1">
        <v>1</v>
      </c>
      <c r="Y543" s="1">
        <v>0</v>
      </c>
      <c r="Z543" s="1">
        <v>0</v>
      </c>
      <c r="AB543" s="1" t="str">
        <f t="shared" si="372"/>
        <v>ECOM</v>
      </c>
      <c r="AG543" s="1">
        <v>0</v>
      </c>
      <c r="AH543" s="1">
        <v>0</v>
      </c>
      <c r="AI543" s="1" t="str">
        <f t="shared" si="393"/>
        <v>F06</v>
      </c>
      <c r="AJ543" s="1" t="str">
        <f t="shared" si="373"/>
        <v>MAN</v>
      </c>
      <c r="AK543" s="1" t="str">
        <f t="shared" si="386"/>
        <v>PA</v>
      </c>
      <c r="AP543" s="1" t="str">
        <f t="shared" si="387"/>
        <v>False</v>
      </c>
      <c r="AR543" s="1" t="str">
        <f t="shared" si="374"/>
        <v>TOMAS</v>
      </c>
      <c r="AY543" s="1" t="str">
        <f t="shared" si="388"/>
        <v>PF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 t="str">
        <f t="shared" si="375"/>
        <v>GERO TOMAS SUEDE x sfoderato</v>
      </c>
      <c r="BF543" s="1" t="str">
        <f t="shared" si="389"/>
        <v>Bonis SpA</v>
      </c>
      <c r="BO543" s="1">
        <v>0</v>
      </c>
      <c r="BP543" s="1">
        <v>0</v>
      </c>
      <c r="BQ543" s="1">
        <v>0</v>
      </c>
    </row>
    <row r="544" spans="2:69" x14ac:dyDescent="0.25">
      <c r="B544" s="1">
        <v>1754</v>
      </c>
      <c r="C544" s="1" t="str">
        <f t="shared" si="367"/>
        <v>TOMAS4026S7E/S2</v>
      </c>
      <c r="D544" s="1" t="str">
        <f>"ODV16N02275-066"</f>
        <v>ODV16N02275-066</v>
      </c>
      <c r="E544" s="1" t="str">
        <f t="shared" si="394"/>
        <v>C12 USPA</v>
      </c>
      <c r="F544" s="1" t="str">
        <f t="shared" si="376"/>
        <v>BONIS SPA</v>
      </c>
      <c r="G544" s="1" t="str">
        <f t="shared" si="377"/>
        <v>STOCK TERRA MP</v>
      </c>
      <c r="H544" s="1" t="str">
        <f t="shared" si="390"/>
        <v>TAU</v>
      </c>
      <c r="J544" s="1">
        <v>1</v>
      </c>
      <c r="K544" s="1">
        <f t="shared" si="395"/>
        <v>12</v>
      </c>
      <c r="L544" s="1" t="str">
        <f t="shared" si="378"/>
        <v>01</v>
      </c>
      <c r="M544" s="1" t="str">
        <f t="shared" si="360"/>
        <v>102</v>
      </c>
      <c r="N544" s="1" t="str">
        <f t="shared" si="396"/>
        <v>008</v>
      </c>
      <c r="O544" s="1" t="str">
        <f t="shared" si="379"/>
        <v>00</v>
      </c>
      <c r="P544" s="1" t="str">
        <f t="shared" si="380"/>
        <v>S</v>
      </c>
      <c r="Q544" s="1" t="str">
        <f t="shared" si="381"/>
        <v>P</v>
      </c>
      <c r="R544" s="1" t="str">
        <f t="shared" si="382"/>
        <v>01</v>
      </c>
      <c r="S544" s="1" t="str">
        <f t="shared" si="383"/>
        <v>03</v>
      </c>
      <c r="T544" s="1" t="str">
        <f t="shared" si="384"/>
        <v>False</v>
      </c>
      <c r="U544" s="1" t="str">
        <f t="shared" si="385"/>
        <v>True</v>
      </c>
      <c r="V544" s="1" t="str">
        <f t="shared" si="397"/>
        <v>U0023791</v>
      </c>
      <c r="W544" s="1">
        <v>1</v>
      </c>
      <c r="Y544" s="1">
        <v>0</v>
      </c>
      <c r="Z544" s="1">
        <v>0</v>
      </c>
      <c r="AB544" s="1" t="str">
        <f t="shared" si="372"/>
        <v>ECOM</v>
      </c>
      <c r="AG544" s="1">
        <v>0</v>
      </c>
      <c r="AH544" s="1">
        <v>0</v>
      </c>
      <c r="AI544" s="1" t="str">
        <f t="shared" si="393"/>
        <v>F06</v>
      </c>
      <c r="AJ544" s="1" t="str">
        <f t="shared" si="373"/>
        <v>MAN</v>
      </c>
      <c r="AK544" s="1" t="str">
        <f t="shared" si="386"/>
        <v>PA</v>
      </c>
      <c r="AP544" s="1" t="str">
        <f t="shared" si="387"/>
        <v>False</v>
      </c>
      <c r="AR544" s="1" t="str">
        <f t="shared" si="374"/>
        <v>TOMAS</v>
      </c>
      <c r="AY544" s="1" t="str">
        <f t="shared" si="388"/>
        <v>PF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 t="str">
        <f t="shared" si="375"/>
        <v>GERO TOMAS SUEDE x sfoderato</v>
      </c>
      <c r="BF544" s="1" t="str">
        <f t="shared" si="389"/>
        <v>Bonis SpA</v>
      </c>
      <c r="BO544" s="1">
        <v>0</v>
      </c>
      <c r="BP544" s="1">
        <v>0</v>
      </c>
      <c r="BQ544" s="1">
        <v>0</v>
      </c>
    </row>
    <row r="545" spans="2:69" x14ac:dyDescent="0.25">
      <c r="B545" s="1">
        <v>1754</v>
      </c>
      <c r="C545" s="1" t="str">
        <f t="shared" si="367"/>
        <v>TOMAS4026S7E/S2</v>
      </c>
      <c r="D545" s="1" t="str">
        <f>"ODV16N02275-071"</f>
        <v>ODV16N02275-071</v>
      </c>
      <c r="E545" s="1" t="str">
        <f t="shared" si="394"/>
        <v>C12 USPA</v>
      </c>
      <c r="F545" s="1" t="str">
        <f t="shared" si="376"/>
        <v>BONIS SPA</v>
      </c>
      <c r="G545" s="1" t="str">
        <f t="shared" si="377"/>
        <v>STOCK TERRA MP</v>
      </c>
      <c r="H545" s="1" t="str">
        <f t="shared" si="390"/>
        <v>TAU</v>
      </c>
      <c r="J545" s="1">
        <v>1</v>
      </c>
      <c r="K545" s="1">
        <f t="shared" si="395"/>
        <v>12</v>
      </c>
      <c r="L545" s="1" t="str">
        <f t="shared" si="378"/>
        <v>01</v>
      </c>
      <c r="M545" s="1" t="str">
        <f t="shared" si="360"/>
        <v>102</v>
      </c>
      <c r="N545" s="1" t="str">
        <f t="shared" si="396"/>
        <v>008</v>
      </c>
      <c r="O545" s="1" t="str">
        <f t="shared" si="379"/>
        <v>00</v>
      </c>
      <c r="P545" s="1" t="str">
        <f t="shared" si="380"/>
        <v>S</v>
      </c>
      <c r="Q545" s="1" t="str">
        <f t="shared" si="381"/>
        <v>P</v>
      </c>
      <c r="R545" s="1" t="str">
        <f t="shared" si="382"/>
        <v>01</v>
      </c>
      <c r="S545" s="1" t="str">
        <f t="shared" si="383"/>
        <v>03</v>
      </c>
      <c r="T545" s="1" t="str">
        <f t="shared" si="384"/>
        <v>False</v>
      </c>
      <c r="U545" s="1" t="str">
        <f t="shared" si="385"/>
        <v>True</v>
      </c>
      <c r="V545" s="1" t="str">
        <f t="shared" si="397"/>
        <v>U0023791</v>
      </c>
      <c r="W545" s="1">
        <v>1</v>
      </c>
      <c r="Y545" s="1">
        <v>0</v>
      </c>
      <c r="Z545" s="1">
        <v>0</v>
      </c>
      <c r="AB545" s="1" t="str">
        <f t="shared" si="372"/>
        <v>ECOM</v>
      </c>
      <c r="AG545" s="1">
        <v>0</v>
      </c>
      <c r="AH545" s="1">
        <v>0</v>
      </c>
      <c r="AI545" s="1" t="str">
        <f t="shared" si="393"/>
        <v>F06</v>
      </c>
      <c r="AJ545" s="1" t="str">
        <f t="shared" si="373"/>
        <v>MAN</v>
      </c>
      <c r="AK545" s="1" t="str">
        <f t="shared" si="386"/>
        <v>PA</v>
      </c>
      <c r="AP545" s="1" t="str">
        <f t="shared" si="387"/>
        <v>False</v>
      </c>
      <c r="AR545" s="1" t="str">
        <f t="shared" si="374"/>
        <v>TOMAS</v>
      </c>
      <c r="AY545" s="1" t="str">
        <f t="shared" si="388"/>
        <v>PF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 t="str">
        <f t="shared" si="375"/>
        <v>GERO TOMAS SUEDE x sfoderato</v>
      </c>
      <c r="BF545" s="1" t="str">
        <f t="shared" si="389"/>
        <v>Bonis SpA</v>
      </c>
      <c r="BO545" s="1">
        <v>0</v>
      </c>
      <c r="BP545" s="1">
        <v>0</v>
      </c>
      <c r="BQ545" s="1">
        <v>0</v>
      </c>
    </row>
    <row r="546" spans="2:69" x14ac:dyDescent="0.25">
      <c r="B546" s="1">
        <v>1750</v>
      </c>
      <c r="C546" s="1" t="str">
        <f>"ELDEW7198S7E/Y2"</f>
        <v>ELDEW7198S7E/Y2</v>
      </c>
      <c r="D546" s="1" t="str">
        <f>"ODV16N02278-019"</f>
        <v>ODV16N02278-019</v>
      </c>
      <c r="E546" s="1" t="str">
        <f>"D12 USPA"</f>
        <v>D12 USPA</v>
      </c>
      <c r="F546" s="1" t="str">
        <f t="shared" si="376"/>
        <v>BONIS SPA</v>
      </c>
      <c r="G546" s="1" t="str">
        <f t="shared" si="377"/>
        <v>STOCK TERRA MP</v>
      </c>
      <c r="H546" s="1" t="str">
        <f>"WHI-GOLD"</f>
        <v>WHI-GOLD</v>
      </c>
      <c r="J546" s="1">
        <v>1</v>
      </c>
      <c r="K546" s="1">
        <f t="shared" si="395"/>
        <v>12</v>
      </c>
      <c r="L546" s="1" t="str">
        <f t="shared" si="378"/>
        <v>01</v>
      </c>
      <c r="M546" s="1" t="str">
        <f t="shared" si="360"/>
        <v>102</v>
      </c>
      <c r="N546" s="1" t="str">
        <f>"004"</f>
        <v>004</v>
      </c>
      <c r="O546" s="1" t="str">
        <f t="shared" si="379"/>
        <v>00</v>
      </c>
      <c r="P546" s="1" t="str">
        <f t="shared" si="380"/>
        <v>S</v>
      </c>
      <c r="Q546" s="1" t="str">
        <f t="shared" si="381"/>
        <v>P</v>
      </c>
      <c r="R546" s="1" t="str">
        <f t="shared" si="382"/>
        <v>01</v>
      </c>
      <c r="S546" s="1" t="str">
        <f t="shared" si="383"/>
        <v>03</v>
      </c>
      <c r="T546" s="1" t="str">
        <f t="shared" si="384"/>
        <v>False</v>
      </c>
      <c r="U546" s="1" t="str">
        <f t="shared" si="385"/>
        <v>True</v>
      </c>
      <c r="V546" s="1" t="str">
        <f>"U0033617"</f>
        <v>U0033617</v>
      </c>
      <c r="W546" s="1">
        <v>1</v>
      </c>
      <c r="Y546" s="1">
        <v>0</v>
      </c>
      <c r="Z546" s="1">
        <v>0</v>
      </c>
      <c r="AB546" s="1" t="str">
        <f t="shared" si="372"/>
        <v>ECOM</v>
      </c>
      <c r="AG546" s="1">
        <v>0</v>
      </c>
      <c r="AH546" s="1">
        <v>0</v>
      </c>
      <c r="AI546" s="1" t="str">
        <f t="shared" si="393"/>
        <v>F06</v>
      </c>
      <c r="AJ546" s="1" t="str">
        <f>"WOMAN"</f>
        <v>WOMAN</v>
      </c>
      <c r="AK546" s="1" t="str">
        <f t="shared" si="386"/>
        <v>PA</v>
      </c>
      <c r="AP546" s="1" t="str">
        <f t="shared" si="387"/>
        <v>False</v>
      </c>
      <c r="AR546" s="1" t="str">
        <f>"ELDEW"</f>
        <v>ELDEW</v>
      </c>
      <c r="AY546" s="1" t="str">
        <f t="shared" si="388"/>
        <v>PF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 t="str">
        <f>"MMA SINTETICO art.OLMO"</f>
        <v>MMA SINTETICO art.OLMO</v>
      </c>
      <c r="BF546" s="1" t="str">
        <f t="shared" si="389"/>
        <v>Bonis SpA</v>
      </c>
      <c r="BO546" s="1">
        <v>0</v>
      </c>
      <c r="BP546" s="1">
        <v>0</v>
      </c>
      <c r="BQ546" s="1">
        <v>0</v>
      </c>
    </row>
    <row r="547" spans="2:69" x14ac:dyDescent="0.25">
      <c r="B547" s="1">
        <v>1750</v>
      </c>
      <c r="C547" s="1" t="str">
        <f>"ELDEW7198S7E/Y2"</f>
        <v>ELDEW7198S7E/Y2</v>
      </c>
      <c r="D547" s="1" t="str">
        <f>"ODV16N02278-020"</f>
        <v>ODV16N02278-020</v>
      </c>
      <c r="E547" s="1" t="str">
        <f>"D12 USPA"</f>
        <v>D12 USPA</v>
      </c>
      <c r="F547" s="1" t="str">
        <f t="shared" si="376"/>
        <v>BONIS SPA</v>
      </c>
      <c r="G547" s="1" t="str">
        <f t="shared" si="377"/>
        <v>STOCK TERRA MP</v>
      </c>
      <c r="H547" s="1" t="str">
        <f>"WHI-GOLD"</f>
        <v>WHI-GOLD</v>
      </c>
      <c r="J547" s="1">
        <v>1</v>
      </c>
      <c r="K547" s="1">
        <f t="shared" si="395"/>
        <v>12</v>
      </c>
      <c r="L547" s="1" t="str">
        <f t="shared" si="378"/>
        <v>01</v>
      </c>
      <c r="M547" s="1" t="str">
        <f t="shared" si="360"/>
        <v>102</v>
      </c>
      <c r="N547" s="1" t="str">
        <f>"004"</f>
        <v>004</v>
      </c>
      <c r="O547" s="1" t="str">
        <f t="shared" si="379"/>
        <v>00</v>
      </c>
      <c r="P547" s="1" t="str">
        <f t="shared" si="380"/>
        <v>S</v>
      </c>
      <c r="Q547" s="1" t="str">
        <f t="shared" si="381"/>
        <v>P</v>
      </c>
      <c r="R547" s="1" t="str">
        <f t="shared" si="382"/>
        <v>01</v>
      </c>
      <c r="S547" s="1" t="str">
        <f t="shared" si="383"/>
        <v>03</v>
      </c>
      <c r="T547" s="1" t="str">
        <f t="shared" si="384"/>
        <v>False</v>
      </c>
      <c r="U547" s="1" t="str">
        <f t="shared" si="385"/>
        <v>True</v>
      </c>
      <c r="V547" s="1" t="str">
        <f>"U0033617"</f>
        <v>U0033617</v>
      </c>
      <c r="W547" s="1">
        <v>1</v>
      </c>
      <c r="Y547" s="1">
        <v>0</v>
      </c>
      <c r="Z547" s="1">
        <v>0</v>
      </c>
      <c r="AB547" s="1" t="str">
        <f t="shared" si="372"/>
        <v>ECOM</v>
      </c>
      <c r="AG547" s="1">
        <v>0</v>
      </c>
      <c r="AH547" s="1">
        <v>0</v>
      </c>
      <c r="AI547" s="1" t="str">
        <f t="shared" si="393"/>
        <v>F06</v>
      </c>
      <c r="AJ547" s="1" t="str">
        <f>"WOMAN"</f>
        <v>WOMAN</v>
      </c>
      <c r="AK547" s="1" t="str">
        <f t="shared" si="386"/>
        <v>PA</v>
      </c>
      <c r="AP547" s="1" t="str">
        <f t="shared" si="387"/>
        <v>False</v>
      </c>
      <c r="AR547" s="1" t="str">
        <f>"ELDEW"</f>
        <v>ELDEW</v>
      </c>
      <c r="AY547" s="1" t="str">
        <f t="shared" si="388"/>
        <v>PF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 t="str">
        <f>"MMA SINTETICO art.OLMO"</f>
        <v>MMA SINTETICO art.OLMO</v>
      </c>
      <c r="BF547" s="1" t="str">
        <f t="shared" si="389"/>
        <v>Bonis SpA</v>
      </c>
      <c r="BO547" s="1">
        <v>0</v>
      </c>
      <c r="BP547" s="1">
        <v>0</v>
      </c>
      <c r="BQ547" s="1">
        <v>0</v>
      </c>
    </row>
    <row r="548" spans="2:69" x14ac:dyDescent="0.25">
      <c r="B548" s="1">
        <v>1754</v>
      </c>
      <c r="C548" s="1" t="str">
        <f>"DECOR4237S7/C1"</f>
        <v>DECOR4237S7/C1</v>
      </c>
      <c r="D548" s="1" t="str">
        <f>"PC0007960"</f>
        <v>PC0007960</v>
      </c>
      <c r="E548" s="1" t="str">
        <f>"D12 USPA"</f>
        <v>D12 USPA</v>
      </c>
      <c r="F548" s="1" t="str">
        <f t="shared" si="376"/>
        <v>BONIS SPA</v>
      </c>
      <c r="G548" s="1" t="str">
        <f t="shared" si="377"/>
        <v>STOCK TERRA MP</v>
      </c>
      <c r="H548" s="1" t="str">
        <f>"GREY"</f>
        <v>GREY</v>
      </c>
      <c r="J548" s="1">
        <v>1</v>
      </c>
      <c r="K548" s="1">
        <f t="shared" si="395"/>
        <v>12</v>
      </c>
      <c r="L548" s="1" t="str">
        <f t="shared" si="378"/>
        <v>01</v>
      </c>
      <c r="M548" s="1" t="str">
        <f t="shared" si="360"/>
        <v>102</v>
      </c>
      <c r="N548" s="1" t="str">
        <f>"008"</f>
        <v>008</v>
      </c>
      <c r="O548" s="1" t="str">
        <f t="shared" si="379"/>
        <v>00</v>
      </c>
      <c r="P548" s="1" t="str">
        <f t="shared" si="380"/>
        <v>S</v>
      </c>
      <c r="Q548" s="1" t="str">
        <f t="shared" si="381"/>
        <v>P</v>
      </c>
      <c r="R548" s="1" t="str">
        <f t="shared" si="382"/>
        <v>01</v>
      </c>
      <c r="S548" s="1" t="str">
        <f t="shared" si="383"/>
        <v>03</v>
      </c>
      <c r="T548" s="1" t="str">
        <f t="shared" si="384"/>
        <v>False</v>
      </c>
      <c r="U548" s="1" t="str">
        <f t="shared" si="385"/>
        <v>True</v>
      </c>
      <c r="V548" s="1" t="str">
        <f>"U0031306"</f>
        <v>U0031306</v>
      </c>
      <c r="W548" s="1">
        <v>1</v>
      </c>
      <c r="Y548" s="1">
        <v>0</v>
      </c>
      <c r="Z548" s="1">
        <v>0</v>
      </c>
      <c r="AB548" s="1" t="str">
        <f>"SMU"</f>
        <v>SMU</v>
      </c>
      <c r="AG548" s="1">
        <v>0</v>
      </c>
      <c r="AH548" s="1">
        <v>0</v>
      </c>
      <c r="AI548" s="1" t="str">
        <f t="shared" si="393"/>
        <v>F06</v>
      </c>
      <c r="AJ548" s="1" t="str">
        <f>"WOMAN"</f>
        <v>WOMAN</v>
      </c>
      <c r="AK548" s="1" t="str">
        <f t="shared" si="386"/>
        <v>PA</v>
      </c>
      <c r="AO548" s="1">
        <v>0</v>
      </c>
      <c r="AP548" s="1" t="str">
        <f t="shared" si="387"/>
        <v>False</v>
      </c>
      <c r="AR548" s="1" t="str">
        <f>"DECOR"</f>
        <v>DECOR</v>
      </c>
      <c r="AY548" s="1" t="str">
        <f t="shared" si="388"/>
        <v>PF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 t="str">
        <f>"R GOMMA CANVAS"</f>
        <v>R GOMMA CANVAS</v>
      </c>
      <c r="BF548" s="1" t="str">
        <f t="shared" si="389"/>
        <v>Bonis SpA</v>
      </c>
      <c r="BO548" s="1">
        <v>0</v>
      </c>
      <c r="BP548" s="1">
        <v>0</v>
      </c>
      <c r="BQ548" s="1">
        <v>0</v>
      </c>
    </row>
    <row r="549" spans="2:69" x14ac:dyDescent="0.25">
      <c r="B549" s="1">
        <v>1758</v>
      </c>
      <c r="C549" s="1" t="str">
        <f>"VAIAN4207S7/G1"</f>
        <v>VAIAN4207S7/G1</v>
      </c>
      <c r="D549" s="1" t="str">
        <f>"PC0008044"</f>
        <v>PC0008044</v>
      </c>
      <c r="E549" s="1" t="str">
        <f>"A8 USPA"</f>
        <v>A8 USPA</v>
      </c>
      <c r="F549" s="1" t="str">
        <f t="shared" si="376"/>
        <v>BONIS SPA</v>
      </c>
      <c r="G549" s="1" t="str">
        <f t="shared" si="377"/>
        <v>STOCK TERRA MP</v>
      </c>
      <c r="H549" s="1" t="str">
        <f>"DKBL"</f>
        <v>DKBL</v>
      </c>
      <c r="J549" s="1">
        <v>1</v>
      </c>
      <c r="K549" s="1">
        <f>8*J549</f>
        <v>8</v>
      </c>
      <c r="L549" s="1" t="str">
        <f t="shared" si="378"/>
        <v>01</v>
      </c>
      <c r="M549" s="1" t="str">
        <f t="shared" si="360"/>
        <v>102</v>
      </c>
      <c r="N549" s="1" t="str">
        <f>"012"</f>
        <v>012</v>
      </c>
      <c r="O549" s="1" t="str">
        <f t="shared" si="379"/>
        <v>00</v>
      </c>
      <c r="P549" s="1" t="str">
        <f t="shared" si="380"/>
        <v>S</v>
      </c>
      <c r="Q549" s="1" t="str">
        <f t="shared" si="381"/>
        <v>P</v>
      </c>
      <c r="R549" s="1" t="str">
        <f t="shared" si="382"/>
        <v>01</v>
      </c>
      <c r="S549" s="1" t="str">
        <f t="shared" si="383"/>
        <v>03</v>
      </c>
      <c r="T549" s="1" t="str">
        <f t="shared" si="384"/>
        <v>False</v>
      </c>
      <c r="U549" s="1" t="str">
        <f t="shared" si="385"/>
        <v>True</v>
      </c>
      <c r="V549" s="1" t="str">
        <f>"U0032634"</f>
        <v>U0032634</v>
      </c>
      <c r="W549" s="1">
        <v>1</v>
      </c>
      <c r="Y549" s="1">
        <v>0</v>
      </c>
      <c r="Z549" s="1">
        <v>0</v>
      </c>
      <c r="AG549" s="1">
        <v>0</v>
      </c>
      <c r="AH549" s="1">
        <v>0</v>
      </c>
      <c r="AI549" s="1" t="str">
        <f t="shared" si="393"/>
        <v>F06</v>
      </c>
      <c r="AJ549" s="1" t="str">
        <f>"UNISEX"</f>
        <v>UNISEX</v>
      </c>
      <c r="AK549" s="1" t="str">
        <f t="shared" si="386"/>
        <v>PA</v>
      </c>
      <c r="AO549" s="1">
        <v>0</v>
      </c>
      <c r="AP549" s="1" t="str">
        <f t="shared" si="387"/>
        <v>False</v>
      </c>
      <c r="AR549" s="1" t="str">
        <f>"VAIAN"</f>
        <v>VAIAN</v>
      </c>
      <c r="AY549" s="1" t="str">
        <f t="shared" si="388"/>
        <v>PF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 t="str">
        <f>"TOMAIA GOMMA"</f>
        <v>TOMAIA GOMMA</v>
      </c>
      <c r="BF549" s="1" t="str">
        <f t="shared" si="389"/>
        <v>Bonis SpA</v>
      </c>
      <c r="BO549" s="1">
        <v>0</v>
      </c>
      <c r="BP549" s="1">
        <v>0</v>
      </c>
      <c r="BQ549" s="1">
        <v>0</v>
      </c>
    </row>
    <row r="550" spans="2:69" x14ac:dyDescent="0.25">
      <c r="B550" s="1">
        <v>1747</v>
      </c>
      <c r="C550" s="1" t="str">
        <f>"DYON4154S7E/C2"</f>
        <v>DYON4154S7E/C2</v>
      </c>
      <c r="D550" s="1" t="str">
        <f>"PC0008053"</f>
        <v>PC0008053</v>
      </c>
      <c r="E550" s="1" t="str">
        <f>"D12 USPA"</f>
        <v>D12 USPA</v>
      </c>
      <c r="F550" s="1" t="str">
        <f t="shared" si="376"/>
        <v>BONIS SPA</v>
      </c>
      <c r="G550" s="1" t="str">
        <f t="shared" si="377"/>
        <v>STOCK TERRA MP</v>
      </c>
      <c r="H550" s="1" t="str">
        <f>"DKBL"</f>
        <v>DKBL</v>
      </c>
      <c r="J550" s="1">
        <v>1</v>
      </c>
      <c r="K550" s="1">
        <f>12*J550</f>
        <v>12</v>
      </c>
      <c r="L550" s="1" t="str">
        <f t="shared" si="378"/>
        <v>01</v>
      </c>
      <c r="M550" s="1" t="str">
        <f t="shared" si="360"/>
        <v>102</v>
      </c>
      <c r="N550" s="1" t="str">
        <f>"001"</f>
        <v>001</v>
      </c>
      <c r="O550" s="1" t="str">
        <f t="shared" si="379"/>
        <v>00</v>
      </c>
      <c r="P550" s="1" t="str">
        <f t="shared" si="380"/>
        <v>S</v>
      </c>
      <c r="Q550" s="1" t="str">
        <f t="shared" si="381"/>
        <v>P</v>
      </c>
      <c r="R550" s="1" t="str">
        <f t="shared" si="382"/>
        <v>01</v>
      </c>
      <c r="S550" s="1" t="str">
        <f t="shared" si="383"/>
        <v>03</v>
      </c>
      <c r="T550" s="1" t="str">
        <f t="shared" si="384"/>
        <v>False</v>
      </c>
      <c r="U550" s="1" t="str">
        <f t="shared" si="385"/>
        <v>True</v>
      </c>
      <c r="V550" s="1" t="str">
        <f>"U0024439"</f>
        <v>U0024439</v>
      </c>
      <c r="W550" s="1">
        <v>1</v>
      </c>
      <c r="Y550" s="1">
        <v>0</v>
      </c>
      <c r="Z550" s="1">
        <v>0</v>
      </c>
      <c r="AB550" s="1" t="str">
        <f>"ECOM"</f>
        <v>ECOM</v>
      </c>
      <c r="AG550" s="1">
        <v>0</v>
      </c>
      <c r="AH550" s="1">
        <v>0</v>
      </c>
      <c r="AI550" s="1" t="str">
        <f t="shared" si="393"/>
        <v>F06</v>
      </c>
      <c r="AJ550" s="1" t="str">
        <f>"WOMAN"</f>
        <v>WOMAN</v>
      </c>
      <c r="AK550" s="1" t="str">
        <f t="shared" si="386"/>
        <v>PA</v>
      </c>
      <c r="AO550" s="1">
        <v>0</v>
      </c>
      <c r="AP550" s="1" t="str">
        <f t="shared" si="387"/>
        <v>False</v>
      </c>
      <c r="AR550" s="1" t="str">
        <f>"DYON"</f>
        <v>DYON</v>
      </c>
      <c r="AY550" s="1" t="str">
        <f t="shared" si="388"/>
        <v>PF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 t="str">
        <f>"E GOMMA TWILL canvas"</f>
        <v>E GOMMA TWILL canvas</v>
      </c>
      <c r="BF550" s="1" t="str">
        <f t="shared" si="389"/>
        <v>Bonis SpA</v>
      </c>
      <c r="BO550" s="1">
        <v>0</v>
      </c>
      <c r="BP550" s="1">
        <v>0</v>
      </c>
      <c r="BQ550" s="1">
        <v>0</v>
      </c>
    </row>
    <row r="551" spans="2:69" x14ac:dyDescent="0.25">
      <c r="B551" s="1">
        <v>1758</v>
      </c>
      <c r="C551" s="1" t="str">
        <f>"VAIAN4207S7/G1"</f>
        <v>VAIAN4207S7/G1</v>
      </c>
      <c r="D551" s="1" t="str">
        <f>"PC0008181"</f>
        <v>PC0008181</v>
      </c>
      <c r="E551" s="1" t="str">
        <f>"A8 USPA"</f>
        <v>A8 USPA</v>
      </c>
      <c r="F551" s="1" t="str">
        <f t="shared" si="376"/>
        <v>BONIS SPA</v>
      </c>
      <c r="G551" s="1" t="str">
        <f t="shared" si="377"/>
        <v>STOCK TERRA MP</v>
      </c>
      <c r="H551" s="1" t="str">
        <f>"DKBL"</f>
        <v>DKBL</v>
      </c>
      <c r="J551" s="1">
        <v>1</v>
      </c>
      <c r="K551" s="1">
        <f t="shared" ref="K551:K553" si="398">8*J551</f>
        <v>8</v>
      </c>
      <c r="L551" s="1" t="str">
        <f t="shared" si="378"/>
        <v>01</v>
      </c>
      <c r="M551" s="1" t="str">
        <f t="shared" si="360"/>
        <v>102</v>
      </c>
      <c r="N551" s="1" t="str">
        <f>"012"</f>
        <v>012</v>
      </c>
      <c r="O551" s="1" t="str">
        <f t="shared" si="379"/>
        <v>00</v>
      </c>
      <c r="P551" s="1" t="str">
        <f t="shared" si="380"/>
        <v>S</v>
      </c>
      <c r="Q551" s="1" t="str">
        <f t="shared" si="381"/>
        <v>P</v>
      </c>
      <c r="R551" s="1" t="str">
        <f t="shared" si="382"/>
        <v>01</v>
      </c>
      <c r="S551" s="1" t="str">
        <f t="shared" si="383"/>
        <v>03</v>
      </c>
      <c r="T551" s="1" t="str">
        <f t="shared" si="384"/>
        <v>False</v>
      </c>
      <c r="U551" s="1" t="str">
        <f t="shared" si="385"/>
        <v>True</v>
      </c>
      <c r="V551" s="1" t="str">
        <f>"U0032634"</f>
        <v>U0032634</v>
      </c>
      <c r="W551" s="1">
        <v>1</v>
      </c>
      <c r="Y551" s="1">
        <v>0</v>
      </c>
      <c r="Z551" s="1">
        <v>0</v>
      </c>
      <c r="AG551" s="1">
        <v>0</v>
      </c>
      <c r="AH551" s="1">
        <v>0</v>
      </c>
      <c r="AI551" s="1" t="str">
        <f t="shared" si="393"/>
        <v>F06</v>
      </c>
      <c r="AJ551" s="1" t="str">
        <f>"UNISEX"</f>
        <v>UNISEX</v>
      </c>
      <c r="AK551" s="1" t="str">
        <f t="shared" si="386"/>
        <v>PA</v>
      </c>
      <c r="AO551" s="1">
        <v>0</v>
      </c>
      <c r="AP551" s="1" t="str">
        <f t="shared" si="387"/>
        <v>False</v>
      </c>
      <c r="AR551" s="1" t="str">
        <f>"VAIAN"</f>
        <v>VAIAN</v>
      </c>
      <c r="AY551" s="1" t="str">
        <f t="shared" si="388"/>
        <v>PF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 t="str">
        <f>"TOMAIA GOMMA"</f>
        <v>TOMAIA GOMMA</v>
      </c>
      <c r="BF551" s="1" t="str">
        <f t="shared" si="389"/>
        <v>Bonis SpA</v>
      </c>
      <c r="BO551" s="1">
        <v>0</v>
      </c>
      <c r="BP551" s="1">
        <v>0</v>
      </c>
      <c r="BQ551" s="1">
        <v>0</v>
      </c>
    </row>
    <row r="552" spans="2:69" x14ac:dyDescent="0.25">
      <c r="B552" s="1">
        <v>1758</v>
      </c>
      <c r="C552" s="1" t="str">
        <f>"VAIAN4207S7/G1"</f>
        <v>VAIAN4207S7/G1</v>
      </c>
      <c r="D552" s="1" t="str">
        <f>"PC0008182"</f>
        <v>PC0008182</v>
      </c>
      <c r="E552" s="1" t="str">
        <f>"A8 USPA"</f>
        <v>A8 USPA</v>
      </c>
      <c r="F552" s="1" t="str">
        <f t="shared" si="376"/>
        <v>BONIS SPA</v>
      </c>
      <c r="G552" s="1" t="str">
        <f t="shared" si="377"/>
        <v>STOCK TERRA MP</v>
      </c>
      <c r="H552" s="1" t="str">
        <f>"DKBL"</f>
        <v>DKBL</v>
      </c>
      <c r="J552" s="1">
        <v>1</v>
      </c>
      <c r="K552" s="1">
        <f t="shared" si="398"/>
        <v>8</v>
      </c>
      <c r="L552" s="1" t="str">
        <f t="shared" si="378"/>
        <v>01</v>
      </c>
      <c r="M552" s="1" t="str">
        <f t="shared" si="360"/>
        <v>102</v>
      </c>
      <c r="N552" s="1" t="str">
        <f>"012"</f>
        <v>012</v>
      </c>
      <c r="O552" s="1" t="str">
        <f t="shared" si="379"/>
        <v>00</v>
      </c>
      <c r="P552" s="1" t="str">
        <f t="shared" si="380"/>
        <v>S</v>
      </c>
      <c r="Q552" s="1" t="str">
        <f t="shared" si="381"/>
        <v>P</v>
      </c>
      <c r="R552" s="1" t="str">
        <f t="shared" si="382"/>
        <v>01</v>
      </c>
      <c r="S552" s="1" t="str">
        <f t="shared" si="383"/>
        <v>03</v>
      </c>
      <c r="T552" s="1" t="str">
        <f t="shared" si="384"/>
        <v>False</v>
      </c>
      <c r="U552" s="1" t="str">
        <f t="shared" si="385"/>
        <v>True</v>
      </c>
      <c r="V552" s="1" t="str">
        <f>"U0032634"</f>
        <v>U0032634</v>
      </c>
      <c r="W552" s="1">
        <v>1</v>
      </c>
      <c r="Y552" s="1">
        <v>0</v>
      </c>
      <c r="Z552" s="1">
        <v>0</v>
      </c>
      <c r="AG552" s="1">
        <v>0</v>
      </c>
      <c r="AH552" s="1">
        <v>0</v>
      </c>
      <c r="AI552" s="1" t="str">
        <f t="shared" si="393"/>
        <v>F06</v>
      </c>
      <c r="AJ552" s="1" t="str">
        <f>"UNISEX"</f>
        <v>UNISEX</v>
      </c>
      <c r="AK552" s="1" t="str">
        <f t="shared" si="386"/>
        <v>PA</v>
      </c>
      <c r="AO552" s="1">
        <v>0</v>
      </c>
      <c r="AP552" s="1" t="str">
        <f t="shared" si="387"/>
        <v>False</v>
      </c>
      <c r="AR552" s="1" t="str">
        <f>"VAIAN"</f>
        <v>VAIAN</v>
      </c>
      <c r="AY552" s="1" t="str">
        <f t="shared" si="388"/>
        <v>PF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 t="str">
        <f>"TOMAIA GOMMA"</f>
        <v>TOMAIA GOMMA</v>
      </c>
      <c r="BF552" s="1" t="str">
        <f t="shared" si="389"/>
        <v>Bonis SpA</v>
      </c>
      <c r="BO552" s="1">
        <v>0</v>
      </c>
      <c r="BP552" s="1">
        <v>0</v>
      </c>
      <c r="BQ552" s="1">
        <v>0</v>
      </c>
    </row>
    <row r="553" spans="2:69" x14ac:dyDescent="0.25">
      <c r="B553" s="1">
        <v>1758</v>
      </c>
      <c r="C553" s="1" t="str">
        <f>"VAIAN4210S7/G1"</f>
        <v>VAIAN4210S7/G1</v>
      </c>
      <c r="D553" s="1" t="str">
        <f>"PC0008236"</f>
        <v>PC0008236</v>
      </c>
      <c r="E553" s="1" t="str">
        <f>"A8 USPA"</f>
        <v>A8 USPA</v>
      </c>
      <c r="F553" s="1" t="str">
        <f t="shared" si="376"/>
        <v>BONIS SPA</v>
      </c>
      <c r="G553" s="1" t="str">
        <f t="shared" si="377"/>
        <v>STOCK TERRA MP</v>
      </c>
      <c r="H553" s="1" t="str">
        <f>"WHI"</f>
        <v>WHI</v>
      </c>
      <c r="J553" s="1">
        <v>1</v>
      </c>
      <c r="K553" s="1">
        <f t="shared" si="398"/>
        <v>8</v>
      </c>
      <c r="L553" s="1" t="str">
        <f t="shared" si="378"/>
        <v>01</v>
      </c>
      <c r="M553" s="1" t="str">
        <f t="shared" si="360"/>
        <v>102</v>
      </c>
      <c r="N553" s="1" t="str">
        <f>"012"</f>
        <v>012</v>
      </c>
      <c r="O553" s="1" t="str">
        <f t="shared" si="379"/>
        <v>00</v>
      </c>
      <c r="P553" s="1" t="str">
        <f t="shared" si="380"/>
        <v>S</v>
      </c>
      <c r="Q553" s="1" t="str">
        <f t="shared" si="381"/>
        <v>P</v>
      </c>
      <c r="R553" s="1" t="str">
        <f t="shared" si="382"/>
        <v>01</v>
      </c>
      <c r="S553" s="1" t="str">
        <f t="shared" si="383"/>
        <v>03</v>
      </c>
      <c r="T553" s="1" t="str">
        <f t="shared" si="384"/>
        <v>False</v>
      </c>
      <c r="U553" s="1" t="str">
        <f t="shared" si="385"/>
        <v>True</v>
      </c>
      <c r="V553" s="1" t="str">
        <f>"U0032634"</f>
        <v>U0032634</v>
      </c>
      <c r="W553" s="1">
        <v>1</v>
      </c>
      <c r="Y553" s="1">
        <v>0</v>
      </c>
      <c r="Z553" s="1">
        <v>0</v>
      </c>
      <c r="AG553" s="1">
        <v>0</v>
      </c>
      <c r="AH553" s="1">
        <v>0</v>
      </c>
      <c r="AI553" s="1" t="str">
        <f t="shared" si="393"/>
        <v>F06</v>
      </c>
      <c r="AJ553" s="1" t="str">
        <f>"UNISEX"</f>
        <v>UNISEX</v>
      </c>
      <c r="AK553" s="1" t="str">
        <f t="shared" si="386"/>
        <v>PA</v>
      </c>
      <c r="AO553" s="1">
        <v>0</v>
      </c>
      <c r="AP553" s="1" t="str">
        <f t="shared" si="387"/>
        <v>False</v>
      </c>
      <c r="AR553" s="1" t="str">
        <f>"VAIAN"</f>
        <v>VAIAN</v>
      </c>
      <c r="AY553" s="1" t="str">
        <f t="shared" si="388"/>
        <v>PF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 t="str">
        <f>"TOMAIA GOMMA"</f>
        <v>TOMAIA GOMMA</v>
      </c>
      <c r="BF553" s="1" t="str">
        <f t="shared" si="389"/>
        <v>Bonis SpA</v>
      </c>
      <c r="BO553" s="1">
        <v>0</v>
      </c>
      <c r="BP553" s="1">
        <v>0</v>
      </c>
      <c r="BQ553" s="1">
        <v>0</v>
      </c>
    </row>
    <row r="554" spans="2:69" x14ac:dyDescent="0.25">
      <c r="B554" s="1">
        <v>1765</v>
      </c>
      <c r="C554" s="1" t="str">
        <f t="shared" ref="C554:C559" si="399">"GALAN4183S7/CY1"</f>
        <v>GALAN4183S7/CY1</v>
      </c>
      <c r="E554" s="1" t="str">
        <f>"40"</f>
        <v>40</v>
      </c>
      <c r="F554" s="1" t="str">
        <f t="shared" si="376"/>
        <v>BONIS SPA</v>
      </c>
      <c r="G554" s="1" t="str">
        <f t="shared" si="377"/>
        <v>STOCK TERRA MP</v>
      </c>
      <c r="H554" s="1" t="str">
        <f t="shared" ref="H554:H559" si="400">"BLK"</f>
        <v>BLK</v>
      </c>
      <c r="K554" s="1">
        <v>1</v>
      </c>
      <c r="L554" s="1" t="str">
        <f t="shared" si="378"/>
        <v>01</v>
      </c>
      <c r="M554" s="1" t="str">
        <f t="shared" ref="M554:M559" si="401">"103"</f>
        <v>103</v>
      </c>
      <c r="N554" s="1" t="str">
        <f t="shared" ref="N554:N559" si="402">"004"</f>
        <v>004</v>
      </c>
      <c r="O554" s="1" t="str">
        <f t="shared" si="379"/>
        <v>00</v>
      </c>
      <c r="P554" s="1" t="str">
        <f t="shared" si="380"/>
        <v>S</v>
      </c>
      <c r="Q554" s="1" t="str">
        <f t="shared" si="381"/>
        <v>P</v>
      </c>
      <c r="R554" s="1" t="str">
        <f t="shared" si="382"/>
        <v>01</v>
      </c>
      <c r="S554" s="1" t="str">
        <f t="shared" si="383"/>
        <v>03</v>
      </c>
      <c r="T554" s="1" t="str">
        <f t="shared" si="384"/>
        <v>False</v>
      </c>
      <c r="U554" s="1" t="str">
        <f t="shared" si="385"/>
        <v>True</v>
      </c>
      <c r="V554" s="1" t="str">
        <f t="shared" ref="V554:V559" si="403">"U0032407"</f>
        <v>U0032407</v>
      </c>
      <c r="W554" s="1">
        <v>1</v>
      </c>
      <c r="Y554" s="1">
        <v>0</v>
      </c>
      <c r="Z554" s="1">
        <v>0</v>
      </c>
      <c r="AB554" s="1" t="str">
        <f t="shared" ref="AB554:AB559" si="404">"SMU"</f>
        <v>SMU</v>
      </c>
      <c r="AI554" s="1" t="str">
        <f t="shared" si="393"/>
        <v>F06</v>
      </c>
      <c r="AJ554" s="1" t="str">
        <f t="shared" ref="AJ554:AJ564" si="405">"MAN"</f>
        <v>MAN</v>
      </c>
      <c r="AK554" s="1" t="str">
        <f t="shared" si="386"/>
        <v>PA</v>
      </c>
      <c r="AP554" s="1" t="str">
        <f t="shared" si="387"/>
        <v>False</v>
      </c>
      <c r="AR554" s="1" t="str">
        <f t="shared" ref="AR554:AR559" si="406">"GALAN"</f>
        <v>GALAN</v>
      </c>
      <c r="AY554" s="1" t="str">
        <f t="shared" si="388"/>
        <v>PF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 t="str">
        <f t="shared" ref="BE554:BE559" si="407">"LAN+TWILL CANVAS + SIN.LEATHER"</f>
        <v>LAN+TWILL CANVAS + SIN.LEATHER</v>
      </c>
      <c r="BF554" s="1" t="str">
        <f t="shared" si="389"/>
        <v>Bonis SpA</v>
      </c>
    </row>
    <row r="555" spans="2:69" x14ac:dyDescent="0.25">
      <c r="B555" s="1">
        <v>1765</v>
      </c>
      <c r="C555" s="1" t="str">
        <f t="shared" si="399"/>
        <v>GALAN4183S7/CY1</v>
      </c>
      <c r="E555" s="1" t="str">
        <f>"41"</f>
        <v>41</v>
      </c>
      <c r="F555" s="1" t="str">
        <f t="shared" si="376"/>
        <v>BONIS SPA</v>
      </c>
      <c r="G555" s="1" t="str">
        <f t="shared" si="377"/>
        <v>STOCK TERRA MP</v>
      </c>
      <c r="H555" s="1" t="str">
        <f t="shared" si="400"/>
        <v>BLK</v>
      </c>
      <c r="K555" s="1">
        <v>2</v>
      </c>
      <c r="L555" s="1" t="str">
        <f t="shared" si="378"/>
        <v>01</v>
      </c>
      <c r="M555" s="1" t="str">
        <f t="shared" si="401"/>
        <v>103</v>
      </c>
      <c r="N555" s="1" t="str">
        <f t="shared" si="402"/>
        <v>004</v>
      </c>
      <c r="O555" s="1" t="str">
        <f t="shared" si="379"/>
        <v>00</v>
      </c>
      <c r="P555" s="1" t="str">
        <f t="shared" si="380"/>
        <v>S</v>
      </c>
      <c r="Q555" s="1" t="str">
        <f t="shared" si="381"/>
        <v>P</v>
      </c>
      <c r="R555" s="1" t="str">
        <f t="shared" si="382"/>
        <v>01</v>
      </c>
      <c r="S555" s="1" t="str">
        <f t="shared" si="383"/>
        <v>03</v>
      </c>
      <c r="T555" s="1" t="str">
        <f t="shared" si="384"/>
        <v>False</v>
      </c>
      <c r="U555" s="1" t="str">
        <f t="shared" si="385"/>
        <v>True</v>
      </c>
      <c r="V555" s="1" t="str">
        <f t="shared" si="403"/>
        <v>U0032407</v>
      </c>
      <c r="W555" s="1">
        <v>1</v>
      </c>
      <c r="Y555" s="1">
        <v>0</v>
      </c>
      <c r="Z555" s="1">
        <v>0</v>
      </c>
      <c r="AB555" s="1" t="str">
        <f t="shared" si="404"/>
        <v>SMU</v>
      </c>
      <c r="AI555" s="1" t="str">
        <f t="shared" si="393"/>
        <v>F06</v>
      </c>
      <c r="AJ555" s="1" t="str">
        <f t="shared" si="405"/>
        <v>MAN</v>
      </c>
      <c r="AK555" s="1" t="str">
        <f t="shared" si="386"/>
        <v>PA</v>
      </c>
      <c r="AP555" s="1" t="str">
        <f t="shared" si="387"/>
        <v>False</v>
      </c>
      <c r="AR555" s="1" t="str">
        <f t="shared" si="406"/>
        <v>GALAN</v>
      </c>
      <c r="AY555" s="1" t="str">
        <f t="shared" si="388"/>
        <v>PF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 t="str">
        <f t="shared" si="407"/>
        <v>LAN+TWILL CANVAS + SIN.LEATHER</v>
      </c>
      <c r="BF555" s="1" t="str">
        <f t="shared" si="389"/>
        <v>Bonis SpA</v>
      </c>
    </row>
    <row r="556" spans="2:69" x14ac:dyDescent="0.25">
      <c r="B556" s="1">
        <v>1765</v>
      </c>
      <c r="C556" s="1" t="str">
        <f t="shared" si="399"/>
        <v>GALAN4183S7/CY1</v>
      </c>
      <c r="E556" s="1" t="str">
        <f>"42"</f>
        <v>42</v>
      </c>
      <c r="F556" s="1" t="str">
        <f t="shared" si="376"/>
        <v>BONIS SPA</v>
      </c>
      <c r="G556" s="1" t="str">
        <f t="shared" si="377"/>
        <v>STOCK TERRA MP</v>
      </c>
      <c r="H556" s="1" t="str">
        <f t="shared" si="400"/>
        <v>BLK</v>
      </c>
      <c r="K556" s="1">
        <v>3</v>
      </c>
      <c r="L556" s="1" t="str">
        <f t="shared" si="378"/>
        <v>01</v>
      </c>
      <c r="M556" s="1" t="str">
        <f t="shared" si="401"/>
        <v>103</v>
      </c>
      <c r="N556" s="1" t="str">
        <f t="shared" si="402"/>
        <v>004</v>
      </c>
      <c r="O556" s="1" t="str">
        <f t="shared" si="379"/>
        <v>00</v>
      </c>
      <c r="P556" s="1" t="str">
        <f t="shared" si="380"/>
        <v>S</v>
      </c>
      <c r="Q556" s="1" t="str">
        <f t="shared" si="381"/>
        <v>P</v>
      </c>
      <c r="R556" s="1" t="str">
        <f t="shared" si="382"/>
        <v>01</v>
      </c>
      <c r="S556" s="1" t="str">
        <f t="shared" si="383"/>
        <v>03</v>
      </c>
      <c r="T556" s="1" t="str">
        <f t="shared" si="384"/>
        <v>False</v>
      </c>
      <c r="U556" s="1" t="str">
        <f t="shared" si="385"/>
        <v>True</v>
      </c>
      <c r="V556" s="1" t="str">
        <f t="shared" si="403"/>
        <v>U0032407</v>
      </c>
      <c r="W556" s="1">
        <v>1</v>
      </c>
      <c r="Y556" s="1">
        <v>0</v>
      </c>
      <c r="Z556" s="1">
        <v>0</v>
      </c>
      <c r="AB556" s="1" t="str">
        <f t="shared" si="404"/>
        <v>SMU</v>
      </c>
      <c r="AI556" s="1" t="str">
        <f t="shared" si="393"/>
        <v>F06</v>
      </c>
      <c r="AJ556" s="1" t="str">
        <f t="shared" si="405"/>
        <v>MAN</v>
      </c>
      <c r="AK556" s="1" t="str">
        <f t="shared" si="386"/>
        <v>PA</v>
      </c>
      <c r="AP556" s="1" t="str">
        <f t="shared" si="387"/>
        <v>False</v>
      </c>
      <c r="AR556" s="1" t="str">
        <f t="shared" si="406"/>
        <v>GALAN</v>
      </c>
      <c r="AY556" s="1" t="str">
        <f t="shared" si="388"/>
        <v>PF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 t="str">
        <f t="shared" si="407"/>
        <v>LAN+TWILL CANVAS + SIN.LEATHER</v>
      </c>
      <c r="BF556" s="1" t="str">
        <f t="shared" si="389"/>
        <v>Bonis SpA</v>
      </c>
    </row>
    <row r="557" spans="2:69" x14ac:dyDescent="0.25">
      <c r="B557" s="1">
        <v>1765</v>
      </c>
      <c r="C557" s="1" t="str">
        <f t="shared" si="399"/>
        <v>GALAN4183S7/CY1</v>
      </c>
      <c r="E557" s="1" t="str">
        <f>"43"</f>
        <v>43</v>
      </c>
      <c r="F557" s="1" t="str">
        <f t="shared" si="376"/>
        <v>BONIS SPA</v>
      </c>
      <c r="G557" s="1" t="str">
        <f t="shared" si="377"/>
        <v>STOCK TERRA MP</v>
      </c>
      <c r="H557" s="1" t="str">
        <f t="shared" si="400"/>
        <v>BLK</v>
      </c>
      <c r="K557" s="1">
        <v>3</v>
      </c>
      <c r="L557" s="1" t="str">
        <f t="shared" si="378"/>
        <v>01</v>
      </c>
      <c r="M557" s="1" t="str">
        <f t="shared" si="401"/>
        <v>103</v>
      </c>
      <c r="N557" s="1" t="str">
        <f t="shared" si="402"/>
        <v>004</v>
      </c>
      <c r="O557" s="1" t="str">
        <f t="shared" si="379"/>
        <v>00</v>
      </c>
      <c r="P557" s="1" t="str">
        <f t="shared" si="380"/>
        <v>S</v>
      </c>
      <c r="Q557" s="1" t="str">
        <f t="shared" si="381"/>
        <v>P</v>
      </c>
      <c r="R557" s="1" t="str">
        <f t="shared" si="382"/>
        <v>01</v>
      </c>
      <c r="S557" s="1" t="str">
        <f t="shared" si="383"/>
        <v>03</v>
      </c>
      <c r="T557" s="1" t="str">
        <f t="shared" si="384"/>
        <v>False</v>
      </c>
      <c r="U557" s="1" t="str">
        <f t="shared" si="385"/>
        <v>True</v>
      </c>
      <c r="V557" s="1" t="str">
        <f t="shared" si="403"/>
        <v>U0032407</v>
      </c>
      <c r="W557" s="1">
        <v>1</v>
      </c>
      <c r="Y557" s="1">
        <v>0</v>
      </c>
      <c r="Z557" s="1">
        <v>0</v>
      </c>
      <c r="AB557" s="1" t="str">
        <f t="shared" si="404"/>
        <v>SMU</v>
      </c>
      <c r="AI557" s="1" t="str">
        <f t="shared" si="393"/>
        <v>F06</v>
      </c>
      <c r="AJ557" s="1" t="str">
        <f t="shared" si="405"/>
        <v>MAN</v>
      </c>
      <c r="AK557" s="1" t="str">
        <f t="shared" si="386"/>
        <v>PA</v>
      </c>
      <c r="AP557" s="1" t="str">
        <f t="shared" si="387"/>
        <v>False</v>
      </c>
      <c r="AR557" s="1" t="str">
        <f t="shared" si="406"/>
        <v>GALAN</v>
      </c>
      <c r="AY557" s="1" t="str">
        <f t="shared" si="388"/>
        <v>PF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 t="str">
        <f t="shared" si="407"/>
        <v>LAN+TWILL CANVAS + SIN.LEATHER</v>
      </c>
      <c r="BF557" s="1" t="str">
        <f t="shared" si="389"/>
        <v>Bonis SpA</v>
      </c>
    </row>
    <row r="558" spans="2:69" x14ac:dyDescent="0.25">
      <c r="B558" s="1">
        <v>1765</v>
      </c>
      <c r="C558" s="1" t="str">
        <f t="shared" si="399"/>
        <v>GALAN4183S7/CY1</v>
      </c>
      <c r="E558" s="1" t="str">
        <f>"44"</f>
        <v>44</v>
      </c>
      <c r="F558" s="1" t="str">
        <f t="shared" si="376"/>
        <v>BONIS SPA</v>
      </c>
      <c r="G558" s="1" t="str">
        <f t="shared" si="377"/>
        <v>STOCK TERRA MP</v>
      </c>
      <c r="H558" s="1" t="str">
        <f t="shared" si="400"/>
        <v>BLK</v>
      </c>
      <c r="K558" s="1">
        <v>1</v>
      </c>
      <c r="L558" s="1" t="str">
        <f t="shared" si="378"/>
        <v>01</v>
      </c>
      <c r="M558" s="1" t="str">
        <f t="shared" si="401"/>
        <v>103</v>
      </c>
      <c r="N558" s="1" t="str">
        <f t="shared" si="402"/>
        <v>004</v>
      </c>
      <c r="O558" s="1" t="str">
        <f t="shared" si="379"/>
        <v>00</v>
      </c>
      <c r="P558" s="1" t="str">
        <f t="shared" si="380"/>
        <v>S</v>
      </c>
      <c r="Q558" s="1" t="str">
        <f t="shared" si="381"/>
        <v>P</v>
      </c>
      <c r="R558" s="1" t="str">
        <f t="shared" si="382"/>
        <v>01</v>
      </c>
      <c r="S558" s="1" t="str">
        <f t="shared" si="383"/>
        <v>03</v>
      </c>
      <c r="T558" s="1" t="str">
        <f t="shared" si="384"/>
        <v>False</v>
      </c>
      <c r="U558" s="1" t="str">
        <f t="shared" si="385"/>
        <v>True</v>
      </c>
      <c r="V558" s="1" t="str">
        <f t="shared" si="403"/>
        <v>U0032407</v>
      </c>
      <c r="W558" s="1">
        <v>1</v>
      </c>
      <c r="Y558" s="1">
        <v>0</v>
      </c>
      <c r="Z558" s="1">
        <v>0</v>
      </c>
      <c r="AB558" s="1" t="str">
        <f t="shared" si="404"/>
        <v>SMU</v>
      </c>
      <c r="AI558" s="1" t="str">
        <f t="shared" si="393"/>
        <v>F06</v>
      </c>
      <c r="AJ558" s="1" t="str">
        <f t="shared" si="405"/>
        <v>MAN</v>
      </c>
      <c r="AK558" s="1" t="str">
        <f t="shared" si="386"/>
        <v>PA</v>
      </c>
      <c r="AP558" s="1" t="str">
        <f t="shared" si="387"/>
        <v>False</v>
      </c>
      <c r="AR558" s="1" t="str">
        <f t="shared" si="406"/>
        <v>GALAN</v>
      </c>
      <c r="AY558" s="1" t="str">
        <f t="shared" si="388"/>
        <v>PF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 t="str">
        <f t="shared" si="407"/>
        <v>LAN+TWILL CANVAS + SIN.LEATHER</v>
      </c>
      <c r="BF558" s="1" t="str">
        <f t="shared" si="389"/>
        <v>Bonis SpA</v>
      </c>
    </row>
    <row r="559" spans="2:69" x14ac:dyDescent="0.25">
      <c r="B559" s="1">
        <v>1765</v>
      </c>
      <c r="C559" s="1" t="str">
        <f t="shared" si="399"/>
        <v>GALAN4183S7/CY1</v>
      </c>
      <c r="E559" s="1" t="str">
        <f>"45"</f>
        <v>45</v>
      </c>
      <c r="F559" s="1" t="str">
        <f t="shared" si="376"/>
        <v>BONIS SPA</v>
      </c>
      <c r="G559" s="1" t="str">
        <f t="shared" si="377"/>
        <v>STOCK TERRA MP</v>
      </c>
      <c r="H559" s="1" t="str">
        <f t="shared" si="400"/>
        <v>BLK</v>
      </c>
      <c r="K559" s="1">
        <v>1</v>
      </c>
      <c r="L559" s="1" t="str">
        <f t="shared" si="378"/>
        <v>01</v>
      </c>
      <c r="M559" s="1" t="str">
        <f t="shared" si="401"/>
        <v>103</v>
      </c>
      <c r="N559" s="1" t="str">
        <f t="shared" si="402"/>
        <v>004</v>
      </c>
      <c r="O559" s="1" t="str">
        <f t="shared" si="379"/>
        <v>00</v>
      </c>
      <c r="P559" s="1" t="str">
        <f t="shared" si="380"/>
        <v>S</v>
      </c>
      <c r="Q559" s="1" t="str">
        <f t="shared" si="381"/>
        <v>P</v>
      </c>
      <c r="R559" s="1" t="str">
        <f t="shared" si="382"/>
        <v>01</v>
      </c>
      <c r="S559" s="1" t="str">
        <f t="shared" si="383"/>
        <v>03</v>
      </c>
      <c r="T559" s="1" t="str">
        <f t="shared" si="384"/>
        <v>False</v>
      </c>
      <c r="U559" s="1" t="str">
        <f t="shared" si="385"/>
        <v>True</v>
      </c>
      <c r="V559" s="1" t="str">
        <f t="shared" si="403"/>
        <v>U0032407</v>
      </c>
      <c r="W559" s="1">
        <v>1</v>
      </c>
      <c r="Y559" s="1">
        <v>0</v>
      </c>
      <c r="Z559" s="1">
        <v>0</v>
      </c>
      <c r="AB559" s="1" t="str">
        <f t="shared" si="404"/>
        <v>SMU</v>
      </c>
      <c r="AI559" s="1" t="str">
        <f t="shared" si="393"/>
        <v>F06</v>
      </c>
      <c r="AJ559" s="1" t="str">
        <f t="shared" si="405"/>
        <v>MAN</v>
      </c>
      <c r="AK559" s="1" t="str">
        <f t="shared" si="386"/>
        <v>PA</v>
      </c>
      <c r="AP559" s="1" t="str">
        <f t="shared" si="387"/>
        <v>False</v>
      </c>
      <c r="AR559" s="1" t="str">
        <f t="shared" si="406"/>
        <v>GALAN</v>
      </c>
      <c r="AY559" s="1" t="str">
        <f t="shared" si="388"/>
        <v>PF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 t="str">
        <f t="shared" si="407"/>
        <v>LAN+TWILL CANVAS + SIN.LEATHER</v>
      </c>
      <c r="BF559" s="1" t="str">
        <f t="shared" si="389"/>
        <v>Bonis SpA</v>
      </c>
    </row>
    <row r="560" spans="2:69" x14ac:dyDescent="0.25">
      <c r="B560" s="1">
        <v>2500</v>
      </c>
      <c r="C560" s="1" t="str">
        <f>"EVALD8208S7E/S2"</f>
        <v>EVALD8208S7E/S2</v>
      </c>
      <c r="E560" s="1" t="str">
        <f>"41"</f>
        <v>41</v>
      </c>
      <c r="F560" s="1" t="str">
        <f t="shared" si="376"/>
        <v>BONIS SPA</v>
      </c>
      <c r="G560" s="1" t="str">
        <f t="shared" ref="G560:G623" si="408">"STOCK SCAFFALE MP"</f>
        <v>STOCK SCAFFALE MP</v>
      </c>
      <c r="H560" s="1" t="str">
        <f>"DKBL"</f>
        <v>DKBL</v>
      </c>
      <c r="K560" s="1">
        <v>1</v>
      </c>
      <c r="L560" s="1" t="str">
        <f t="shared" si="378"/>
        <v>01</v>
      </c>
      <c r="M560" s="1" t="str">
        <f t="shared" ref="M560:M623" si="409">"408"</f>
        <v>408</v>
      </c>
      <c r="N560" s="1" t="str">
        <f>"015"</f>
        <v>015</v>
      </c>
      <c r="O560" s="1" t="str">
        <f t="shared" si="379"/>
        <v>00</v>
      </c>
      <c r="P560" s="1" t="str">
        <f t="shared" si="380"/>
        <v>S</v>
      </c>
      <c r="Q560" s="1" t="str">
        <f t="shared" si="381"/>
        <v>P</v>
      </c>
      <c r="R560" s="1" t="str">
        <f t="shared" si="382"/>
        <v>01</v>
      </c>
      <c r="S560" s="1" t="str">
        <f t="shared" ref="S560:S623" si="410">"04"</f>
        <v>04</v>
      </c>
      <c r="T560" s="1" t="str">
        <f t="shared" si="384"/>
        <v>False</v>
      </c>
      <c r="U560" s="1" t="str">
        <f t="shared" si="385"/>
        <v>True</v>
      </c>
      <c r="V560" s="1" t="str">
        <f>"U0024810"</f>
        <v>U0024810</v>
      </c>
      <c r="W560" s="1">
        <v>1</v>
      </c>
      <c r="Y560" s="1">
        <v>0</v>
      </c>
      <c r="Z560" s="1">
        <v>0</v>
      </c>
      <c r="AB560" s="1" t="str">
        <f>"ECOM"</f>
        <v>ECOM</v>
      </c>
      <c r="AI560" s="1" t="str">
        <f t="shared" ref="AI560:AI569" si="411">"F11"</f>
        <v>F11</v>
      </c>
      <c r="AJ560" s="1" t="str">
        <f t="shared" si="405"/>
        <v>MAN</v>
      </c>
      <c r="AK560" s="1" t="str">
        <f t="shared" si="386"/>
        <v>PA</v>
      </c>
      <c r="AP560" s="1" t="str">
        <f t="shared" si="387"/>
        <v>False</v>
      </c>
      <c r="AR560" s="1" t="str">
        <f>"EVALD"</f>
        <v>EVALD</v>
      </c>
      <c r="AY560" s="1" t="str">
        <f t="shared" si="388"/>
        <v>PF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 t="str">
        <f>"CROSTA (fornitore)"</f>
        <v>CROSTA (fornitore)</v>
      </c>
      <c r="BF560" s="1" t="str">
        <f t="shared" si="389"/>
        <v>Bonis SpA</v>
      </c>
    </row>
    <row r="561" spans="2:58" x14ac:dyDescent="0.25">
      <c r="B561" s="1">
        <v>2500</v>
      </c>
      <c r="C561" s="1" t="str">
        <f>"EVALD8208S7E/S2"</f>
        <v>EVALD8208S7E/S2</v>
      </c>
      <c r="E561" s="1" t="str">
        <f>"42"</f>
        <v>42</v>
      </c>
      <c r="F561" s="1" t="str">
        <f t="shared" si="376"/>
        <v>BONIS SPA</v>
      </c>
      <c r="G561" s="1" t="str">
        <f t="shared" si="408"/>
        <v>STOCK SCAFFALE MP</v>
      </c>
      <c r="H561" s="1" t="str">
        <f>"DKBL"</f>
        <v>DKBL</v>
      </c>
      <c r="K561" s="1">
        <v>1</v>
      </c>
      <c r="L561" s="1" t="str">
        <f t="shared" si="378"/>
        <v>01</v>
      </c>
      <c r="M561" s="1" t="str">
        <f t="shared" si="409"/>
        <v>408</v>
      </c>
      <c r="N561" s="1" t="str">
        <f>"015"</f>
        <v>015</v>
      </c>
      <c r="O561" s="1" t="str">
        <f t="shared" si="379"/>
        <v>00</v>
      </c>
      <c r="P561" s="1" t="str">
        <f t="shared" si="380"/>
        <v>S</v>
      </c>
      <c r="Q561" s="1" t="str">
        <f t="shared" si="381"/>
        <v>P</v>
      </c>
      <c r="R561" s="1" t="str">
        <f t="shared" si="382"/>
        <v>01</v>
      </c>
      <c r="S561" s="1" t="str">
        <f t="shared" si="410"/>
        <v>04</v>
      </c>
      <c r="T561" s="1" t="str">
        <f t="shared" si="384"/>
        <v>False</v>
      </c>
      <c r="U561" s="1" t="str">
        <f t="shared" si="385"/>
        <v>True</v>
      </c>
      <c r="V561" s="1" t="str">
        <f>"U0024810"</f>
        <v>U0024810</v>
      </c>
      <c r="W561" s="1">
        <v>1</v>
      </c>
      <c r="Y561" s="1">
        <v>0</v>
      </c>
      <c r="Z561" s="1">
        <v>0</v>
      </c>
      <c r="AB561" s="1" t="str">
        <f>"ECOM"</f>
        <v>ECOM</v>
      </c>
      <c r="AI561" s="1" t="str">
        <f t="shared" si="411"/>
        <v>F11</v>
      </c>
      <c r="AJ561" s="1" t="str">
        <f t="shared" si="405"/>
        <v>MAN</v>
      </c>
      <c r="AK561" s="1" t="str">
        <f t="shared" si="386"/>
        <v>PA</v>
      </c>
      <c r="AP561" s="1" t="str">
        <f t="shared" si="387"/>
        <v>False</v>
      </c>
      <c r="AR561" s="1" t="str">
        <f>"EVALD"</f>
        <v>EVALD</v>
      </c>
      <c r="AY561" s="1" t="str">
        <f t="shared" si="388"/>
        <v>PF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 t="str">
        <f>"CROSTA (fornitore)"</f>
        <v>CROSTA (fornitore)</v>
      </c>
      <c r="BF561" s="1" t="str">
        <f t="shared" si="389"/>
        <v>Bonis SpA</v>
      </c>
    </row>
    <row r="562" spans="2:58" x14ac:dyDescent="0.25">
      <c r="B562" s="1">
        <v>2500</v>
      </c>
      <c r="C562" s="1" t="str">
        <f>"EVALD8208S7E/S2"</f>
        <v>EVALD8208S7E/S2</v>
      </c>
      <c r="E562" s="1" t="str">
        <f>"43"</f>
        <v>43</v>
      </c>
      <c r="F562" s="1" t="str">
        <f t="shared" si="376"/>
        <v>BONIS SPA</v>
      </c>
      <c r="G562" s="1" t="str">
        <f t="shared" si="408"/>
        <v>STOCK SCAFFALE MP</v>
      </c>
      <c r="H562" s="1" t="str">
        <f>"DKBL"</f>
        <v>DKBL</v>
      </c>
      <c r="K562" s="1">
        <v>1</v>
      </c>
      <c r="L562" s="1" t="str">
        <f t="shared" si="378"/>
        <v>01</v>
      </c>
      <c r="M562" s="1" t="str">
        <f t="shared" si="409"/>
        <v>408</v>
      </c>
      <c r="N562" s="1" t="str">
        <f>"015"</f>
        <v>015</v>
      </c>
      <c r="O562" s="1" t="str">
        <f t="shared" si="379"/>
        <v>00</v>
      </c>
      <c r="P562" s="1" t="str">
        <f t="shared" si="380"/>
        <v>S</v>
      </c>
      <c r="Q562" s="1" t="str">
        <f t="shared" si="381"/>
        <v>P</v>
      </c>
      <c r="R562" s="1" t="str">
        <f t="shared" si="382"/>
        <v>01</v>
      </c>
      <c r="S562" s="1" t="str">
        <f t="shared" si="410"/>
        <v>04</v>
      </c>
      <c r="T562" s="1" t="str">
        <f t="shared" si="384"/>
        <v>False</v>
      </c>
      <c r="U562" s="1" t="str">
        <f t="shared" si="385"/>
        <v>True</v>
      </c>
      <c r="V562" s="1" t="str">
        <f>"U0024810"</f>
        <v>U0024810</v>
      </c>
      <c r="W562" s="1">
        <v>1</v>
      </c>
      <c r="Y562" s="1">
        <v>0</v>
      </c>
      <c r="Z562" s="1">
        <v>0</v>
      </c>
      <c r="AB562" s="1" t="str">
        <f>"ECOM"</f>
        <v>ECOM</v>
      </c>
      <c r="AI562" s="1" t="str">
        <f t="shared" si="411"/>
        <v>F11</v>
      </c>
      <c r="AJ562" s="1" t="str">
        <f t="shared" si="405"/>
        <v>MAN</v>
      </c>
      <c r="AK562" s="1" t="str">
        <f t="shared" si="386"/>
        <v>PA</v>
      </c>
      <c r="AP562" s="1" t="str">
        <f t="shared" si="387"/>
        <v>False</v>
      </c>
      <c r="AR562" s="1" t="str">
        <f>"EVALD"</f>
        <v>EVALD</v>
      </c>
      <c r="AY562" s="1" t="str">
        <f t="shared" si="388"/>
        <v>PF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 t="str">
        <f>"CROSTA (fornitore)"</f>
        <v>CROSTA (fornitore)</v>
      </c>
      <c r="BF562" s="1" t="str">
        <f t="shared" si="389"/>
        <v>Bonis SpA</v>
      </c>
    </row>
    <row r="563" spans="2:58" x14ac:dyDescent="0.25">
      <c r="B563" s="1">
        <v>2500</v>
      </c>
      <c r="C563" s="1" t="str">
        <f>"EVALD8208S7E/S2"</f>
        <v>EVALD8208S7E/S2</v>
      </c>
      <c r="E563" s="1" t="str">
        <f>"44"</f>
        <v>44</v>
      </c>
      <c r="F563" s="1" t="str">
        <f t="shared" si="376"/>
        <v>BONIS SPA</v>
      </c>
      <c r="G563" s="1" t="str">
        <f t="shared" si="408"/>
        <v>STOCK SCAFFALE MP</v>
      </c>
      <c r="H563" s="1" t="str">
        <f>"DKBL"</f>
        <v>DKBL</v>
      </c>
      <c r="K563" s="1">
        <v>2</v>
      </c>
      <c r="L563" s="1" t="str">
        <f t="shared" si="378"/>
        <v>01</v>
      </c>
      <c r="M563" s="1" t="str">
        <f t="shared" si="409"/>
        <v>408</v>
      </c>
      <c r="N563" s="1" t="str">
        <f>"015"</f>
        <v>015</v>
      </c>
      <c r="O563" s="1" t="str">
        <f t="shared" si="379"/>
        <v>00</v>
      </c>
      <c r="P563" s="1" t="str">
        <f t="shared" si="380"/>
        <v>S</v>
      </c>
      <c r="Q563" s="1" t="str">
        <f t="shared" si="381"/>
        <v>P</v>
      </c>
      <c r="R563" s="1" t="str">
        <f t="shared" si="382"/>
        <v>01</v>
      </c>
      <c r="S563" s="1" t="str">
        <f t="shared" si="410"/>
        <v>04</v>
      </c>
      <c r="T563" s="1" t="str">
        <f t="shared" si="384"/>
        <v>False</v>
      </c>
      <c r="U563" s="1" t="str">
        <f t="shared" si="385"/>
        <v>True</v>
      </c>
      <c r="V563" s="1" t="str">
        <f>"U0024810"</f>
        <v>U0024810</v>
      </c>
      <c r="W563" s="1">
        <v>1</v>
      </c>
      <c r="Y563" s="1">
        <v>0</v>
      </c>
      <c r="Z563" s="1">
        <v>0</v>
      </c>
      <c r="AB563" s="1" t="str">
        <f>"ECOM"</f>
        <v>ECOM</v>
      </c>
      <c r="AI563" s="1" t="str">
        <f t="shared" si="411"/>
        <v>F11</v>
      </c>
      <c r="AJ563" s="1" t="str">
        <f t="shared" si="405"/>
        <v>MAN</v>
      </c>
      <c r="AK563" s="1" t="str">
        <f t="shared" si="386"/>
        <v>PA</v>
      </c>
      <c r="AP563" s="1" t="str">
        <f t="shared" si="387"/>
        <v>False</v>
      </c>
      <c r="AR563" s="1" t="str">
        <f>"EVALD"</f>
        <v>EVALD</v>
      </c>
      <c r="AY563" s="1" t="str">
        <f t="shared" si="388"/>
        <v>PF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 t="str">
        <f>"CROSTA (fornitore)"</f>
        <v>CROSTA (fornitore)</v>
      </c>
      <c r="BF563" s="1" t="str">
        <f t="shared" si="389"/>
        <v>Bonis SpA</v>
      </c>
    </row>
    <row r="564" spans="2:58" x14ac:dyDescent="0.25">
      <c r="B564" s="1">
        <v>2500</v>
      </c>
      <c r="C564" s="1" t="str">
        <f>"EVALD8208S7E/S2"</f>
        <v>EVALD8208S7E/S2</v>
      </c>
      <c r="E564" s="1" t="str">
        <f>"45"</f>
        <v>45</v>
      </c>
      <c r="F564" s="1" t="str">
        <f t="shared" si="376"/>
        <v>BONIS SPA</v>
      </c>
      <c r="G564" s="1" t="str">
        <f t="shared" si="408"/>
        <v>STOCK SCAFFALE MP</v>
      </c>
      <c r="H564" s="1" t="str">
        <f>"DKBL"</f>
        <v>DKBL</v>
      </c>
      <c r="K564" s="1">
        <v>2</v>
      </c>
      <c r="L564" s="1" t="str">
        <f t="shared" si="378"/>
        <v>01</v>
      </c>
      <c r="M564" s="1" t="str">
        <f t="shared" si="409"/>
        <v>408</v>
      </c>
      <c r="N564" s="1" t="str">
        <f>"015"</f>
        <v>015</v>
      </c>
      <c r="O564" s="1" t="str">
        <f t="shared" si="379"/>
        <v>00</v>
      </c>
      <c r="P564" s="1" t="str">
        <f t="shared" si="380"/>
        <v>S</v>
      </c>
      <c r="Q564" s="1" t="str">
        <f t="shared" si="381"/>
        <v>P</v>
      </c>
      <c r="R564" s="1" t="str">
        <f t="shared" si="382"/>
        <v>01</v>
      </c>
      <c r="S564" s="1" t="str">
        <f t="shared" si="410"/>
        <v>04</v>
      </c>
      <c r="T564" s="1" t="str">
        <f t="shared" si="384"/>
        <v>False</v>
      </c>
      <c r="U564" s="1" t="str">
        <f t="shared" si="385"/>
        <v>True</v>
      </c>
      <c r="V564" s="1" t="str">
        <f>"U0024810"</f>
        <v>U0024810</v>
      </c>
      <c r="W564" s="1">
        <v>1</v>
      </c>
      <c r="Y564" s="1">
        <v>0</v>
      </c>
      <c r="Z564" s="1">
        <v>0</v>
      </c>
      <c r="AB564" s="1" t="str">
        <f>"ECOM"</f>
        <v>ECOM</v>
      </c>
      <c r="AI564" s="1" t="str">
        <f t="shared" si="411"/>
        <v>F11</v>
      </c>
      <c r="AJ564" s="1" t="str">
        <f t="shared" si="405"/>
        <v>MAN</v>
      </c>
      <c r="AK564" s="1" t="str">
        <f t="shared" si="386"/>
        <v>PA</v>
      </c>
      <c r="AP564" s="1" t="str">
        <f t="shared" si="387"/>
        <v>False</v>
      </c>
      <c r="AR564" s="1" t="str">
        <f>"EVALD"</f>
        <v>EVALD</v>
      </c>
      <c r="AY564" s="1" t="str">
        <f t="shared" si="388"/>
        <v>PF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 t="str">
        <f>"CROSTA (fornitore)"</f>
        <v>CROSTA (fornitore)</v>
      </c>
      <c r="BF564" s="1" t="str">
        <f t="shared" si="389"/>
        <v>Bonis SpA</v>
      </c>
    </row>
    <row r="565" spans="2:58" x14ac:dyDescent="0.25">
      <c r="B565" s="1">
        <v>2509</v>
      </c>
      <c r="C565" s="1" t="str">
        <f>"GALAD4120S7/SY1"</f>
        <v>GALAD4120S7/SY1</v>
      </c>
      <c r="E565" s="1" t="str">
        <f>"38"</f>
        <v>38</v>
      </c>
      <c r="F565" s="1" t="str">
        <f t="shared" si="376"/>
        <v>BONIS SPA</v>
      </c>
      <c r="G565" s="1" t="str">
        <f t="shared" si="408"/>
        <v>STOCK SCAFFALE MP</v>
      </c>
      <c r="H565" s="1" t="str">
        <f>"BEI"</f>
        <v>BEI</v>
      </c>
      <c r="K565" s="1">
        <v>3</v>
      </c>
      <c r="L565" s="1" t="str">
        <f t="shared" si="378"/>
        <v>01</v>
      </c>
      <c r="M565" s="1" t="str">
        <f t="shared" si="409"/>
        <v>408</v>
      </c>
      <c r="N565" s="1" t="str">
        <f t="shared" ref="N565:N570" si="412">"018"</f>
        <v>018</v>
      </c>
      <c r="O565" s="1" t="str">
        <f t="shared" si="379"/>
        <v>00</v>
      </c>
      <c r="P565" s="1" t="str">
        <f t="shared" si="380"/>
        <v>S</v>
      </c>
      <c r="Q565" s="1" t="str">
        <f t="shared" si="381"/>
        <v>P</v>
      </c>
      <c r="R565" s="1" t="str">
        <f t="shared" si="382"/>
        <v>01</v>
      </c>
      <c r="S565" s="1" t="str">
        <f t="shared" si="410"/>
        <v>04</v>
      </c>
      <c r="T565" s="1" t="str">
        <f t="shared" si="384"/>
        <v>False</v>
      </c>
      <c r="U565" s="1" t="str">
        <f t="shared" si="385"/>
        <v>True</v>
      </c>
      <c r="V565" s="1" t="str">
        <f>"U0028049"</f>
        <v>U0028049</v>
      </c>
      <c r="W565" s="1">
        <v>1</v>
      </c>
      <c r="Y565" s="1">
        <v>0</v>
      </c>
      <c r="Z565" s="1">
        <v>0</v>
      </c>
      <c r="AI565" s="1" t="str">
        <f t="shared" si="411"/>
        <v>F11</v>
      </c>
      <c r="AJ565" s="1" t="str">
        <f t="shared" ref="AJ565:AJ570" si="413">"WOMAN"</f>
        <v>WOMAN</v>
      </c>
      <c r="AK565" s="1" t="str">
        <f t="shared" si="386"/>
        <v>PA</v>
      </c>
      <c r="AP565" s="1" t="str">
        <f t="shared" si="387"/>
        <v>False</v>
      </c>
      <c r="AR565" s="1" t="str">
        <f>"GALAD"</f>
        <v>GALAD</v>
      </c>
      <c r="AY565" s="1" t="str">
        <f t="shared" si="388"/>
        <v>PF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 t="str">
        <f>"D GOMMA SUEDE+SYNTHETIC LEAT"</f>
        <v>D GOMMA SUEDE+SYNTHETIC LEAT</v>
      </c>
      <c r="BF565" s="1" t="str">
        <f t="shared" si="389"/>
        <v>Bonis SpA</v>
      </c>
    </row>
    <row r="566" spans="2:58" x14ac:dyDescent="0.25">
      <c r="B566" s="1">
        <v>2509</v>
      </c>
      <c r="C566" s="1" t="str">
        <f>"GALAD4120S7/SY1"</f>
        <v>GALAD4120S7/SY1</v>
      </c>
      <c r="E566" s="1" t="str">
        <f>"37"</f>
        <v>37</v>
      </c>
      <c r="F566" s="1" t="str">
        <f t="shared" si="376"/>
        <v>BONIS SPA</v>
      </c>
      <c r="G566" s="1" t="str">
        <f t="shared" si="408"/>
        <v>STOCK SCAFFALE MP</v>
      </c>
      <c r="H566" s="1" t="str">
        <f>"BEI"</f>
        <v>BEI</v>
      </c>
      <c r="K566" s="1">
        <v>3</v>
      </c>
      <c r="L566" s="1" t="str">
        <f t="shared" si="378"/>
        <v>01</v>
      </c>
      <c r="M566" s="1" t="str">
        <f t="shared" si="409"/>
        <v>408</v>
      </c>
      <c r="N566" s="1" t="str">
        <f t="shared" si="412"/>
        <v>018</v>
      </c>
      <c r="O566" s="1" t="str">
        <f t="shared" si="379"/>
        <v>00</v>
      </c>
      <c r="P566" s="1" t="str">
        <f t="shared" si="380"/>
        <v>S</v>
      </c>
      <c r="Q566" s="1" t="str">
        <f t="shared" si="381"/>
        <v>P</v>
      </c>
      <c r="R566" s="1" t="str">
        <f t="shared" si="382"/>
        <v>01</v>
      </c>
      <c r="S566" s="1" t="str">
        <f t="shared" si="410"/>
        <v>04</v>
      </c>
      <c r="T566" s="1" t="str">
        <f t="shared" si="384"/>
        <v>False</v>
      </c>
      <c r="U566" s="1" t="str">
        <f t="shared" si="385"/>
        <v>True</v>
      </c>
      <c r="V566" s="1" t="str">
        <f>"U0028049"</f>
        <v>U0028049</v>
      </c>
      <c r="W566" s="1">
        <v>1</v>
      </c>
      <c r="Y566" s="1">
        <v>0</v>
      </c>
      <c r="Z566" s="1">
        <v>0</v>
      </c>
      <c r="AI566" s="1" t="str">
        <f t="shared" si="411"/>
        <v>F11</v>
      </c>
      <c r="AJ566" s="1" t="str">
        <f t="shared" si="413"/>
        <v>WOMAN</v>
      </c>
      <c r="AK566" s="1" t="str">
        <f t="shared" si="386"/>
        <v>PA</v>
      </c>
      <c r="AP566" s="1" t="str">
        <f t="shared" si="387"/>
        <v>False</v>
      </c>
      <c r="AR566" s="1" t="str">
        <f>"GALAD"</f>
        <v>GALAD</v>
      </c>
      <c r="AY566" s="1" t="str">
        <f t="shared" si="388"/>
        <v>PF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 t="str">
        <f>"D GOMMA SUEDE+SYNTHETIC LEAT"</f>
        <v>D GOMMA SUEDE+SYNTHETIC LEAT</v>
      </c>
      <c r="BF566" s="1" t="str">
        <f t="shared" si="389"/>
        <v>Bonis SpA</v>
      </c>
    </row>
    <row r="567" spans="2:58" x14ac:dyDescent="0.25">
      <c r="B567" s="1">
        <v>2509</v>
      </c>
      <c r="C567" s="1" t="str">
        <f>"GALAD4120S7/SY1"</f>
        <v>GALAD4120S7/SY1</v>
      </c>
      <c r="E567" s="1" t="str">
        <f>"35"</f>
        <v>35</v>
      </c>
      <c r="F567" s="1" t="str">
        <f t="shared" si="376"/>
        <v>BONIS SPA</v>
      </c>
      <c r="G567" s="1" t="str">
        <f t="shared" si="408"/>
        <v>STOCK SCAFFALE MP</v>
      </c>
      <c r="H567" s="1" t="str">
        <f>"BEI"</f>
        <v>BEI</v>
      </c>
      <c r="K567" s="1">
        <v>1</v>
      </c>
      <c r="L567" s="1" t="str">
        <f t="shared" si="378"/>
        <v>01</v>
      </c>
      <c r="M567" s="1" t="str">
        <f t="shared" si="409"/>
        <v>408</v>
      </c>
      <c r="N567" s="1" t="str">
        <f t="shared" si="412"/>
        <v>018</v>
      </c>
      <c r="O567" s="1" t="str">
        <f t="shared" si="379"/>
        <v>00</v>
      </c>
      <c r="P567" s="1" t="str">
        <f t="shared" si="380"/>
        <v>S</v>
      </c>
      <c r="Q567" s="1" t="str">
        <f t="shared" si="381"/>
        <v>P</v>
      </c>
      <c r="R567" s="1" t="str">
        <f t="shared" si="382"/>
        <v>01</v>
      </c>
      <c r="S567" s="1" t="str">
        <f t="shared" si="410"/>
        <v>04</v>
      </c>
      <c r="T567" s="1" t="str">
        <f t="shared" si="384"/>
        <v>False</v>
      </c>
      <c r="U567" s="1" t="str">
        <f t="shared" si="385"/>
        <v>True</v>
      </c>
      <c r="V567" s="1" t="str">
        <f>"U0028049"</f>
        <v>U0028049</v>
      </c>
      <c r="W567" s="1">
        <v>1</v>
      </c>
      <c r="Y567" s="1">
        <v>0</v>
      </c>
      <c r="Z567" s="1">
        <v>0</v>
      </c>
      <c r="AI567" s="1" t="str">
        <f t="shared" si="411"/>
        <v>F11</v>
      </c>
      <c r="AJ567" s="1" t="str">
        <f t="shared" si="413"/>
        <v>WOMAN</v>
      </c>
      <c r="AK567" s="1" t="str">
        <f t="shared" si="386"/>
        <v>PA</v>
      </c>
      <c r="AP567" s="1" t="str">
        <f t="shared" si="387"/>
        <v>False</v>
      </c>
      <c r="AR567" s="1" t="str">
        <f>"GALAD"</f>
        <v>GALAD</v>
      </c>
      <c r="AY567" s="1" t="str">
        <f t="shared" si="388"/>
        <v>PF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 t="str">
        <f>"D GOMMA SUEDE+SYNTHETIC LEAT"</f>
        <v>D GOMMA SUEDE+SYNTHETIC LEAT</v>
      </c>
      <c r="BF567" s="1" t="str">
        <f t="shared" si="389"/>
        <v>Bonis SpA</v>
      </c>
    </row>
    <row r="568" spans="2:58" x14ac:dyDescent="0.25">
      <c r="B568" s="1">
        <v>2509</v>
      </c>
      <c r="C568" s="1" t="str">
        <f>"GALAD4120S7/SY1"</f>
        <v>GALAD4120S7/SY1</v>
      </c>
      <c r="E568" s="1" t="str">
        <f>"36"</f>
        <v>36</v>
      </c>
      <c r="F568" s="1" t="str">
        <f t="shared" si="376"/>
        <v>BONIS SPA</v>
      </c>
      <c r="G568" s="1" t="str">
        <f t="shared" si="408"/>
        <v>STOCK SCAFFALE MP</v>
      </c>
      <c r="H568" s="1" t="str">
        <f>"BEI"</f>
        <v>BEI</v>
      </c>
      <c r="K568" s="1">
        <v>2</v>
      </c>
      <c r="L568" s="1" t="str">
        <f t="shared" si="378"/>
        <v>01</v>
      </c>
      <c r="M568" s="1" t="str">
        <f t="shared" si="409"/>
        <v>408</v>
      </c>
      <c r="N568" s="1" t="str">
        <f t="shared" si="412"/>
        <v>018</v>
      </c>
      <c r="O568" s="1" t="str">
        <f t="shared" si="379"/>
        <v>00</v>
      </c>
      <c r="P568" s="1" t="str">
        <f t="shared" si="380"/>
        <v>S</v>
      </c>
      <c r="Q568" s="1" t="str">
        <f t="shared" si="381"/>
        <v>P</v>
      </c>
      <c r="R568" s="1" t="str">
        <f t="shared" si="382"/>
        <v>01</v>
      </c>
      <c r="S568" s="1" t="str">
        <f t="shared" si="410"/>
        <v>04</v>
      </c>
      <c r="T568" s="1" t="str">
        <f t="shared" si="384"/>
        <v>False</v>
      </c>
      <c r="U568" s="1" t="str">
        <f t="shared" si="385"/>
        <v>True</v>
      </c>
      <c r="V568" s="1" t="str">
        <f>"U0028049"</f>
        <v>U0028049</v>
      </c>
      <c r="W568" s="1">
        <v>1</v>
      </c>
      <c r="Y568" s="1">
        <v>0</v>
      </c>
      <c r="Z568" s="1">
        <v>0</v>
      </c>
      <c r="AI568" s="1" t="str">
        <f t="shared" si="411"/>
        <v>F11</v>
      </c>
      <c r="AJ568" s="1" t="str">
        <f t="shared" si="413"/>
        <v>WOMAN</v>
      </c>
      <c r="AK568" s="1" t="str">
        <f t="shared" si="386"/>
        <v>PA</v>
      </c>
      <c r="AP568" s="1" t="str">
        <f t="shared" si="387"/>
        <v>False</v>
      </c>
      <c r="AR568" s="1" t="str">
        <f>"GALAD"</f>
        <v>GALAD</v>
      </c>
      <c r="AY568" s="1" t="str">
        <f t="shared" si="388"/>
        <v>PF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 t="str">
        <f>"D GOMMA SUEDE+SYNTHETIC LEAT"</f>
        <v>D GOMMA SUEDE+SYNTHETIC LEAT</v>
      </c>
      <c r="BF568" s="1" t="str">
        <f t="shared" si="389"/>
        <v>Bonis SpA</v>
      </c>
    </row>
    <row r="569" spans="2:58" x14ac:dyDescent="0.25">
      <c r="B569" s="1">
        <v>2509</v>
      </c>
      <c r="C569" s="1" t="str">
        <f>"EGLE4009S7/MH1"</f>
        <v>EGLE4009S7/MH1</v>
      </c>
      <c r="E569" s="1" t="str">
        <f>"40"</f>
        <v>40</v>
      </c>
      <c r="F569" s="1" t="str">
        <f t="shared" si="376"/>
        <v>BONIS SPA</v>
      </c>
      <c r="G569" s="1" t="str">
        <f t="shared" si="408"/>
        <v>STOCK SCAFFALE MP</v>
      </c>
      <c r="H569" s="1" t="str">
        <f>"LIBL"</f>
        <v>LIBL</v>
      </c>
      <c r="K569" s="1">
        <v>2</v>
      </c>
      <c r="L569" s="1" t="str">
        <f t="shared" si="378"/>
        <v>01</v>
      </c>
      <c r="M569" s="1" t="str">
        <f t="shared" si="409"/>
        <v>408</v>
      </c>
      <c r="N569" s="1" t="str">
        <f t="shared" si="412"/>
        <v>018</v>
      </c>
      <c r="O569" s="1" t="str">
        <f t="shared" si="379"/>
        <v>00</v>
      </c>
      <c r="P569" s="1" t="str">
        <f t="shared" si="380"/>
        <v>S</v>
      </c>
      <c r="Q569" s="1" t="str">
        <f t="shared" si="381"/>
        <v>P</v>
      </c>
      <c r="R569" s="1" t="str">
        <f t="shared" si="382"/>
        <v>01</v>
      </c>
      <c r="S569" s="1" t="str">
        <f t="shared" si="410"/>
        <v>04</v>
      </c>
      <c r="T569" s="1" t="str">
        <f t="shared" si="384"/>
        <v>False</v>
      </c>
      <c r="U569" s="1" t="str">
        <f t="shared" si="385"/>
        <v>True</v>
      </c>
      <c r="V569" s="1" t="str">
        <f>"U0027704"</f>
        <v>U0027704</v>
      </c>
      <c r="W569" s="1">
        <v>1</v>
      </c>
      <c r="Y569" s="1">
        <v>0</v>
      </c>
      <c r="Z569" s="1">
        <v>0</v>
      </c>
      <c r="AI569" s="1" t="str">
        <f t="shared" si="411"/>
        <v>F11</v>
      </c>
      <c r="AJ569" s="1" t="str">
        <f t="shared" si="413"/>
        <v>WOMAN</v>
      </c>
      <c r="AK569" s="1" t="str">
        <f t="shared" si="386"/>
        <v>PA</v>
      </c>
      <c r="AP569" s="1" t="str">
        <f t="shared" si="387"/>
        <v>False</v>
      </c>
      <c r="AR569" s="1" t="str">
        <f>"EGLE"</f>
        <v>EGLE</v>
      </c>
      <c r="AY569" s="1" t="str">
        <f t="shared" si="388"/>
        <v>PF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 t="str">
        <f>"ER-EVA MESH + MICROSUEDE"</f>
        <v>ER-EVA MESH + MICROSUEDE</v>
      </c>
      <c r="BF569" s="1" t="str">
        <f t="shared" si="389"/>
        <v>Bonis SpA</v>
      </c>
    </row>
    <row r="570" spans="2:58" x14ac:dyDescent="0.25">
      <c r="B570" s="1">
        <v>2509</v>
      </c>
      <c r="C570" s="1" t="str">
        <f>"EGLE4009S7/NH1"</f>
        <v>EGLE4009S7/NH1</v>
      </c>
      <c r="E570" s="1" t="str">
        <f>"40"</f>
        <v>40</v>
      </c>
      <c r="F570" s="1" t="str">
        <f t="shared" si="376"/>
        <v>BONIS SPA</v>
      </c>
      <c r="G570" s="1" t="str">
        <f t="shared" si="408"/>
        <v>STOCK SCAFFALE MP</v>
      </c>
      <c r="H570" s="1" t="str">
        <f>"MILG"</f>
        <v>MILG</v>
      </c>
      <c r="K570" s="1">
        <v>1</v>
      </c>
      <c r="L570" s="1" t="str">
        <f t="shared" si="378"/>
        <v>01</v>
      </c>
      <c r="M570" s="1" t="str">
        <f t="shared" si="409"/>
        <v>408</v>
      </c>
      <c r="N570" s="1" t="str">
        <f t="shared" si="412"/>
        <v>018</v>
      </c>
      <c r="O570" s="1" t="str">
        <f t="shared" si="379"/>
        <v>00</v>
      </c>
      <c r="P570" s="1" t="str">
        <f t="shared" si="380"/>
        <v>S</v>
      </c>
      <c r="Q570" s="1" t="str">
        <f t="shared" si="381"/>
        <v>P</v>
      </c>
      <c r="R570" s="1" t="str">
        <f t="shared" si="382"/>
        <v>01</v>
      </c>
      <c r="S570" s="1" t="str">
        <f t="shared" si="410"/>
        <v>04</v>
      </c>
      <c r="T570" s="1" t="str">
        <f t="shared" si="384"/>
        <v>False</v>
      </c>
      <c r="U570" s="1" t="str">
        <f t="shared" si="385"/>
        <v>True</v>
      </c>
      <c r="V570" s="1" t="str">
        <f>"U0027704"</f>
        <v>U0027704</v>
      </c>
      <c r="W570" s="1">
        <v>1</v>
      </c>
      <c r="Y570" s="1">
        <v>0</v>
      </c>
      <c r="Z570" s="1">
        <v>0</v>
      </c>
      <c r="AI570" s="1" t="str">
        <f>"F06"</f>
        <v>F06</v>
      </c>
      <c r="AJ570" s="1" t="str">
        <f t="shared" si="413"/>
        <v>WOMAN</v>
      </c>
      <c r="AK570" s="1" t="str">
        <f t="shared" si="386"/>
        <v>PA</v>
      </c>
      <c r="AP570" s="1" t="str">
        <f t="shared" si="387"/>
        <v>False</v>
      </c>
      <c r="AR570" s="1" t="str">
        <f>"EGLE"</f>
        <v>EGLE</v>
      </c>
      <c r="AY570" s="1" t="str">
        <f t="shared" si="388"/>
        <v>PF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 t="str">
        <f>"ER-EVA NYLON + MICROSUEDE"</f>
        <v>ER-EVA NYLON + MICROSUEDE</v>
      </c>
      <c r="BF570" s="1" t="str">
        <f t="shared" si="389"/>
        <v>Bonis SpA</v>
      </c>
    </row>
    <row r="571" spans="2:58" x14ac:dyDescent="0.25">
      <c r="B571" s="1">
        <v>2500</v>
      </c>
      <c r="C571" s="1" t="str">
        <f>"ETTOR2166S7/G1"</f>
        <v>ETTOR2166S7/G1</v>
      </c>
      <c r="E571" s="1" t="str">
        <f>"42"</f>
        <v>42</v>
      </c>
      <c r="F571" s="1" t="str">
        <f t="shared" si="376"/>
        <v>BONIS SPA</v>
      </c>
      <c r="G571" s="1" t="str">
        <f t="shared" si="408"/>
        <v>STOCK SCAFFALE MP</v>
      </c>
      <c r="H571" s="1" t="str">
        <f>"WHI"</f>
        <v>WHI</v>
      </c>
      <c r="K571" s="1">
        <v>1</v>
      </c>
      <c r="L571" s="1" t="str">
        <f t="shared" si="378"/>
        <v>01</v>
      </c>
      <c r="M571" s="1" t="str">
        <f t="shared" si="409"/>
        <v>408</v>
      </c>
      <c r="N571" s="1" t="str">
        <f t="shared" ref="N571:N578" si="414">"015"</f>
        <v>015</v>
      </c>
      <c r="O571" s="1" t="str">
        <f t="shared" si="379"/>
        <v>00</v>
      </c>
      <c r="P571" s="1" t="str">
        <f t="shared" si="380"/>
        <v>S</v>
      </c>
      <c r="Q571" s="1" t="str">
        <f t="shared" si="381"/>
        <v>P</v>
      </c>
      <c r="R571" s="1" t="str">
        <f t="shared" si="382"/>
        <v>01</v>
      </c>
      <c r="S571" s="1" t="str">
        <f t="shared" si="410"/>
        <v>04</v>
      </c>
      <c r="T571" s="1" t="str">
        <f t="shared" si="384"/>
        <v>False</v>
      </c>
      <c r="U571" s="1" t="str">
        <f t="shared" si="385"/>
        <v>True</v>
      </c>
      <c r="V571" s="1" t="str">
        <f>"U0027825"</f>
        <v>U0027825</v>
      </c>
      <c r="W571" s="1">
        <v>1</v>
      </c>
      <c r="Y571" s="1">
        <v>0</v>
      </c>
      <c r="Z571" s="1">
        <v>0</v>
      </c>
      <c r="AI571" s="1" t="str">
        <f>"106"</f>
        <v>106</v>
      </c>
      <c r="AJ571" s="1" t="str">
        <f>"UNISEX"</f>
        <v>UNISEX</v>
      </c>
      <c r="AK571" s="1" t="str">
        <f t="shared" si="386"/>
        <v>PA</v>
      </c>
      <c r="AP571" s="1" t="str">
        <f t="shared" si="387"/>
        <v>False</v>
      </c>
      <c r="AR571" s="1" t="str">
        <f>"ETTOR"</f>
        <v>ETTOR</v>
      </c>
      <c r="AY571" s="1" t="str">
        <f t="shared" si="388"/>
        <v>PF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 t="str">
        <f>"VA ESPANS"</f>
        <v>VA ESPANS</v>
      </c>
      <c r="BF571" s="1" t="str">
        <f t="shared" si="389"/>
        <v>Bonis SpA</v>
      </c>
    </row>
    <row r="572" spans="2:58" x14ac:dyDescent="0.25">
      <c r="B572" s="1">
        <v>2500</v>
      </c>
      <c r="C572" s="1" t="str">
        <f>"ETTOR2166S7/G1"</f>
        <v>ETTOR2166S7/G1</v>
      </c>
      <c r="E572" s="1" t="str">
        <f>"44"</f>
        <v>44</v>
      </c>
      <c r="F572" s="1" t="str">
        <f t="shared" si="376"/>
        <v>BONIS SPA</v>
      </c>
      <c r="G572" s="1" t="str">
        <f t="shared" si="408"/>
        <v>STOCK SCAFFALE MP</v>
      </c>
      <c r="H572" s="1" t="str">
        <f>"WHI"</f>
        <v>WHI</v>
      </c>
      <c r="K572" s="1">
        <v>1</v>
      </c>
      <c r="L572" s="1" t="str">
        <f t="shared" si="378"/>
        <v>01</v>
      </c>
      <c r="M572" s="1" t="str">
        <f t="shared" si="409"/>
        <v>408</v>
      </c>
      <c r="N572" s="1" t="str">
        <f t="shared" si="414"/>
        <v>015</v>
      </c>
      <c r="O572" s="1" t="str">
        <f t="shared" si="379"/>
        <v>00</v>
      </c>
      <c r="P572" s="1" t="str">
        <f t="shared" si="380"/>
        <v>S</v>
      </c>
      <c r="Q572" s="1" t="str">
        <f t="shared" si="381"/>
        <v>P</v>
      </c>
      <c r="R572" s="1" t="str">
        <f t="shared" si="382"/>
        <v>01</v>
      </c>
      <c r="S572" s="1" t="str">
        <f t="shared" si="410"/>
        <v>04</v>
      </c>
      <c r="T572" s="1" t="str">
        <f t="shared" si="384"/>
        <v>False</v>
      </c>
      <c r="U572" s="1" t="str">
        <f t="shared" si="385"/>
        <v>True</v>
      </c>
      <c r="V572" s="1" t="str">
        <f>"U0027825"</f>
        <v>U0027825</v>
      </c>
      <c r="W572" s="1">
        <v>1</v>
      </c>
      <c r="Y572" s="1">
        <v>0</v>
      </c>
      <c r="Z572" s="1">
        <v>0</v>
      </c>
      <c r="AI572" s="1" t="str">
        <f>"106"</f>
        <v>106</v>
      </c>
      <c r="AJ572" s="1" t="str">
        <f>"UNISEX"</f>
        <v>UNISEX</v>
      </c>
      <c r="AK572" s="1" t="str">
        <f t="shared" si="386"/>
        <v>PA</v>
      </c>
      <c r="AP572" s="1" t="str">
        <f t="shared" si="387"/>
        <v>False</v>
      </c>
      <c r="AR572" s="1" t="str">
        <f>"ETTOR"</f>
        <v>ETTOR</v>
      </c>
      <c r="AY572" s="1" t="str">
        <f t="shared" si="388"/>
        <v>PF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 t="str">
        <f>"VA ESPANS"</f>
        <v>VA ESPANS</v>
      </c>
      <c r="BF572" s="1" t="str">
        <f t="shared" si="389"/>
        <v>Bonis SpA</v>
      </c>
    </row>
    <row r="573" spans="2:58" x14ac:dyDescent="0.25">
      <c r="B573" s="1">
        <v>2500</v>
      </c>
      <c r="C573" s="1" t="str">
        <f>"ETTOR2166S7/G1"</f>
        <v>ETTOR2166S7/G1</v>
      </c>
      <c r="E573" s="1" t="str">
        <f>"41"</f>
        <v>41</v>
      </c>
      <c r="F573" s="1" t="str">
        <f t="shared" si="376"/>
        <v>BONIS SPA</v>
      </c>
      <c r="G573" s="1" t="str">
        <f t="shared" si="408"/>
        <v>STOCK SCAFFALE MP</v>
      </c>
      <c r="H573" s="1" t="str">
        <f>"WHI"</f>
        <v>WHI</v>
      </c>
      <c r="K573" s="1">
        <v>1</v>
      </c>
      <c r="L573" s="1" t="str">
        <f t="shared" si="378"/>
        <v>01</v>
      </c>
      <c r="M573" s="1" t="str">
        <f t="shared" si="409"/>
        <v>408</v>
      </c>
      <c r="N573" s="1" t="str">
        <f t="shared" si="414"/>
        <v>015</v>
      </c>
      <c r="O573" s="1" t="str">
        <f t="shared" si="379"/>
        <v>00</v>
      </c>
      <c r="P573" s="1" t="str">
        <f t="shared" si="380"/>
        <v>S</v>
      </c>
      <c r="Q573" s="1" t="str">
        <f t="shared" si="381"/>
        <v>P</v>
      </c>
      <c r="R573" s="1" t="str">
        <f t="shared" si="382"/>
        <v>01</v>
      </c>
      <c r="S573" s="1" t="str">
        <f t="shared" si="410"/>
        <v>04</v>
      </c>
      <c r="T573" s="1" t="str">
        <f t="shared" si="384"/>
        <v>False</v>
      </c>
      <c r="U573" s="1" t="str">
        <f t="shared" si="385"/>
        <v>True</v>
      </c>
      <c r="V573" s="1" t="str">
        <f>"U0027825"</f>
        <v>U0027825</v>
      </c>
      <c r="W573" s="1">
        <v>1</v>
      </c>
      <c r="Y573" s="1">
        <v>0</v>
      </c>
      <c r="Z573" s="1">
        <v>0</v>
      </c>
      <c r="AI573" s="1" t="str">
        <f t="shared" ref="AI573:AI583" si="415">"F11"</f>
        <v>F11</v>
      </c>
      <c r="AJ573" s="1" t="str">
        <f>"UNISEX"</f>
        <v>UNISEX</v>
      </c>
      <c r="AK573" s="1" t="str">
        <f t="shared" si="386"/>
        <v>PA</v>
      </c>
      <c r="AP573" s="1" t="str">
        <f t="shared" si="387"/>
        <v>False</v>
      </c>
      <c r="AR573" s="1" t="str">
        <f>"ETTOR"</f>
        <v>ETTOR</v>
      </c>
      <c r="AY573" s="1" t="str">
        <f t="shared" si="388"/>
        <v>PF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 t="str">
        <f>"VA ESPANS"</f>
        <v>VA ESPANS</v>
      </c>
      <c r="BF573" s="1" t="str">
        <f t="shared" si="389"/>
        <v>Bonis SpA</v>
      </c>
    </row>
    <row r="574" spans="2:58" x14ac:dyDescent="0.25">
      <c r="B574" s="1">
        <v>2500</v>
      </c>
      <c r="C574" s="1" t="str">
        <f>"ETTOR2166S7/G1"</f>
        <v>ETTOR2166S7/G1</v>
      </c>
      <c r="E574" s="1" t="str">
        <f>"43"</f>
        <v>43</v>
      </c>
      <c r="F574" s="1" t="str">
        <f t="shared" si="376"/>
        <v>BONIS SPA</v>
      </c>
      <c r="G574" s="1" t="str">
        <f t="shared" si="408"/>
        <v>STOCK SCAFFALE MP</v>
      </c>
      <c r="H574" s="1" t="str">
        <f>"WHI"</f>
        <v>WHI</v>
      </c>
      <c r="K574" s="1">
        <v>3</v>
      </c>
      <c r="L574" s="1" t="str">
        <f t="shared" si="378"/>
        <v>01</v>
      </c>
      <c r="M574" s="1" t="str">
        <f t="shared" si="409"/>
        <v>408</v>
      </c>
      <c r="N574" s="1" t="str">
        <f t="shared" si="414"/>
        <v>015</v>
      </c>
      <c r="O574" s="1" t="str">
        <f t="shared" si="379"/>
        <v>00</v>
      </c>
      <c r="P574" s="1" t="str">
        <f t="shared" si="380"/>
        <v>S</v>
      </c>
      <c r="Q574" s="1" t="str">
        <f t="shared" si="381"/>
        <v>P</v>
      </c>
      <c r="R574" s="1" t="str">
        <f t="shared" si="382"/>
        <v>01</v>
      </c>
      <c r="S574" s="1" t="str">
        <f t="shared" si="410"/>
        <v>04</v>
      </c>
      <c r="T574" s="1" t="str">
        <f t="shared" si="384"/>
        <v>False</v>
      </c>
      <c r="U574" s="1" t="str">
        <f t="shared" si="385"/>
        <v>True</v>
      </c>
      <c r="V574" s="1" t="str">
        <f>"U0027825"</f>
        <v>U0027825</v>
      </c>
      <c r="W574" s="1">
        <v>1</v>
      </c>
      <c r="Y574" s="1">
        <v>0</v>
      </c>
      <c r="Z574" s="1">
        <v>0</v>
      </c>
      <c r="AI574" s="1" t="str">
        <f t="shared" si="415"/>
        <v>F11</v>
      </c>
      <c r="AJ574" s="1" t="str">
        <f>"UNISEX"</f>
        <v>UNISEX</v>
      </c>
      <c r="AK574" s="1" t="str">
        <f t="shared" si="386"/>
        <v>PA</v>
      </c>
      <c r="AP574" s="1" t="str">
        <f t="shared" si="387"/>
        <v>False</v>
      </c>
      <c r="AR574" s="1" t="str">
        <f>"ETTOR"</f>
        <v>ETTOR</v>
      </c>
      <c r="AY574" s="1" t="str">
        <f t="shared" si="388"/>
        <v>PF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 t="str">
        <f>"VA ESPANS"</f>
        <v>VA ESPANS</v>
      </c>
      <c r="BF574" s="1" t="str">
        <f t="shared" si="389"/>
        <v>Bonis SpA</v>
      </c>
    </row>
    <row r="575" spans="2:58" x14ac:dyDescent="0.25">
      <c r="B575" s="1">
        <v>2500</v>
      </c>
      <c r="C575" s="1" t="str">
        <f>"ETTOR2166S7/G1"</f>
        <v>ETTOR2166S7/G1</v>
      </c>
      <c r="E575" s="1" t="str">
        <f>"40"</f>
        <v>40</v>
      </c>
      <c r="F575" s="1" t="str">
        <f t="shared" si="376"/>
        <v>BONIS SPA</v>
      </c>
      <c r="G575" s="1" t="str">
        <f t="shared" si="408"/>
        <v>STOCK SCAFFALE MP</v>
      </c>
      <c r="H575" s="1" t="str">
        <f>"WHI"</f>
        <v>WHI</v>
      </c>
      <c r="K575" s="1">
        <v>1</v>
      </c>
      <c r="L575" s="1" t="str">
        <f t="shared" si="378"/>
        <v>01</v>
      </c>
      <c r="M575" s="1" t="str">
        <f t="shared" si="409"/>
        <v>408</v>
      </c>
      <c r="N575" s="1" t="str">
        <f t="shared" si="414"/>
        <v>015</v>
      </c>
      <c r="O575" s="1" t="str">
        <f t="shared" si="379"/>
        <v>00</v>
      </c>
      <c r="P575" s="1" t="str">
        <f t="shared" si="380"/>
        <v>S</v>
      </c>
      <c r="Q575" s="1" t="str">
        <f t="shared" si="381"/>
        <v>P</v>
      </c>
      <c r="R575" s="1" t="str">
        <f t="shared" si="382"/>
        <v>01</v>
      </c>
      <c r="S575" s="1" t="str">
        <f t="shared" si="410"/>
        <v>04</v>
      </c>
      <c r="T575" s="1" t="str">
        <f t="shared" si="384"/>
        <v>False</v>
      </c>
      <c r="U575" s="1" t="str">
        <f t="shared" si="385"/>
        <v>True</v>
      </c>
      <c r="V575" s="1" t="str">
        <f>"U0027825"</f>
        <v>U0027825</v>
      </c>
      <c r="W575" s="1">
        <v>1</v>
      </c>
      <c r="Y575" s="1">
        <v>0</v>
      </c>
      <c r="Z575" s="1">
        <v>0</v>
      </c>
      <c r="AI575" s="1" t="str">
        <f t="shared" si="415"/>
        <v>F11</v>
      </c>
      <c r="AJ575" s="1" t="str">
        <f>"UNISEX"</f>
        <v>UNISEX</v>
      </c>
      <c r="AK575" s="1" t="str">
        <f t="shared" si="386"/>
        <v>PA</v>
      </c>
      <c r="AP575" s="1" t="str">
        <f t="shared" si="387"/>
        <v>False</v>
      </c>
      <c r="AR575" s="1" t="str">
        <f>"ETTOR"</f>
        <v>ETTOR</v>
      </c>
      <c r="AY575" s="1" t="str">
        <f t="shared" si="388"/>
        <v>PF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 t="str">
        <f>"VA ESPANS"</f>
        <v>VA ESPANS</v>
      </c>
      <c r="BF575" s="1" t="str">
        <f t="shared" si="389"/>
        <v>Bonis SpA</v>
      </c>
    </row>
    <row r="576" spans="2:58" x14ac:dyDescent="0.25">
      <c r="B576" s="1">
        <v>2500</v>
      </c>
      <c r="C576" s="1" t="str">
        <f>"VAIAK4119S7/G1"</f>
        <v>VAIAK4119S7/G1</v>
      </c>
      <c r="E576" s="1" t="str">
        <f>"32"</f>
        <v>32</v>
      </c>
      <c r="F576" s="1" t="str">
        <f t="shared" si="376"/>
        <v>BONIS SPA</v>
      </c>
      <c r="G576" s="1" t="str">
        <f t="shared" si="408"/>
        <v>STOCK SCAFFALE MP</v>
      </c>
      <c r="H576" s="1" t="str">
        <f>"SKBL"</f>
        <v>SKBL</v>
      </c>
      <c r="K576" s="1">
        <v>1</v>
      </c>
      <c r="L576" s="1" t="str">
        <f t="shared" si="378"/>
        <v>01</v>
      </c>
      <c r="M576" s="1" t="str">
        <f t="shared" si="409"/>
        <v>408</v>
      </c>
      <c r="N576" s="1" t="str">
        <f t="shared" si="414"/>
        <v>015</v>
      </c>
      <c r="O576" s="1" t="str">
        <f t="shared" si="379"/>
        <v>00</v>
      </c>
      <c r="P576" s="1" t="str">
        <f t="shared" si="380"/>
        <v>S</v>
      </c>
      <c r="Q576" s="1" t="str">
        <f t="shared" si="381"/>
        <v>P</v>
      </c>
      <c r="R576" s="1" t="str">
        <f t="shared" si="382"/>
        <v>01</v>
      </c>
      <c r="S576" s="1" t="str">
        <f t="shared" si="410"/>
        <v>04</v>
      </c>
      <c r="T576" s="1" t="str">
        <f t="shared" si="384"/>
        <v>False</v>
      </c>
      <c r="U576" s="1" t="str">
        <f t="shared" si="385"/>
        <v>True</v>
      </c>
      <c r="V576" s="1" t="str">
        <f>"U0027857"</f>
        <v>U0027857</v>
      </c>
      <c r="W576" s="1">
        <v>1</v>
      </c>
      <c r="Y576" s="1">
        <v>0</v>
      </c>
      <c r="Z576" s="1">
        <v>0</v>
      </c>
      <c r="AI576" s="1" t="str">
        <f t="shared" si="415"/>
        <v>F11</v>
      </c>
      <c r="AJ576" s="1" t="str">
        <f>"KID"</f>
        <v>KID</v>
      </c>
      <c r="AK576" s="1" t="str">
        <f t="shared" si="386"/>
        <v>PA</v>
      </c>
      <c r="AP576" s="1" t="str">
        <f t="shared" si="387"/>
        <v>False</v>
      </c>
      <c r="AR576" s="1" t="str">
        <f>"VAIAK"</f>
        <v>VAIAK</v>
      </c>
      <c r="AY576" s="1" t="str">
        <f t="shared" si="388"/>
        <v>PF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 t="str">
        <f>"TOMAIA GOMMA"</f>
        <v>TOMAIA GOMMA</v>
      </c>
      <c r="BF576" s="1" t="str">
        <f t="shared" si="389"/>
        <v>Bonis SpA</v>
      </c>
    </row>
    <row r="577" spans="2:58" x14ac:dyDescent="0.25">
      <c r="B577" s="1">
        <v>2500</v>
      </c>
      <c r="C577" s="1" t="str">
        <f>"VAIAK4119S7/G1"</f>
        <v>VAIAK4119S7/G1</v>
      </c>
      <c r="E577" s="1" t="str">
        <f>"30"</f>
        <v>30</v>
      </c>
      <c r="F577" s="1" t="str">
        <f t="shared" si="376"/>
        <v>BONIS SPA</v>
      </c>
      <c r="G577" s="1" t="str">
        <f t="shared" si="408"/>
        <v>STOCK SCAFFALE MP</v>
      </c>
      <c r="H577" s="1" t="str">
        <f>"SKBL"</f>
        <v>SKBL</v>
      </c>
      <c r="K577" s="1">
        <v>1</v>
      </c>
      <c r="L577" s="1" t="str">
        <f t="shared" si="378"/>
        <v>01</v>
      </c>
      <c r="M577" s="1" t="str">
        <f t="shared" si="409"/>
        <v>408</v>
      </c>
      <c r="N577" s="1" t="str">
        <f t="shared" si="414"/>
        <v>015</v>
      </c>
      <c r="O577" s="1" t="str">
        <f t="shared" si="379"/>
        <v>00</v>
      </c>
      <c r="P577" s="1" t="str">
        <f t="shared" si="380"/>
        <v>S</v>
      </c>
      <c r="Q577" s="1" t="str">
        <f t="shared" si="381"/>
        <v>P</v>
      </c>
      <c r="R577" s="1" t="str">
        <f t="shared" si="382"/>
        <v>01</v>
      </c>
      <c r="S577" s="1" t="str">
        <f t="shared" si="410"/>
        <v>04</v>
      </c>
      <c r="T577" s="1" t="str">
        <f t="shared" si="384"/>
        <v>False</v>
      </c>
      <c r="U577" s="1" t="str">
        <f t="shared" si="385"/>
        <v>True</v>
      </c>
      <c r="V577" s="1" t="str">
        <f>"U0027857"</f>
        <v>U0027857</v>
      </c>
      <c r="W577" s="1">
        <v>1</v>
      </c>
      <c r="Y577" s="1">
        <v>0</v>
      </c>
      <c r="Z577" s="1">
        <v>0</v>
      </c>
      <c r="AI577" s="1" t="str">
        <f t="shared" si="415"/>
        <v>F11</v>
      </c>
      <c r="AJ577" s="1" t="str">
        <f>"KID"</f>
        <v>KID</v>
      </c>
      <c r="AK577" s="1" t="str">
        <f t="shared" si="386"/>
        <v>PA</v>
      </c>
      <c r="AP577" s="1" t="str">
        <f t="shared" si="387"/>
        <v>False</v>
      </c>
      <c r="AR577" s="1" t="str">
        <f>"VAIAK"</f>
        <v>VAIAK</v>
      </c>
      <c r="AY577" s="1" t="str">
        <f t="shared" si="388"/>
        <v>PF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 t="str">
        <f>"TOMAIA GOMMA"</f>
        <v>TOMAIA GOMMA</v>
      </c>
      <c r="BF577" s="1" t="str">
        <f t="shared" si="389"/>
        <v>Bonis SpA</v>
      </c>
    </row>
    <row r="578" spans="2:58" x14ac:dyDescent="0.25">
      <c r="B578" s="1">
        <v>2500</v>
      </c>
      <c r="C578" s="1" t="str">
        <f>"VAIAK4119S7/G1"</f>
        <v>VAIAK4119S7/G1</v>
      </c>
      <c r="E578" s="1" t="str">
        <f>"29"</f>
        <v>29</v>
      </c>
      <c r="F578" s="1" t="str">
        <f t="shared" ref="F578:F641" si="416">"BONIS SPA"</f>
        <v>BONIS SPA</v>
      </c>
      <c r="G578" s="1" t="str">
        <f t="shared" si="408"/>
        <v>STOCK SCAFFALE MP</v>
      </c>
      <c r="H578" s="1" t="str">
        <f>"SKBL"</f>
        <v>SKBL</v>
      </c>
      <c r="K578" s="1">
        <v>1</v>
      </c>
      <c r="L578" s="1" t="str">
        <f t="shared" ref="L578:L641" si="417">"01"</f>
        <v>01</v>
      </c>
      <c r="M578" s="1" t="str">
        <f t="shared" si="409"/>
        <v>408</v>
      </c>
      <c r="N578" s="1" t="str">
        <f t="shared" si="414"/>
        <v>015</v>
      </c>
      <c r="O578" s="1" t="str">
        <f t="shared" ref="O578:O641" si="418">"00"</f>
        <v>00</v>
      </c>
      <c r="P578" s="1" t="str">
        <f t="shared" ref="P578:P641" si="419">"S"</f>
        <v>S</v>
      </c>
      <c r="Q578" s="1" t="str">
        <f t="shared" ref="Q578:Q641" si="420">"P"</f>
        <v>P</v>
      </c>
      <c r="R578" s="1" t="str">
        <f t="shared" ref="R578:R641" si="421">"01"</f>
        <v>01</v>
      </c>
      <c r="S578" s="1" t="str">
        <f t="shared" si="410"/>
        <v>04</v>
      </c>
      <c r="T578" s="1" t="str">
        <f t="shared" ref="T578:T641" si="422">"False"</f>
        <v>False</v>
      </c>
      <c r="U578" s="1" t="str">
        <f t="shared" ref="U578:U641" si="423">"True"</f>
        <v>True</v>
      </c>
      <c r="V578" s="1" t="str">
        <f>"U0027857"</f>
        <v>U0027857</v>
      </c>
      <c r="W578" s="1">
        <v>1</v>
      </c>
      <c r="Y578" s="1">
        <v>0</v>
      </c>
      <c r="Z578" s="1">
        <v>0</v>
      </c>
      <c r="AI578" s="1" t="str">
        <f t="shared" si="415"/>
        <v>F11</v>
      </c>
      <c r="AJ578" s="1" t="str">
        <f>"KID"</f>
        <v>KID</v>
      </c>
      <c r="AK578" s="1" t="str">
        <f t="shared" ref="AK578:AK641" si="424">"PA"</f>
        <v>PA</v>
      </c>
      <c r="AP578" s="1" t="str">
        <f t="shared" ref="AP578:AP641" si="425">"False"</f>
        <v>False</v>
      </c>
      <c r="AR578" s="1" t="str">
        <f>"VAIAK"</f>
        <v>VAIAK</v>
      </c>
      <c r="AY578" s="1" t="str">
        <f t="shared" ref="AY578:AY641" si="426">"PF"</f>
        <v>PF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 t="str">
        <f>"TOMAIA GOMMA"</f>
        <v>TOMAIA GOMMA</v>
      </c>
      <c r="BF578" s="1" t="str">
        <f t="shared" ref="BF578:BF641" si="427">"Bonis SpA"</f>
        <v>Bonis SpA</v>
      </c>
    </row>
    <row r="579" spans="2:58" x14ac:dyDescent="0.25">
      <c r="B579" s="1">
        <v>2509</v>
      </c>
      <c r="C579" s="1" t="str">
        <f>"NOBIW4132S7/NH1"</f>
        <v>NOBIW4132S7/NH1</v>
      </c>
      <c r="E579" s="1" t="str">
        <f>"36"</f>
        <v>36</v>
      </c>
      <c r="F579" s="1" t="str">
        <f t="shared" si="416"/>
        <v>BONIS SPA</v>
      </c>
      <c r="G579" s="1" t="str">
        <f t="shared" si="408"/>
        <v>STOCK SCAFFALE MP</v>
      </c>
      <c r="H579" s="1" t="str">
        <f>"FUX"</f>
        <v>FUX</v>
      </c>
      <c r="K579" s="1">
        <v>1</v>
      </c>
      <c r="L579" s="1" t="str">
        <f t="shared" si="417"/>
        <v>01</v>
      </c>
      <c r="M579" s="1" t="str">
        <f t="shared" si="409"/>
        <v>408</v>
      </c>
      <c r="N579" s="1" t="str">
        <f t="shared" ref="N579:N585" si="428">"018"</f>
        <v>018</v>
      </c>
      <c r="O579" s="1" t="str">
        <f t="shared" si="418"/>
        <v>00</v>
      </c>
      <c r="P579" s="1" t="str">
        <f t="shared" si="419"/>
        <v>S</v>
      </c>
      <c r="Q579" s="1" t="str">
        <f t="shared" si="420"/>
        <v>P</v>
      </c>
      <c r="R579" s="1" t="str">
        <f t="shared" si="421"/>
        <v>01</v>
      </c>
      <c r="S579" s="1" t="str">
        <f t="shared" si="410"/>
        <v>04</v>
      </c>
      <c r="T579" s="1" t="str">
        <f t="shared" si="422"/>
        <v>False</v>
      </c>
      <c r="U579" s="1" t="str">
        <f t="shared" si="423"/>
        <v>True</v>
      </c>
      <c r="V579" s="1" t="str">
        <f>"U0027842"</f>
        <v>U0027842</v>
      </c>
      <c r="W579" s="1">
        <v>1</v>
      </c>
      <c r="Y579" s="1">
        <v>0</v>
      </c>
      <c r="Z579" s="1">
        <v>0</v>
      </c>
      <c r="AI579" s="1" t="str">
        <f t="shared" si="415"/>
        <v>F11</v>
      </c>
      <c r="AJ579" s="1" t="str">
        <f>"WOMAN"</f>
        <v>WOMAN</v>
      </c>
      <c r="AK579" s="1" t="str">
        <f t="shared" si="424"/>
        <v>PA</v>
      </c>
      <c r="AP579" s="1" t="str">
        <f t="shared" si="425"/>
        <v>False</v>
      </c>
      <c r="AR579" s="1" t="str">
        <f>"NOBIW"</f>
        <v>NOBIW</v>
      </c>
      <c r="AY579" s="1" t="str">
        <f t="shared" si="426"/>
        <v>PF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 t="str">
        <f>"UBBER FLAT MOL.NYLON+MICROSUED"</f>
        <v>UBBER FLAT MOL.NYLON+MICROSUED</v>
      </c>
      <c r="BF579" s="1" t="str">
        <f t="shared" si="427"/>
        <v>Bonis SpA</v>
      </c>
    </row>
    <row r="580" spans="2:58" x14ac:dyDescent="0.25">
      <c r="B580" s="1">
        <v>2509</v>
      </c>
      <c r="C580" s="1" t="str">
        <f>"NOBIW4132S7/NH1"</f>
        <v>NOBIW4132S7/NH1</v>
      </c>
      <c r="E580" s="1" t="str">
        <f>"37"</f>
        <v>37</v>
      </c>
      <c r="F580" s="1" t="str">
        <f t="shared" si="416"/>
        <v>BONIS SPA</v>
      </c>
      <c r="G580" s="1" t="str">
        <f t="shared" si="408"/>
        <v>STOCK SCAFFALE MP</v>
      </c>
      <c r="H580" s="1" t="str">
        <f>"FUX"</f>
        <v>FUX</v>
      </c>
      <c r="K580" s="1">
        <v>2</v>
      </c>
      <c r="L580" s="1" t="str">
        <f t="shared" si="417"/>
        <v>01</v>
      </c>
      <c r="M580" s="1" t="str">
        <f t="shared" si="409"/>
        <v>408</v>
      </c>
      <c r="N580" s="1" t="str">
        <f t="shared" si="428"/>
        <v>018</v>
      </c>
      <c r="O580" s="1" t="str">
        <f t="shared" si="418"/>
        <v>00</v>
      </c>
      <c r="P580" s="1" t="str">
        <f t="shared" si="419"/>
        <v>S</v>
      </c>
      <c r="Q580" s="1" t="str">
        <f t="shared" si="420"/>
        <v>P</v>
      </c>
      <c r="R580" s="1" t="str">
        <f t="shared" si="421"/>
        <v>01</v>
      </c>
      <c r="S580" s="1" t="str">
        <f t="shared" si="410"/>
        <v>04</v>
      </c>
      <c r="T580" s="1" t="str">
        <f t="shared" si="422"/>
        <v>False</v>
      </c>
      <c r="U580" s="1" t="str">
        <f t="shared" si="423"/>
        <v>True</v>
      </c>
      <c r="V580" s="1" t="str">
        <f>"U0027842"</f>
        <v>U0027842</v>
      </c>
      <c r="W580" s="1">
        <v>1</v>
      </c>
      <c r="Y580" s="1">
        <v>0</v>
      </c>
      <c r="Z580" s="1">
        <v>0</v>
      </c>
      <c r="AI580" s="1" t="str">
        <f t="shared" si="415"/>
        <v>F11</v>
      </c>
      <c r="AJ580" s="1" t="str">
        <f>"WOMAN"</f>
        <v>WOMAN</v>
      </c>
      <c r="AK580" s="1" t="str">
        <f t="shared" si="424"/>
        <v>PA</v>
      </c>
      <c r="AP580" s="1" t="str">
        <f t="shared" si="425"/>
        <v>False</v>
      </c>
      <c r="AR580" s="1" t="str">
        <f>"NOBIW"</f>
        <v>NOBIW</v>
      </c>
      <c r="AY580" s="1" t="str">
        <f t="shared" si="426"/>
        <v>PF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 t="str">
        <f>"UBBER FLAT MOL.NYLON+MICROSUED"</f>
        <v>UBBER FLAT MOL.NYLON+MICROSUED</v>
      </c>
      <c r="BF580" s="1" t="str">
        <f t="shared" si="427"/>
        <v>Bonis SpA</v>
      </c>
    </row>
    <row r="581" spans="2:58" x14ac:dyDescent="0.25">
      <c r="B581" s="1">
        <v>2509</v>
      </c>
      <c r="C581" s="1" t="str">
        <f>"NOBIW4132S7/NH1"</f>
        <v>NOBIW4132S7/NH1</v>
      </c>
      <c r="E581" s="1" t="str">
        <f>"38"</f>
        <v>38</v>
      </c>
      <c r="F581" s="1" t="str">
        <f t="shared" si="416"/>
        <v>BONIS SPA</v>
      </c>
      <c r="G581" s="1" t="str">
        <f t="shared" si="408"/>
        <v>STOCK SCAFFALE MP</v>
      </c>
      <c r="H581" s="1" t="str">
        <f>"FUX"</f>
        <v>FUX</v>
      </c>
      <c r="K581" s="1">
        <v>2</v>
      </c>
      <c r="L581" s="1" t="str">
        <f t="shared" si="417"/>
        <v>01</v>
      </c>
      <c r="M581" s="1" t="str">
        <f t="shared" si="409"/>
        <v>408</v>
      </c>
      <c r="N581" s="1" t="str">
        <f t="shared" si="428"/>
        <v>018</v>
      </c>
      <c r="O581" s="1" t="str">
        <f t="shared" si="418"/>
        <v>00</v>
      </c>
      <c r="P581" s="1" t="str">
        <f t="shared" si="419"/>
        <v>S</v>
      </c>
      <c r="Q581" s="1" t="str">
        <f t="shared" si="420"/>
        <v>P</v>
      </c>
      <c r="R581" s="1" t="str">
        <f t="shared" si="421"/>
        <v>01</v>
      </c>
      <c r="S581" s="1" t="str">
        <f t="shared" si="410"/>
        <v>04</v>
      </c>
      <c r="T581" s="1" t="str">
        <f t="shared" si="422"/>
        <v>False</v>
      </c>
      <c r="U581" s="1" t="str">
        <f t="shared" si="423"/>
        <v>True</v>
      </c>
      <c r="V581" s="1" t="str">
        <f>"U0027842"</f>
        <v>U0027842</v>
      </c>
      <c r="W581" s="1">
        <v>1</v>
      </c>
      <c r="Y581" s="1">
        <v>0</v>
      </c>
      <c r="Z581" s="1">
        <v>0</v>
      </c>
      <c r="AI581" s="1" t="str">
        <f t="shared" si="415"/>
        <v>F11</v>
      </c>
      <c r="AJ581" s="1" t="str">
        <f>"WOMAN"</f>
        <v>WOMAN</v>
      </c>
      <c r="AK581" s="1" t="str">
        <f t="shared" si="424"/>
        <v>PA</v>
      </c>
      <c r="AP581" s="1" t="str">
        <f t="shared" si="425"/>
        <v>False</v>
      </c>
      <c r="AR581" s="1" t="str">
        <f>"NOBIW"</f>
        <v>NOBIW</v>
      </c>
      <c r="AY581" s="1" t="str">
        <f t="shared" si="426"/>
        <v>PF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 t="str">
        <f>"UBBER FLAT MOL.NYLON+MICROSUED"</f>
        <v>UBBER FLAT MOL.NYLON+MICROSUED</v>
      </c>
      <c r="BF581" s="1" t="str">
        <f t="shared" si="427"/>
        <v>Bonis SpA</v>
      </c>
    </row>
    <row r="582" spans="2:58" x14ac:dyDescent="0.25">
      <c r="B582" s="1">
        <v>2509</v>
      </c>
      <c r="C582" s="1" t="str">
        <f>"NOBIW4132S7/NH1"</f>
        <v>NOBIW4132S7/NH1</v>
      </c>
      <c r="E582" s="1" t="str">
        <f>"39"</f>
        <v>39</v>
      </c>
      <c r="F582" s="1" t="str">
        <f t="shared" si="416"/>
        <v>BONIS SPA</v>
      </c>
      <c r="G582" s="1" t="str">
        <f t="shared" si="408"/>
        <v>STOCK SCAFFALE MP</v>
      </c>
      <c r="H582" s="1" t="str">
        <f>"FUX"</f>
        <v>FUX</v>
      </c>
      <c r="K582" s="1">
        <v>1</v>
      </c>
      <c r="L582" s="1" t="str">
        <f t="shared" si="417"/>
        <v>01</v>
      </c>
      <c r="M582" s="1" t="str">
        <f t="shared" si="409"/>
        <v>408</v>
      </c>
      <c r="N582" s="1" t="str">
        <f t="shared" si="428"/>
        <v>018</v>
      </c>
      <c r="O582" s="1" t="str">
        <f t="shared" si="418"/>
        <v>00</v>
      </c>
      <c r="P582" s="1" t="str">
        <f t="shared" si="419"/>
        <v>S</v>
      </c>
      <c r="Q582" s="1" t="str">
        <f t="shared" si="420"/>
        <v>P</v>
      </c>
      <c r="R582" s="1" t="str">
        <f t="shared" si="421"/>
        <v>01</v>
      </c>
      <c r="S582" s="1" t="str">
        <f t="shared" si="410"/>
        <v>04</v>
      </c>
      <c r="T582" s="1" t="str">
        <f t="shared" si="422"/>
        <v>False</v>
      </c>
      <c r="U582" s="1" t="str">
        <f t="shared" si="423"/>
        <v>True</v>
      </c>
      <c r="V582" s="1" t="str">
        <f>"U0027842"</f>
        <v>U0027842</v>
      </c>
      <c r="W582" s="1">
        <v>1</v>
      </c>
      <c r="Y582" s="1">
        <v>0</v>
      </c>
      <c r="Z582" s="1">
        <v>0</v>
      </c>
      <c r="AI582" s="1" t="str">
        <f t="shared" si="415"/>
        <v>F11</v>
      </c>
      <c r="AJ582" s="1" t="str">
        <f>"WOMAN"</f>
        <v>WOMAN</v>
      </c>
      <c r="AK582" s="1" t="str">
        <f t="shared" si="424"/>
        <v>PA</v>
      </c>
      <c r="AP582" s="1" t="str">
        <f t="shared" si="425"/>
        <v>False</v>
      </c>
      <c r="AR582" s="1" t="str">
        <f>"NOBIW"</f>
        <v>NOBIW</v>
      </c>
      <c r="AY582" s="1" t="str">
        <f t="shared" si="426"/>
        <v>PF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 t="str">
        <f>"UBBER FLAT MOL.NYLON+MICROSUED"</f>
        <v>UBBER FLAT MOL.NYLON+MICROSUED</v>
      </c>
      <c r="BF582" s="1" t="str">
        <f t="shared" si="427"/>
        <v>Bonis SpA</v>
      </c>
    </row>
    <row r="583" spans="2:58" x14ac:dyDescent="0.25">
      <c r="B583" s="1">
        <v>2509</v>
      </c>
      <c r="C583" s="1" t="str">
        <f>"NOBIW4132S7/NH1"</f>
        <v>NOBIW4132S7/NH1</v>
      </c>
      <c r="E583" s="1" t="str">
        <f>"40"</f>
        <v>40</v>
      </c>
      <c r="F583" s="1" t="str">
        <f t="shared" si="416"/>
        <v>BONIS SPA</v>
      </c>
      <c r="G583" s="1" t="str">
        <f t="shared" si="408"/>
        <v>STOCK SCAFFALE MP</v>
      </c>
      <c r="H583" s="1" t="str">
        <f>"FUX"</f>
        <v>FUX</v>
      </c>
      <c r="K583" s="1">
        <v>1</v>
      </c>
      <c r="L583" s="1" t="str">
        <f t="shared" si="417"/>
        <v>01</v>
      </c>
      <c r="M583" s="1" t="str">
        <f t="shared" si="409"/>
        <v>408</v>
      </c>
      <c r="N583" s="1" t="str">
        <f t="shared" si="428"/>
        <v>018</v>
      </c>
      <c r="O583" s="1" t="str">
        <f t="shared" si="418"/>
        <v>00</v>
      </c>
      <c r="P583" s="1" t="str">
        <f t="shared" si="419"/>
        <v>S</v>
      </c>
      <c r="Q583" s="1" t="str">
        <f t="shared" si="420"/>
        <v>P</v>
      </c>
      <c r="R583" s="1" t="str">
        <f t="shared" si="421"/>
        <v>01</v>
      </c>
      <c r="S583" s="1" t="str">
        <f t="shared" si="410"/>
        <v>04</v>
      </c>
      <c r="T583" s="1" t="str">
        <f t="shared" si="422"/>
        <v>False</v>
      </c>
      <c r="U583" s="1" t="str">
        <f t="shared" si="423"/>
        <v>True</v>
      </c>
      <c r="V583" s="1" t="str">
        <f>"U0027842"</f>
        <v>U0027842</v>
      </c>
      <c r="W583" s="1">
        <v>1</v>
      </c>
      <c r="Y583" s="1">
        <v>0</v>
      </c>
      <c r="Z583" s="1">
        <v>0</v>
      </c>
      <c r="AI583" s="1" t="str">
        <f t="shared" si="415"/>
        <v>F11</v>
      </c>
      <c r="AJ583" s="1" t="str">
        <f>"WOMAN"</f>
        <v>WOMAN</v>
      </c>
      <c r="AK583" s="1" t="str">
        <f t="shared" si="424"/>
        <v>PA</v>
      </c>
      <c r="AP583" s="1" t="str">
        <f t="shared" si="425"/>
        <v>False</v>
      </c>
      <c r="AR583" s="1" t="str">
        <f>"NOBIW"</f>
        <v>NOBIW</v>
      </c>
      <c r="AY583" s="1" t="str">
        <f t="shared" si="426"/>
        <v>PF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 t="str">
        <f>"UBBER FLAT MOL.NYLON+MICROSUED"</f>
        <v>UBBER FLAT MOL.NYLON+MICROSUED</v>
      </c>
      <c r="BF583" s="1" t="str">
        <f t="shared" si="427"/>
        <v>Bonis SpA</v>
      </c>
    </row>
    <row r="584" spans="2:58" x14ac:dyDescent="0.25">
      <c r="B584" s="1">
        <v>2509</v>
      </c>
      <c r="C584" s="1" t="str">
        <f>"GALAN4107S7/CL1"</f>
        <v>GALAN4107S7/CL1</v>
      </c>
      <c r="E584" s="1" t="str">
        <f>"43"</f>
        <v>43</v>
      </c>
      <c r="F584" s="1" t="str">
        <f t="shared" si="416"/>
        <v>BONIS SPA</v>
      </c>
      <c r="G584" s="1" t="str">
        <f t="shared" si="408"/>
        <v>STOCK SCAFFALE MP</v>
      </c>
      <c r="H584" s="1" t="str">
        <f>"GRE"</f>
        <v>GRE</v>
      </c>
      <c r="K584" s="1">
        <v>1</v>
      </c>
      <c r="L584" s="1" t="str">
        <f t="shared" si="417"/>
        <v>01</v>
      </c>
      <c r="M584" s="1" t="str">
        <f t="shared" si="409"/>
        <v>408</v>
      </c>
      <c r="N584" s="1" t="str">
        <f t="shared" si="428"/>
        <v>018</v>
      </c>
      <c r="O584" s="1" t="str">
        <f t="shared" si="418"/>
        <v>00</v>
      </c>
      <c r="P584" s="1" t="str">
        <f t="shared" si="419"/>
        <v>S</v>
      </c>
      <c r="Q584" s="1" t="str">
        <f t="shared" si="420"/>
        <v>P</v>
      </c>
      <c r="R584" s="1" t="str">
        <f t="shared" si="421"/>
        <v>01</v>
      </c>
      <c r="S584" s="1" t="str">
        <f t="shared" si="410"/>
        <v>04</v>
      </c>
      <c r="T584" s="1" t="str">
        <f t="shared" si="422"/>
        <v>False</v>
      </c>
      <c r="U584" s="1" t="str">
        <f t="shared" si="423"/>
        <v>True</v>
      </c>
      <c r="V584" s="1" t="str">
        <f>"U0027704"</f>
        <v>U0027704</v>
      </c>
      <c r="W584" s="1">
        <v>1</v>
      </c>
      <c r="Y584" s="1">
        <v>0</v>
      </c>
      <c r="Z584" s="1">
        <v>0</v>
      </c>
      <c r="AI584" s="1" t="str">
        <f>"F06"</f>
        <v>F06</v>
      </c>
      <c r="AJ584" s="1" t="str">
        <f>"MAN"</f>
        <v>MAN</v>
      </c>
      <c r="AK584" s="1" t="str">
        <f t="shared" si="424"/>
        <v>PA</v>
      </c>
      <c r="AP584" s="1" t="str">
        <f t="shared" si="425"/>
        <v>False</v>
      </c>
      <c r="AR584" s="1" t="str">
        <f>"GALAN"</f>
        <v>GALAN</v>
      </c>
      <c r="AY584" s="1" t="str">
        <f t="shared" si="426"/>
        <v>PF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 t="str">
        <f>"LAN TEXTILE BATIK+LEATHER"</f>
        <v>LAN TEXTILE BATIK+LEATHER</v>
      </c>
      <c r="BF584" s="1" t="str">
        <f t="shared" si="427"/>
        <v>Bonis SpA</v>
      </c>
    </row>
    <row r="585" spans="2:58" x14ac:dyDescent="0.25">
      <c r="B585" s="1">
        <v>2509</v>
      </c>
      <c r="C585" s="1" t="str">
        <f>"GALAN4107S7/CL1"</f>
        <v>GALAN4107S7/CL1</v>
      </c>
      <c r="E585" s="1" t="str">
        <f>"44"</f>
        <v>44</v>
      </c>
      <c r="F585" s="1" t="str">
        <f t="shared" si="416"/>
        <v>BONIS SPA</v>
      </c>
      <c r="G585" s="1" t="str">
        <f t="shared" si="408"/>
        <v>STOCK SCAFFALE MP</v>
      </c>
      <c r="H585" s="1" t="str">
        <f>"GRE"</f>
        <v>GRE</v>
      </c>
      <c r="K585" s="1">
        <v>1</v>
      </c>
      <c r="L585" s="1" t="str">
        <f t="shared" si="417"/>
        <v>01</v>
      </c>
      <c r="M585" s="1" t="str">
        <f t="shared" si="409"/>
        <v>408</v>
      </c>
      <c r="N585" s="1" t="str">
        <f t="shared" si="428"/>
        <v>018</v>
      </c>
      <c r="O585" s="1" t="str">
        <f t="shared" si="418"/>
        <v>00</v>
      </c>
      <c r="P585" s="1" t="str">
        <f t="shared" si="419"/>
        <v>S</v>
      </c>
      <c r="Q585" s="1" t="str">
        <f t="shared" si="420"/>
        <v>P</v>
      </c>
      <c r="R585" s="1" t="str">
        <f t="shared" si="421"/>
        <v>01</v>
      </c>
      <c r="S585" s="1" t="str">
        <f t="shared" si="410"/>
        <v>04</v>
      </c>
      <c r="T585" s="1" t="str">
        <f t="shared" si="422"/>
        <v>False</v>
      </c>
      <c r="U585" s="1" t="str">
        <f t="shared" si="423"/>
        <v>True</v>
      </c>
      <c r="V585" s="1" t="str">
        <f>"U0027704"</f>
        <v>U0027704</v>
      </c>
      <c r="W585" s="1">
        <v>1</v>
      </c>
      <c r="Y585" s="1">
        <v>0</v>
      </c>
      <c r="Z585" s="1">
        <v>0</v>
      </c>
      <c r="AI585" s="1" t="str">
        <f>"F06"</f>
        <v>F06</v>
      </c>
      <c r="AJ585" s="1" t="str">
        <f>"MAN"</f>
        <v>MAN</v>
      </c>
      <c r="AK585" s="1" t="str">
        <f t="shared" si="424"/>
        <v>PA</v>
      </c>
      <c r="AP585" s="1" t="str">
        <f t="shared" si="425"/>
        <v>False</v>
      </c>
      <c r="AR585" s="1" t="str">
        <f>"GALAN"</f>
        <v>GALAN</v>
      </c>
      <c r="AY585" s="1" t="str">
        <f t="shared" si="426"/>
        <v>PF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 t="str">
        <f>"LAN TEXTILE BATIK+LEATHER"</f>
        <v>LAN TEXTILE BATIK+LEATHER</v>
      </c>
      <c r="BF585" s="1" t="str">
        <f t="shared" si="427"/>
        <v>Bonis SpA</v>
      </c>
    </row>
    <row r="586" spans="2:58" x14ac:dyDescent="0.25">
      <c r="B586" s="1">
        <v>2512</v>
      </c>
      <c r="C586" s="1" t="str">
        <f>"TAREW4086S7/MY1"</f>
        <v>TAREW4086S7/MY1</v>
      </c>
      <c r="E586" s="1" t="str">
        <f>"36"</f>
        <v>36</v>
      </c>
      <c r="F586" s="1" t="str">
        <f t="shared" si="416"/>
        <v>BONIS SPA</v>
      </c>
      <c r="G586" s="1" t="str">
        <f t="shared" si="408"/>
        <v>STOCK SCAFFALE MP</v>
      </c>
      <c r="H586" s="1" t="str">
        <f>"DKBL"</f>
        <v>DKBL</v>
      </c>
      <c r="K586" s="1">
        <v>2</v>
      </c>
      <c r="L586" s="1" t="str">
        <f t="shared" si="417"/>
        <v>01</v>
      </c>
      <c r="M586" s="1" t="str">
        <f t="shared" si="409"/>
        <v>408</v>
      </c>
      <c r="N586" s="1" t="str">
        <f t="shared" ref="N586:N601" si="429">"019"</f>
        <v>019</v>
      </c>
      <c r="O586" s="1" t="str">
        <f t="shared" si="418"/>
        <v>00</v>
      </c>
      <c r="P586" s="1" t="str">
        <f t="shared" si="419"/>
        <v>S</v>
      </c>
      <c r="Q586" s="1" t="str">
        <f t="shared" si="420"/>
        <v>P</v>
      </c>
      <c r="R586" s="1" t="str">
        <f t="shared" si="421"/>
        <v>01</v>
      </c>
      <c r="S586" s="1" t="str">
        <f t="shared" si="410"/>
        <v>04</v>
      </c>
      <c r="T586" s="1" t="str">
        <f t="shared" si="422"/>
        <v>False</v>
      </c>
      <c r="U586" s="1" t="str">
        <f t="shared" si="423"/>
        <v>True</v>
      </c>
      <c r="V586" s="1" t="str">
        <f>"U0032362"</f>
        <v>U0032362</v>
      </c>
      <c r="W586" s="1">
        <v>1</v>
      </c>
      <c r="Y586" s="1">
        <v>0</v>
      </c>
      <c r="Z586" s="1">
        <v>0</v>
      </c>
      <c r="AI586" s="1" t="str">
        <f>"F06"</f>
        <v>F06</v>
      </c>
      <c r="AJ586" s="1" t="str">
        <f>"WOMAN"</f>
        <v>WOMAN</v>
      </c>
      <c r="AK586" s="1" t="str">
        <f t="shared" si="424"/>
        <v>PA</v>
      </c>
      <c r="AP586" s="1" t="str">
        <f t="shared" si="425"/>
        <v>False</v>
      </c>
      <c r="AR586" s="1" t="str">
        <f>"TAREW"</f>
        <v>TAREW</v>
      </c>
      <c r="AY586" s="1" t="str">
        <f t="shared" si="426"/>
        <v>PF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 t="str">
        <f>"RUBBER MESH +SYNTHETIC"</f>
        <v>RUBBER MESH +SYNTHETIC</v>
      </c>
      <c r="BF586" s="1" t="str">
        <f t="shared" si="427"/>
        <v>Bonis SpA</v>
      </c>
    </row>
    <row r="587" spans="2:58" x14ac:dyDescent="0.25">
      <c r="B587" s="1">
        <v>2512</v>
      </c>
      <c r="C587" s="1" t="str">
        <f>"TAREW4086S7/MY1"</f>
        <v>TAREW4086S7/MY1</v>
      </c>
      <c r="E587" s="1" t="str">
        <f>"37"</f>
        <v>37</v>
      </c>
      <c r="F587" s="1" t="str">
        <f t="shared" si="416"/>
        <v>BONIS SPA</v>
      </c>
      <c r="G587" s="1" t="str">
        <f t="shared" si="408"/>
        <v>STOCK SCAFFALE MP</v>
      </c>
      <c r="H587" s="1" t="str">
        <f>"DKBL"</f>
        <v>DKBL</v>
      </c>
      <c r="K587" s="1">
        <v>4</v>
      </c>
      <c r="L587" s="1" t="str">
        <f t="shared" si="417"/>
        <v>01</v>
      </c>
      <c r="M587" s="1" t="str">
        <f t="shared" si="409"/>
        <v>408</v>
      </c>
      <c r="N587" s="1" t="str">
        <f t="shared" si="429"/>
        <v>019</v>
      </c>
      <c r="O587" s="1" t="str">
        <f t="shared" si="418"/>
        <v>00</v>
      </c>
      <c r="P587" s="1" t="str">
        <f t="shared" si="419"/>
        <v>S</v>
      </c>
      <c r="Q587" s="1" t="str">
        <f t="shared" si="420"/>
        <v>P</v>
      </c>
      <c r="R587" s="1" t="str">
        <f t="shared" si="421"/>
        <v>01</v>
      </c>
      <c r="S587" s="1" t="str">
        <f t="shared" si="410"/>
        <v>04</v>
      </c>
      <c r="T587" s="1" t="str">
        <f t="shared" si="422"/>
        <v>False</v>
      </c>
      <c r="U587" s="1" t="str">
        <f t="shared" si="423"/>
        <v>True</v>
      </c>
      <c r="V587" s="1" t="str">
        <f>"U0032362"</f>
        <v>U0032362</v>
      </c>
      <c r="W587" s="1">
        <v>1</v>
      </c>
      <c r="Y587" s="1">
        <v>0</v>
      </c>
      <c r="Z587" s="1">
        <v>0</v>
      </c>
      <c r="AI587" s="1" t="str">
        <f t="shared" ref="AI587:AI595" si="430">"F11"</f>
        <v>F11</v>
      </c>
      <c r="AJ587" s="1" t="str">
        <f>"WOMAN"</f>
        <v>WOMAN</v>
      </c>
      <c r="AK587" s="1" t="str">
        <f t="shared" si="424"/>
        <v>PA</v>
      </c>
      <c r="AP587" s="1" t="str">
        <f t="shared" si="425"/>
        <v>False</v>
      </c>
      <c r="AR587" s="1" t="str">
        <f>"TAREW"</f>
        <v>TAREW</v>
      </c>
      <c r="AY587" s="1" t="str">
        <f t="shared" si="426"/>
        <v>PF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 t="str">
        <f>"RUBBER MESH +SYNTHETIC"</f>
        <v>RUBBER MESH +SYNTHETIC</v>
      </c>
      <c r="BF587" s="1" t="str">
        <f t="shared" si="427"/>
        <v>Bonis SpA</v>
      </c>
    </row>
    <row r="588" spans="2:58" x14ac:dyDescent="0.25">
      <c r="B588" s="1">
        <v>2512</v>
      </c>
      <c r="C588" s="1" t="str">
        <f>"TAREW4086S7/MY1"</f>
        <v>TAREW4086S7/MY1</v>
      </c>
      <c r="E588" s="1" t="str">
        <f>"38"</f>
        <v>38</v>
      </c>
      <c r="F588" s="1" t="str">
        <f t="shared" si="416"/>
        <v>BONIS SPA</v>
      </c>
      <c r="G588" s="1" t="str">
        <f t="shared" si="408"/>
        <v>STOCK SCAFFALE MP</v>
      </c>
      <c r="H588" s="1" t="str">
        <f>"DKBL"</f>
        <v>DKBL</v>
      </c>
      <c r="K588" s="1">
        <v>3</v>
      </c>
      <c r="L588" s="1" t="str">
        <f t="shared" si="417"/>
        <v>01</v>
      </c>
      <c r="M588" s="1" t="str">
        <f t="shared" si="409"/>
        <v>408</v>
      </c>
      <c r="N588" s="1" t="str">
        <f t="shared" si="429"/>
        <v>019</v>
      </c>
      <c r="O588" s="1" t="str">
        <f t="shared" si="418"/>
        <v>00</v>
      </c>
      <c r="P588" s="1" t="str">
        <f t="shared" si="419"/>
        <v>S</v>
      </c>
      <c r="Q588" s="1" t="str">
        <f t="shared" si="420"/>
        <v>P</v>
      </c>
      <c r="R588" s="1" t="str">
        <f t="shared" si="421"/>
        <v>01</v>
      </c>
      <c r="S588" s="1" t="str">
        <f t="shared" si="410"/>
        <v>04</v>
      </c>
      <c r="T588" s="1" t="str">
        <f t="shared" si="422"/>
        <v>False</v>
      </c>
      <c r="U588" s="1" t="str">
        <f t="shared" si="423"/>
        <v>True</v>
      </c>
      <c r="V588" s="1" t="str">
        <f>"U0032362"</f>
        <v>U0032362</v>
      </c>
      <c r="W588" s="1">
        <v>1</v>
      </c>
      <c r="Y588" s="1">
        <v>0</v>
      </c>
      <c r="Z588" s="1">
        <v>0</v>
      </c>
      <c r="AI588" s="1" t="str">
        <f t="shared" si="430"/>
        <v>F11</v>
      </c>
      <c r="AJ588" s="1" t="str">
        <f>"WOMAN"</f>
        <v>WOMAN</v>
      </c>
      <c r="AK588" s="1" t="str">
        <f t="shared" si="424"/>
        <v>PA</v>
      </c>
      <c r="AP588" s="1" t="str">
        <f t="shared" si="425"/>
        <v>False</v>
      </c>
      <c r="AR588" s="1" t="str">
        <f>"TAREW"</f>
        <v>TAREW</v>
      </c>
      <c r="AY588" s="1" t="str">
        <f t="shared" si="426"/>
        <v>PF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 t="str">
        <f>"RUBBER MESH +SYNTHETIC"</f>
        <v>RUBBER MESH +SYNTHETIC</v>
      </c>
      <c r="BF588" s="1" t="str">
        <f t="shared" si="427"/>
        <v>Bonis SpA</v>
      </c>
    </row>
    <row r="589" spans="2:58" x14ac:dyDescent="0.25">
      <c r="B589" s="1">
        <v>2512</v>
      </c>
      <c r="C589" s="1" t="str">
        <f>"TAREW4086S7/MY1"</f>
        <v>TAREW4086S7/MY1</v>
      </c>
      <c r="E589" s="1" t="str">
        <f>"39"</f>
        <v>39</v>
      </c>
      <c r="F589" s="1" t="str">
        <f t="shared" si="416"/>
        <v>BONIS SPA</v>
      </c>
      <c r="G589" s="1" t="str">
        <f t="shared" si="408"/>
        <v>STOCK SCAFFALE MP</v>
      </c>
      <c r="H589" s="1" t="str">
        <f>"DKBL"</f>
        <v>DKBL</v>
      </c>
      <c r="K589" s="1">
        <v>1</v>
      </c>
      <c r="L589" s="1" t="str">
        <f t="shared" si="417"/>
        <v>01</v>
      </c>
      <c r="M589" s="1" t="str">
        <f t="shared" si="409"/>
        <v>408</v>
      </c>
      <c r="N589" s="1" t="str">
        <f t="shared" si="429"/>
        <v>019</v>
      </c>
      <c r="O589" s="1" t="str">
        <f t="shared" si="418"/>
        <v>00</v>
      </c>
      <c r="P589" s="1" t="str">
        <f t="shared" si="419"/>
        <v>S</v>
      </c>
      <c r="Q589" s="1" t="str">
        <f t="shared" si="420"/>
        <v>P</v>
      </c>
      <c r="R589" s="1" t="str">
        <f t="shared" si="421"/>
        <v>01</v>
      </c>
      <c r="S589" s="1" t="str">
        <f t="shared" si="410"/>
        <v>04</v>
      </c>
      <c r="T589" s="1" t="str">
        <f t="shared" si="422"/>
        <v>False</v>
      </c>
      <c r="U589" s="1" t="str">
        <f t="shared" si="423"/>
        <v>True</v>
      </c>
      <c r="V589" s="1" t="str">
        <f>"U0032362"</f>
        <v>U0032362</v>
      </c>
      <c r="W589" s="1">
        <v>1</v>
      </c>
      <c r="Y589" s="1">
        <v>0</v>
      </c>
      <c r="Z589" s="1">
        <v>0</v>
      </c>
      <c r="AI589" s="1" t="str">
        <f t="shared" si="430"/>
        <v>F11</v>
      </c>
      <c r="AJ589" s="1" t="str">
        <f>"WOMAN"</f>
        <v>WOMAN</v>
      </c>
      <c r="AK589" s="1" t="str">
        <f t="shared" si="424"/>
        <v>PA</v>
      </c>
      <c r="AP589" s="1" t="str">
        <f t="shared" si="425"/>
        <v>False</v>
      </c>
      <c r="AR589" s="1" t="str">
        <f>"TAREW"</f>
        <v>TAREW</v>
      </c>
      <c r="AY589" s="1" t="str">
        <f t="shared" si="426"/>
        <v>PF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 t="str">
        <f>"RUBBER MESH +SYNTHETIC"</f>
        <v>RUBBER MESH +SYNTHETIC</v>
      </c>
      <c r="BF589" s="1" t="str">
        <f t="shared" si="427"/>
        <v>Bonis SpA</v>
      </c>
    </row>
    <row r="590" spans="2:58" x14ac:dyDescent="0.25">
      <c r="B590" s="1">
        <v>2512</v>
      </c>
      <c r="C590" s="1" t="str">
        <f t="shared" ref="C590:C595" si="431">"GALAN4105S7/TY1"</f>
        <v>GALAN4105S7/TY1</v>
      </c>
      <c r="E590" s="1" t="str">
        <f>"40"</f>
        <v>40</v>
      </c>
      <c r="F590" s="1" t="str">
        <f t="shared" si="416"/>
        <v>BONIS SPA</v>
      </c>
      <c r="G590" s="1" t="str">
        <f t="shared" si="408"/>
        <v>STOCK SCAFFALE MP</v>
      </c>
      <c r="H590" s="1" t="str">
        <f t="shared" ref="H590:H601" si="432">"WHI"</f>
        <v>WHI</v>
      </c>
      <c r="K590" s="1">
        <v>1</v>
      </c>
      <c r="L590" s="1" t="str">
        <f t="shared" si="417"/>
        <v>01</v>
      </c>
      <c r="M590" s="1" t="str">
        <f t="shared" si="409"/>
        <v>408</v>
      </c>
      <c r="N590" s="1" t="str">
        <f t="shared" si="429"/>
        <v>019</v>
      </c>
      <c r="O590" s="1" t="str">
        <f t="shared" si="418"/>
        <v>00</v>
      </c>
      <c r="P590" s="1" t="str">
        <f t="shared" si="419"/>
        <v>S</v>
      </c>
      <c r="Q590" s="1" t="str">
        <f t="shared" si="420"/>
        <v>P</v>
      </c>
      <c r="R590" s="1" t="str">
        <f t="shared" si="421"/>
        <v>01</v>
      </c>
      <c r="S590" s="1" t="str">
        <f t="shared" si="410"/>
        <v>04</v>
      </c>
      <c r="T590" s="1" t="str">
        <f t="shared" si="422"/>
        <v>False</v>
      </c>
      <c r="U590" s="1" t="str">
        <f t="shared" si="423"/>
        <v>True</v>
      </c>
      <c r="V590" s="1" t="str">
        <f t="shared" ref="V590:V595" si="433">"U0032360"</f>
        <v>U0032360</v>
      </c>
      <c r="W590" s="1">
        <v>1</v>
      </c>
      <c r="Y590" s="1">
        <v>0</v>
      </c>
      <c r="Z590" s="1">
        <v>0</v>
      </c>
      <c r="AI590" s="1" t="str">
        <f t="shared" si="430"/>
        <v>F11</v>
      </c>
      <c r="AJ590" s="1" t="str">
        <f t="shared" ref="AJ590:AJ595" si="434">"MAN"</f>
        <v>MAN</v>
      </c>
      <c r="AK590" s="1" t="str">
        <f t="shared" si="424"/>
        <v>PA</v>
      </c>
      <c r="AP590" s="1" t="str">
        <f t="shared" si="425"/>
        <v>False</v>
      </c>
      <c r="AR590" s="1" t="str">
        <f t="shared" ref="AR590:AR595" si="435">"GALAN"</f>
        <v>GALAN</v>
      </c>
      <c r="AY590" s="1" t="str">
        <f t="shared" si="426"/>
        <v>PF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 t="str">
        <f t="shared" ref="BE590:BE595" si="436">"LAN WASHED TEXTILE+ ECO LEATHE"</f>
        <v>LAN WASHED TEXTILE+ ECO LEATHE</v>
      </c>
      <c r="BF590" s="1" t="str">
        <f t="shared" si="427"/>
        <v>Bonis SpA</v>
      </c>
    </row>
    <row r="591" spans="2:58" x14ac:dyDescent="0.25">
      <c r="B591" s="1">
        <v>2512</v>
      </c>
      <c r="C591" s="1" t="str">
        <f t="shared" si="431"/>
        <v>GALAN4105S7/TY1</v>
      </c>
      <c r="E591" s="1" t="str">
        <f>"41"</f>
        <v>41</v>
      </c>
      <c r="F591" s="1" t="str">
        <f t="shared" si="416"/>
        <v>BONIS SPA</v>
      </c>
      <c r="G591" s="1" t="str">
        <f t="shared" si="408"/>
        <v>STOCK SCAFFALE MP</v>
      </c>
      <c r="H591" s="1" t="str">
        <f t="shared" si="432"/>
        <v>WHI</v>
      </c>
      <c r="K591" s="1">
        <v>1</v>
      </c>
      <c r="L591" s="1" t="str">
        <f t="shared" si="417"/>
        <v>01</v>
      </c>
      <c r="M591" s="1" t="str">
        <f t="shared" si="409"/>
        <v>408</v>
      </c>
      <c r="N591" s="1" t="str">
        <f t="shared" si="429"/>
        <v>019</v>
      </c>
      <c r="O591" s="1" t="str">
        <f t="shared" si="418"/>
        <v>00</v>
      </c>
      <c r="P591" s="1" t="str">
        <f t="shared" si="419"/>
        <v>S</v>
      </c>
      <c r="Q591" s="1" t="str">
        <f t="shared" si="420"/>
        <v>P</v>
      </c>
      <c r="R591" s="1" t="str">
        <f t="shared" si="421"/>
        <v>01</v>
      </c>
      <c r="S591" s="1" t="str">
        <f t="shared" si="410"/>
        <v>04</v>
      </c>
      <c r="T591" s="1" t="str">
        <f t="shared" si="422"/>
        <v>False</v>
      </c>
      <c r="U591" s="1" t="str">
        <f t="shared" si="423"/>
        <v>True</v>
      </c>
      <c r="V591" s="1" t="str">
        <f t="shared" si="433"/>
        <v>U0032360</v>
      </c>
      <c r="W591" s="1">
        <v>1</v>
      </c>
      <c r="Y591" s="1">
        <v>0</v>
      </c>
      <c r="Z591" s="1">
        <v>0</v>
      </c>
      <c r="AI591" s="1" t="str">
        <f t="shared" si="430"/>
        <v>F11</v>
      </c>
      <c r="AJ591" s="1" t="str">
        <f t="shared" si="434"/>
        <v>MAN</v>
      </c>
      <c r="AK591" s="1" t="str">
        <f t="shared" si="424"/>
        <v>PA</v>
      </c>
      <c r="AP591" s="1" t="str">
        <f t="shared" si="425"/>
        <v>False</v>
      </c>
      <c r="AR591" s="1" t="str">
        <f t="shared" si="435"/>
        <v>GALAN</v>
      </c>
      <c r="AY591" s="1" t="str">
        <f t="shared" si="426"/>
        <v>PF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 t="str">
        <f t="shared" si="436"/>
        <v>LAN WASHED TEXTILE+ ECO LEATHE</v>
      </c>
      <c r="BF591" s="1" t="str">
        <f t="shared" si="427"/>
        <v>Bonis SpA</v>
      </c>
    </row>
    <row r="592" spans="2:58" x14ac:dyDescent="0.25">
      <c r="B592" s="1">
        <v>2512</v>
      </c>
      <c r="C592" s="1" t="str">
        <f t="shared" si="431"/>
        <v>GALAN4105S7/TY1</v>
      </c>
      <c r="E592" s="1" t="str">
        <f>"42"</f>
        <v>42</v>
      </c>
      <c r="F592" s="1" t="str">
        <f t="shared" si="416"/>
        <v>BONIS SPA</v>
      </c>
      <c r="G592" s="1" t="str">
        <f t="shared" si="408"/>
        <v>STOCK SCAFFALE MP</v>
      </c>
      <c r="H592" s="1" t="str">
        <f t="shared" si="432"/>
        <v>WHI</v>
      </c>
      <c r="K592" s="1">
        <v>2</v>
      </c>
      <c r="L592" s="1" t="str">
        <f t="shared" si="417"/>
        <v>01</v>
      </c>
      <c r="M592" s="1" t="str">
        <f t="shared" si="409"/>
        <v>408</v>
      </c>
      <c r="N592" s="1" t="str">
        <f t="shared" si="429"/>
        <v>019</v>
      </c>
      <c r="O592" s="1" t="str">
        <f t="shared" si="418"/>
        <v>00</v>
      </c>
      <c r="P592" s="1" t="str">
        <f t="shared" si="419"/>
        <v>S</v>
      </c>
      <c r="Q592" s="1" t="str">
        <f t="shared" si="420"/>
        <v>P</v>
      </c>
      <c r="R592" s="1" t="str">
        <f t="shared" si="421"/>
        <v>01</v>
      </c>
      <c r="S592" s="1" t="str">
        <f t="shared" si="410"/>
        <v>04</v>
      </c>
      <c r="T592" s="1" t="str">
        <f t="shared" si="422"/>
        <v>False</v>
      </c>
      <c r="U592" s="1" t="str">
        <f t="shared" si="423"/>
        <v>True</v>
      </c>
      <c r="V592" s="1" t="str">
        <f t="shared" si="433"/>
        <v>U0032360</v>
      </c>
      <c r="W592" s="1">
        <v>1</v>
      </c>
      <c r="Y592" s="1">
        <v>0</v>
      </c>
      <c r="Z592" s="1">
        <v>0</v>
      </c>
      <c r="AI592" s="1" t="str">
        <f t="shared" si="430"/>
        <v>F11</v>
      </c>
      <c r="AJ592" s="1" t="str">
        <f t="shared" si="434"/>
        <v>MAN</v>
      </c>
      <c r="AK592" s="1" t="str">
        <f t="shared" si="424"/>
        <v>PA</v>
      </c>
      <c r="AP592" s="1" t="str">
        <f t="shared" si="425"/>
        <v>False</v>
      </c>
      <c r="AR592" s="1" t="str">
        <f t="shared" si="435"/>
        <v>GALAN</v>
      </c>
      <c r="AY592" s="1" t="str">
        <f t="shared" si="426"/>
        <v>PF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 t="str">
        <f t="shared" si="436"/>
        <v>LAN WASHED TEXTILE+ ECO LEATHE</v>
      </c>
      <c r="BF592" s="1" t="str">
        <f t="shared" si="427"/>
        <v>Bonis SpA</v>
      </c>
    </row>
    <row r="593" spans="2:58" x14ac:dyDescent="0.25">
      <c r="B593" s="1">
        <v>2512</v>
      </c>
      <c r="C593" s="1" t="str">
        <f t="shared" si="431"/>
        <v>GALAN4105S7/TY1</v>
      </c>
      <c r="E593" s="1" t="str">
        <f>"43"</f>
        <v>43</v>
      </c>
      <c r="F593" s="1" t="str">
        <f t="shared" si="416"/>
        <v>BONIS SPA</v>
      </c>
      <c r="G593" s="1" t="str">
        <f t="shared" si="408"/>
        <v>STOCK SCAFFALE MP</v>
      </c>
      <c r="H593" s="1" t="str">
        <f t="shared" si="432"/>
        <v>WHI</v>
      </c>
      <c r="K593" s="1">
        <v>2</v>
      </c>
      <c r="L593" s="1" t="str">
        <f t="shared" si="417"/>
        <v>01</v>
      </c>
      <c r="M593" s="1" t="str">
        <f t="shared" si="409"/>
        <v>408</v>
      </c>
      <c r="N593" s="1" t="str">
        <f t="shared" si="429"/>
        <v>019</v>
      </c>
      <c r="O593" s="1" t="str">
        <f t="shared" si="418"/>
        <v>00</v>
      </c>
      <c r="P593" s="1" t="str">
        <f t="shared" si="419"/>
        <v>S</v>
      </c>
      <c r="Q593" s="1" t="str">
        <f t="shared" si="420"/>
        <v>P</v>
      </c>
      <c r="R593" s="1" t="str">
        <f t="shared" si="421"/>
        <v>01</v>
      </c>
      <c r="S593" s="1" t="str">
        <f t="shared" si="410"/>
        <v>04</v>
      </c>
      <c r="T593" s="1" t="str">
        <f t="shared" si="422"/>
        <v>False</v>
      </c>
      <c r="U593" s="1" t="str">
        <f t="shared" si="423"/>
        <v>True</v>
      </c>
      <c r="V593" s="1" t="str">
        <f t="shared" si="433"/>
        <v>U0032360</v>
      </c>
      <c r="W593" s="1">
        <v>1</v>
      </c>
      <c r="Y593" s="1">
        <v>0</v>
      </c>
      <c r="Z593" s="1">
        <v>0</v>
      </c>
      <c r="AI593" s="1" t="str">
        <f t="shared" si="430"/>
        <v>F11</v>
      </c>
      <c r="AJ593" s="1" t="str">
        <f t="shared" si="434"/>
        <v>MAN</v>
      </c>
      <c r="AK593" s="1" t="str">
        <f t="shared" si="424"/>
        <v>PA</v>
      </c>
      <c r="AP593" s="1" t="str">
        <f t="shared" si="425"/>
        <v>False</v>
      </c>
      <c r="AR593" s="1" t="str">
        <f t="shared" si="435"/>
        <v>GALAN</v>
      </c>
      <c r="AY593" s="1" t="str">
        <f t="shared" si="426"/>
        <v>PF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 t="str">
        <f t="shared" si="436"/>
        <v>LAN WASHED TEXTILE+ ECO LEATHE</v>
      </c>
      <c r="BF593" s="1" t="str">
        <f t="shared" si="427"/>
        <v>Bonis SpA</v>
      </c>
    </row>
    <row r="594" spans="2:58" x14ac:dyDescent="0.25">
      <c r="B594" s="1">
        <v>2512</v>
      </c>
      <c r="C594" s="1" t="str">
        <f t="shared" si="431"/>
        <v>GALAN4105S7/TY1</v>
      </c>
      <c r="E594" s="1" t="str">
        <f>"44"</f>
        <v>44</v>
      </c>
      <c r="F594" s="1" t="str">
        <f t="shared" si="416"/>
        <v>BONIS SPA</v>
      </c>
      <c r="G594" s="1" t="str">
        <f t="shared" si="408"/>
        <v>STOCK SCAFFALE MP</v>
      </c>
      <c r="H594" s="1" t="str">
        <f t="shared" si="432"/>
        <v>WHI</v>
      </c>
      <c r="K594" s="1">
        <v>1</v>
      </c>
      <c r="L594" s="1" t="str">
        <f t="shared" si="417"/>
        <v>01</v>
      </c>
      <c r="M594" s="1" t="str">
        <f t="shared" si="409"/>
        <v>408</v>
      </c>
      <c r="N594" s="1" t="str">
        <f t="shared" si="429"/>
        <v>019</v>
      </c>
      <c r="O594" s="1" t="str">
        <f t="shared" si="418"/>
        <v>00</v>
      </c>
      <c r="P594" s="1" t="str">
        <f t="shared" si="419"/>
        <v>S</v>
      </c>
      <c r="Q594" s="1" t="str">
        <f t="shared" si="420"/>
        <v>P</v>
      </c>
      <c r="R594" s="1" t="str">
        <f t="shared" si="421"/>
        <v>01</v>
      </c>
      <c r="S594" s="1" t="str">
        <f t="shared" si="410"/>
        <v>04</v>
      </c>
      <c r="T594" s="1" t="str">
        <f t="shared" si="422"/>
        <v>False</v>
      </c>
      <c r="U594" s="1" t="str">
        <f t="shared" si="423"/>
        <v>True</v>
      </c>
      <c r="V594" s="1" t="str">
        <f t="shared" si="433"/>
        <v>U0032360</v>
      </c>
      <c r="W594" s="1">
        <v>1</v>
      </c>
      <c r="Y594" s="1">
        <v>0</v>
      </c>
      <c r="Z594" s="1">
        <v>0</v>
      </c>
      <c r="AI594" s="1" t="str">
        <f t="shared" si="430"/>
        <v>F11</v>
      </c>
      <c r="AJ594" s="1" t="str">
        <f t="shared" si="434"/>
        <v>MAN</v>
      </c>
      <c r="AK594" s="1" t="str">
        <f t="shared" si="424"/>
        <v>PA</v>
      </c>
      <c r="AP594" s="1" t="str">
        <f t="shared" si="425"/>
        <v>False</v>
      </c>
      <c r="AR594" s="1" t="str">
        <f t="shared" si="435"/>
        <v>GALAN</v>
      </c>
      <c r="AY594" s="1" t="str">
        <f t="shared" si="426"/>
        <v>PF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 t="str">
        <f t="shared" si="436"/>
        <v>LAN WASHED TEXTILE+ ECO LEATHE</v>
      </c>
      <c r="BF594" s="1" t="str">
        <f t="shared" si="427"/>
        <v>Bonis SpA</v>
      </c>
    </row>
    <row r="595" spans="2:58" x14ac:dyDescent="0.25">
      <c r="B595" s="1">
        <v>2512</v>
      </c>
      <c r="C595" s="1" t="str">
        <f t="shared" si="431"/>
        <v>GALAN4105S7/TY1</v>
      </c>
      <c r="E595" s="1" t="str">
        <f>"45"</f>
        <v>45</v>
      </c>
      <c r="F595" s="1" t="str">
        <f t="shared" si="416"/>
        <v>BONIS SPA</v>
      </c>
      <c r="G595" s="1" t="str">
        <f t="shared" si="408"/>
        <v>STOCK SCAFFALE MP</v>
      </c>
      <c r="H595" s="1" t="str">
        <f t="shared" si="432"/>
        <v>WHI</v>
      </c>
      <c r="K595" s="1">
        <v>1</v>
      </c>
      <c r="L595" s="1" t="str">
        <f t="shared" si="417"/>
        <v>01</v>
      </c>
      <c r="M595" s="1" t="str">
        <f t="shared" si="409"/>
        <v>408</v>
      </c>
      <c r="N595" s="1" t="str">
        <f t="shared" si="429"/>
        <v>019</v>
      </c>
      <c r="O595" s="1" t="str">
        <f t="shared" si="418"/>
        <v>00</v>
      </c>
      <c r="P595" s="1" t="str">
        <f t="shared" si="419"/>
        <v>S</v>
      </c>
      <c r="Q595" s="1" t="str">
        <f t="shared" si="420"/>
        <v>P</v>
      </c>
      <c r="R595" s="1" t="str">
        <f t="shared" si="421"/>
        <v>01</v>
      </c>
      <c r="S595" s="1" t="str">
        <f t="shared" si="410"/>
        <v>04</v>
      </c>
      <c r="T595" s="1" t="str">
        <f t="shared" si="422"/>
        <v>False</v>
      </c>
      <c r="U595" s="1" t="str">
        <f t="shared" si="423"/>
        <v>True</v>
      </c>
      <c r="V595" s="1" t="str">
        <f t="shared" si="433"/>
        <v>U0032360</v>
      </c>
      <c r="W595" s="1">
        <v>1</v>
      </c>
      <c r="Y595" s="1">
        <v>0</v>
      </c>
      <c r="Z595" s="1">
        <v>0</v>
      </c>
      <c r="AI595" s="1" t="str">
        <f t="shared" si="430"/>
        <v>F11</v>
      </c>
      <c r="AJ595" s="1" t="str">
        <f t="shared" si="434"/>
        <v>MAN</v>
      </c>
      <c r="AK595" s="1" t="str">
        <f t="shared" si="424"/>
        <v>PA</v>
      </c>
      <c r="AP595" s="1" t="str">
        <f t="shared" si="425"/>
        <v>False</v>
      </c>
      <c r="AR595" s="1" t="str">
        <f t="shared" si="435"/>
        <v>GALAN</v>
      </c>
      <c r="AY595" s="1" t="str">
        <f t="shared" si="426"/>
        <v>PF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 t="str">
        <f t="shared" si="436"/>
        <v>LAN WASHED TEXTILE+ ECO LEATHE</v>
      </c>
      <c r="BF595" s="1" t="str">
        <f t="shared" si="427"/>
        <v>Bonis SpA</v>
      </c>
    </row>
    <row r="596" spans="2:58" x14ac:dyDescent="0.25">
      <c r="B596" s="1">
        <v>2512</v>
      </c>
      <c r="C596" s="1" t="str">
        <f>"TRIXY4155S7/YL1"</f>
        <v>TRIXY4155S7/YL1</v>
      </c>
      <c r="E596" s="1" t="str">
        <f>"36"</f>
        <v>36</v>
      </c>
      <c r="F596" s="1" t="str">
        <f t="shared" si="416"/>
        <v>BONIS SPA</v>
      </c>
      <c r="G596" s="1" t="str">
        <f t="shared" si="408"/>
        <v>STOCK SCAFFALE MP</v>
      </c>
      <c r="H596" s="1" t="str">
        <f t="shared" si="432"/>
        <v>WHI</v>
      </c>
      <c r="K596" s="1">
        <v>1</v>
      </c>
      <c r="L596" s="1" t="str">
        <f t="shared" si="417"/>
        <v>01</v>
      </c>
      <c r="M596" s="1" t="str">
        <f t="shared" si="409"/>
        <v>408</v>
      </c>
      <c r="N596" s="1" t="str">
        <f t="shared" si="429"/>
        <v>019</v>
      </c>
      <c r="O596" s="1" t="str">
        <f t="shared" si="418"/>
        <v>00</v>
      </c>
      <c r="P596" s="1" t="str">
        <f t="shared" si="419"/>
        <v>S</v>
      </c>
      <c r="Q596" s="1" t="str">
        <f t="shared" si="420"/>
        <v>P</v>
      </c>
      <c r="R596" s="1" t="str">
        <f t="shared" si="421"/>
        <v>01</v>
      </c>
      <c r="S596" s="1" t="str">
        <f t="shared" si="410"/>
        <v>04</v>
      </c>
      <c r="T596" s="1" t="str">
        <f t="shared" si="422"/>
        <v>False</v>
      </c>
      <c r="U596" s="1" t="str">
        <f t="shared" si="423"/>
        <v>True</v>
      </c>
      <c r="V596" s="1" t="str">
        <f>"U0032363"</f>
        <v>U0032363</v>
      </c>
      <c r="W596" s="1">
        <v>1</v>
      </c>
      <c r="Y596" s="1">
        <v>0</v>
      </c>
      <c r="Z596" s="1">
        <v>0</v>
      </c>
      <c r="AI596" s="1" t="str">
        <f>"F06"</f>
        <v>F06</v>
      </c>
      <c r="AJ596" s="1" t="str">
        <f t="shared" ref="AJ596:AJ611" si="437">"WOMAN"</f>
        <v>WOMAN</v>
      </c>
      <c r="AK596" s="1" t="str">
        <f t="shared" si="424"/>
        <v>PA</v>
      </c>
      <c r="AP596" s="1" t="str">
        <f t="shared" si="425"/>
        <v>False</v>
      </c>
      <c r="AR596" s="1" t="str">
        <f>"TRIXY"</f>
        <v>TRIXY</v>
      </c>
      <c r="AY596" s="1" t="str">
        <f t="shared" si="426"/>
        <v>PF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 t="str">
        <f>"Y GOMMA SYNTHETIC WOVEN LEATHE"</f>
        <v>Y GOMMA SYNTHETIC WOVEN LEATHE</v>
      </c>
      <c r="BF596" s="1" t="str">
        <f t="shared" si="427"/>
        <v>Bonis SpA</v>
      </c>
    </row>
    <row r="597" spans="2:58" x14ac:dyDescent="0.25">
      <c r="B597" s="1">
        <v>2512</v>
      </c>
      <c r="C597" s="1" t="str">
        <f>"TRIXY4155S7/YL1"</f>
        <v>TRIXY4155S7/YL1</v>
      </c>
      <c r="E597" s="1" t="str">
        <f>"37"</f>
        <v>37</v>
      </c>
      <c r="F597" s="1" t="str">
        <f t="shared" si="416"/>
        <v>BONIS SPA</v>
      </c>
      <c r="G597" s="1" t="str">
        <f t="shared" si="408"/>
        <v>STOCK SCAFFALE MP</v>
      </c>
      <c r="H597" s="1" t="str">
        <f t="shared" si="432"/>
        <v>WHI</v>
      </c>
      <c r="K597" s="1">
        <v>1</v>
      </c>
      <c r="L597" s="1" t="str">
        <f t="shared" si="417"/>
        <v>01</v>
      </c>
      <c r="M597" s="1" t="str">
        <f t="shared" si="409"/>
        <v>408</v>
      </c>
      <c r="N597" s="1" t="str">
        <f t="shared" si="429"/>
        <v>019</v>
      </c>
      <c r="O597" s="1" t="str">
        <f t="shared" si="418"/>
        <v>00</v>
      </c>
      <c r="P597" s="1" t="str">
        <f t="shared" si="419"/>
        <v>S</v>
      </c>
      <c r="Q597" s="1" t="str">
        <f t="shared" si="420"/>
        <v>P</v>
      </c>
      <c r="R597" s="1" t="str">
        <f t="shared" si="421"/>
        <v>01</v>
      </c>
      <c r="S597" s="1" t="str">
        <f t="shared" si="410"/>
        <v>04</v>
      </c>
      <c r="T597" s="1" t="str">
        <f t="shared" si="422"/>
        <v>False</v>
      </c>
      <c r="U597" s="1" t="str">
        <f t="shared" si="423"/>
        <v>True</v>
      </c>
      <c r="V597" s="1" t="str">
        <f>"U0032363"</f>
        <v>U0032363</v>
      </c>
      <c r="W597" s="1">
        <v>1</v>
      </c>
      <c r="Y597" s="1">
        <v>0</v>
      </c>
      <c r="Z597" s="1">
        <v>0</v>
      </c>
      <c r="AI597" s="1" t="str">
        <f>"F06"</f>
        <v>F06</v>
      </c>
      <c r="AJ597" s="1" t="str">
        <f t="shared" si="437"/>
        <v>WOMAN</v>
      </c>
      <c r="AK597" s="1" t="str">
        <f t="shared" si="424"/>
        <v>PA</v>
      </c>
      <c r="AP597" s="1" t="str">
        <f t="shared" si="425"/>
        <v>False</v>
      </c>
      <c r="AR597" s="1" t="str">
        <f>"TRIXY"</f>
        <v>TRIXY</v>
      </c>
      <c r="AY597" s="1" t="str">
        <f t="shared" si="426"/>
        <v>PF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 t="str">
        <f>"Y GOMMA SYNTHETIC WOVEN LEATHE"</f>
        <v>Y GOMMA SYNTHETIC WOVEN LEATHE</v>
      </c>
      <c r="BF597" s="1" t="str">
        <f t="shared" si="427"/>
        <v>Bonis SpA</v>
      </c>
    </row>
    <row r="598" spans="2:58" x14ac:dyDescent="0.25">
      <c r="B598" s="1">
        <v>2512</v>
      </c>
      <c r="C598" s="1" t="str">
        <f>"TRIXY4155S7/YL1"</f>
        <v>TRIXY4155S7/YL1</v>
      </c>
      <c r="E598" s="1" t="str">
        <f>"38"</f>
        <v>38</v>
      </c>
      <c r="F598" s="1" t="str">
        <f t="shared" si="416"/>
        <v>BONIS SPA</v>
      </c>
      <c r="G598" s="1" t="str">
        <f t="shared" si="408"/>
        <v>STOCK SCAFFALE MP</v>
      </c>
      <c r="H598" s="1" t="str">
        <f t="shared" si="432"/>
        <v>WHI</v>
      </c>
      <c r="K598" s="1">
        <v>2</v>
      </c>
      <c r="L598" s="1" t="str">
        <f t="shared" si="417"/>
        <v>01</v>
      </c>
      <c r="M598" s="1" t="str">
        <f t="shared" si="409"/>
        <v>408</v>
      </c>
      <c r="N598" s="1" t="str">
        <f t="shared" si="429"/>
        <v>019</v>
      </c>
      <c r="O598" s="1" t="str">
        <f t="shared" si="418"/>
        <v>00</v>
      </c>
      <c r="P598" s="1" t="str">
        <f t="shared" si="419"/>
        <v>S</v>
      </c>
      <c r="Q598" s="1" t="str">
        <f t="shared" si="420"/>
        <v>P</v>
      </c>
      <c r="R598" s="1" t="str">
        <f t="shared" si="421"/>
        <v>01</v>
      </c>
      <c r="S598" s="1" t="str">
        <f t="shared" si="410"/>
        <v>04</v>
      </c>
      <c r="T598" s="1" t="str">
        <f t="shared" si="422"/>
        <v>False</v>
      </c>
      <c r="U598" s="1" t="str">
        <f t="shared" si="423"/>
        <v>True</v>
      </c>
      <c r="V598" s="1" t="str">
        <f>"U0032363"</f>
        <v>U0032363</v>
      </c>
      <c r="W598" s="1">
        <v>1</v>
      </c>
      <c r="Y598" s="1">
        <v>0</v>
      </c>
      <c r="Z598" s="1">
        <v>0</v>
      </c>
      <c r="AI598" s="1" t="str">
        <f>"F06"</f>
        <v>F06</v>
      </c>
      <c r="AJ598" s="1" t="str">
        <f t="shared" si="437"/>
        <v>WOMAN</v>
      </c>
      <c r="AK598" s="1" t="str">
        <f t="shared" si="424"/>
        <v>PA</v>
      </c>
      <c r="AP598" s="1" t="str">
        <f t="shared" si="425"/>
        <v>False</v>
      </c>
      <c r="AR598" s="1" t="str">
        <f>"TRIXY"</f>
        <v>TRIXY</v>
      </c>
      <c r="AY598" s="1" t="str">
        <f t="shared" si="426"/>
        <v>PF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 t="str">
        <f>"Y GOMMA SYNTHETIC WOVEN LEATHE"</f>
        <v>Y GOMMA SYNTHETIC WOVEN LEATHE</v>
      </c>
      <c r="BF598" s="1" t="str">
        <f t="shared" si="427"/>
        <v>Bonis SpA</v>
      </c>
    </row>
    <row r="599" spans="2:58" x14ac:dyDescent="0.25">
      <c r="B599" s="1">
        <v>2512</v>
      </c>
      <c r="C599" s="1" t="str">
        <f>"TRIXY4155S7/YL1"</f>
        <v>TRIXY4155S7/YL1</v>
      </c>
      <c r="E599" s="1" t="str">
        <f>"39"</f>
        <v>39</v>
      </c>
      <c r="F599" s="1" t="str">
        <f t="shared" si="416"/>
        <v>BONIS SPA</v>
      </c>
      <c r="G599" s="1" t="str">
        <f t="shared" si="408"/>
        <v>STOCK SCAFFALE MP</v>
      </c>
      <c r="H599" s="1" t="str">
        <f t="shared" si="432"/>
        <v>WHI</v>
      </c>
      <c r="K599" s="1">
        <v>2</v>
      </c>
      <c r="L599" s="1" t="str">
        <f t="shared" si="417"/>
        <v>01</v>
      </c>
      <c r="M599" s="1" t="str">
        <f t="shared" si="409"/>
        <v>408</v>
      </c>
      <c r="N599" s="1" t="str">
        <f t="shared" si="429"/>
        <v>019</v>
      </c>
      <c r="O599" s="1" t="str">
        <f t="shared" si="418"/>
        <v>00</v>
      </c>
      <c r="P599" s="1" t="str">
        <f t="shared" si="419"/>
        <v>S</v>
      </c>
      <c r="Q599" s="1" t="str">
        <f t="shared" si="420"/>
        <v>P</v>
      </c>
      <c r="R599" s="1" t="str">
        <f t="shared" si="421"/>
        <v>01</v>
      </c>
      <c r="S599" s="1" t="str">
        <f t="shared" si="410"/>
        <v>04</v>
      </c>
      <c r="T599" s="1" t="str">
        <f t="shared" si="422"/>
        <v>False</v>
      </c>
      <c r="U599" s="1" t="str">
        <f t="shared" si="423"/>
        <v>True</v>
      </c>
      <c r="V599" s="1" t="str">
        <f>"U0032363"</f>
        <v>U0032363</v>
      </c>
      <c r="W599" s="1">
        <v>1</v>
      </c>
      <c r="Y599" s="1">
        <v>0</v>
      </c>
      <c r="Z599" s="1">
        <v>0</v>
      </c>
      <c r="AI599" s="1" t="str">
        <f>"F11"</f>
        <v>F11</v>
      </c>
      <c r="AJ599" s="1" t="str">
        <f t="shared" si="437"/>
        <v>WOMAN</v>
      </c>
      <c r="AK599" s="1" t="str">
        <f t="shared" si="424"/>
        <v>PA</v>
      </c>
      <c r="AP599" s="1" t="str">
        <f t="shared" si="425"/>
        <v>False</v>
      </c>
      <c r="AR599" s="1" t="str">
        <f>"TRIXY"</f>
        <v>TRIXY</v>
      </c>
      <c r="AY599" s="1" t="str">
        <f t="shared" si="426"/>
        <v>PF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 t="str">
        <f>"Y GOMMA SYNTHETIC WOVEN LEATHE"</f>
        <v>Y GOMMA SYNTHETIC WOVEN LEATHE</v>
      </c>
      <c r="BF599" s="1" t="str">
        <f t="shared" si="427"/>
        <v>Bonis SpA</v>
      </c>
    </row>
    <row r="600" spans="2:58" x14ac:dyDescent="0.25">
      <c r="B600" s="1">
        <v>2512</v>
      </c>
      <c r="C600" s="1" t="str">
        <f>"TRIXY4155S7/YL1"</f>
        <v>TRIXY4155S7/YL1</v>
      </c>
      <c r="E600" s="1" t="str">
        <f>"40"</f>
        <v>40</v>
      </c>
      <c r="F600" s="1" t="str">
        <f t="shared" si="416"/>
        <v>BONIS SPA</v>
      </c>
      <c r="G600" s="1" t="str">
        <f t="shared" si="408"/>
        <v>STOCK SCAFFALE MP</v>
      </c>
      <c r="H600" s="1" t="str">
        <f t="shared" si="432"/>
        <v>WHI</v>
      </c>
      <c r="K600" s="1">
        <v>1</v>
      </c>
      <c r="L600" s="1" t="str">
        <f t="shared" si="417"/>
        <v>01</v>
      </c>
      <c r="M600" s="1" t="str">
        <f t="shared" si="409"/>
        <v>408</v>
      </c>
      <c r="N600" s="1" t="str">
        <f t="shared" si="429"/>
        <v>019</v>
      </c>
      <c r="O600" s="1" t="str">
        <f t="shared" si="418"/>
        <v>00</v>
      </c>
      <c r="P600" s="1" t="str">
        <f t="shared" si="419"/>
        <v>S</v>
      </c>
      <c r="Q600" s="1" t="str">
        <f t="shared" si="420"/>
        <v>P</v>
      </c>
      <c r="R600" s="1" t="str">
        <f t="shared" si="421"/>
        <v>01</v>
      </c>
      <c r="S600" s="1" t="str">
        <f t="shared" si="410"/>
        <v>04</v>
      </c>
      <c r="T600" s="1" t="str">
        <f t="shared" si="422"/>
        <v>False</v>
      </c>
      <c r="U600" s="1" t="str">
        <f t="shared" si="423"/>
        <v>True</v>
      </c>
      <c r="V600" s="1" t="str">
        <f>"U0032363"</f>
        <v>U0032363</v>
      </c>
      <c r="W600" s="1">
        <v>1</v>
      </c>
      <c r="Y600" s="1">
        <v>0</v>
      </c>
      <c r="Z600" s="1">
        <v>0</v>
      </c>
      <c r="AI600" s="1" t="str">
        <f>"F11"</f>
        <v>F11</v>
      </c>
      <c r="AJ600" s="1" t="str">
        <f t="shared" si="437"/>
        <v>WOMAN</v>
      </c>
      <c r="AK600" s="1" t="str">
        <f t="shared" si="424"/>
        <v>PA</v>
      </c>
      <c r="AP600" s="1" t="str">
        <f t="shared" si="425"/>
        <v>False</v>
      </c>
      <c r="AR600" s="1" t="str">
        <f>"TRIXY"</f>
        <v>TRIXY</v>
      </c>
      <c r="AY600" s="1" t="str">
        <f t="shared" si="426"/>
        <v>PF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 t="str">
        <f>"Y GOMMA SYNTHETIC WOVEN LEATHE"</f>
        <v>Y GOMMA SYNTHETIC WOVEN LEATHE</v>
      </c>
      <c r="BF600" s="1" t="str">
        <f t="shared" si="427"/>
        <v>Bonis SpA</v>
      </c>
    </row>
    <row r="601" spans="2:58" x14ac:dyDescent="0.25">
      <c r="B601" s="1">
        <v>2512</v>
      </c>
      <c r="C601" s="1" t="str">
        <f>"DYON4154S7/C1"</f>
        <v>DYON4154S7/C1</v>
      </c>
      <c r="E601" s="1" t="str">
        <f>"39"</f>
        <v>39</v>
      </c>
      <c r="F601" s="1" t="str">
        <f t="shared" si="416"/>
        <v>BONIS SPA</v>
      </c>
      <c r="G601" s="1" t="str">
        <f t="shared" si="408"/>
        <v>STOCK SCAFFALE MP</v>
      </c>
      <c r="H601" s="1" t="str">
        <f t="shared" si="432"/>
        <v>WHI</v>
      </c>
      <c r="K601" s="1">
        <v>1</v>
      </c>
      <c r="L601" s="1" t="str">
        <f t="shared" si="417"/>
        <v>01</v>
      </c>
      <c r="M601" s="1" t="str">
        <f t="shared" si="409"/>
        <v>408</v>
      </c>
      <c r="N601" s="1" t="str">
        <f t="shared" si="429"/>
        <v>019</v>
      </c>
      <c r="O601" s="1" t="str">
        <f t="shared" si="418"/>
        <v>00</v>
      </c>
      <c r="P601" s="1" t="str">
        <f t="shared" si="419"/>
        <v>S</v>
      </c>
      <c r="Q601" s="1" t="str">
        <f t="shared" si="420"/>
        <v>P</v>
      </c>
      <c r="R601" s="1" t="str">
        <f t="shared" si="421"/>
        <v>01</v>
      </c>
      <c r="S601" s="1" t="str">
        <f t="shared" si="410"/>
        <v>04</v>
      </c>
      <c r="T601" s="1" t="str">
        <f t="shared" si="422"/>
        <v>False</v>
      </c>
      <c r="U601" s="1" t="str">
        <f t="shared" si="423"/>
        <v>True</v>
      </c>
      <c r="V601" s="1" t="str">
        <f>"U0032428"</f>
        <v>U0032428</v>
      </c>
      <c r="W601" s="1">
        <v>1</v>
      </c>
      <c r="Y601" s="1">
        <v>0</v>
      </c>
      <c r="Z601" s="1">
        <v>0</v>
      </c>
      <c r="AI601" s="1" t="str">
        <f>"106"</f>
        <v>106</v>
      </c>
      <c r="AJ601" s="1" t="str">
        <f t="shared" si="437"/>
        <v>WOMAN</v>
      </c>
      <c r="AK601" s="1" t="str">
        <f t="shared" si="424"/>
        <v>PA</v>
      </c>
      <c r="AP601" s="1" t="str">
        <f t="shared" si="425"/>
        <v>False</v>
      </c>
      <c r="AR601" s="1" t="str">
        <f>"DYON"</f>
        <v>DYON</v>
      </c>
      <c r="AY601" s="1" t="str">
        <f t="shared" si="426"/>
        <v>PF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 t="str">
        <f>"E GOMMA TWILL canvas"</f>
        <v>E GOMMA TWILL canvas</v>
      </c>
      <c r="BF601" s="1" t="str">
        <f t="shared" si="427"/>
        <v>Bonis SpA</v>
      </c>
    </row>
    <row r="602" spans="2:58" x14ac:dyDescent="0.25">
      <c r="B602" s="1">
        <v>2503</v>
      </c>
      <c r="C602" s="1" t="str">
        <f>"EGLE4009S7/NH1"</f>
        <v>EGLE4009S7/NH1</v>
      </c>
      <c r="E602" s="1" t="str">
        <f>"40"</f>
        <v>40</v>
      </c>
      <c r="F602" s="1" t="str">
        <f t="shared" si="416"/>
        <v>BONIS SPA</v>
      </c>
      <c r="G602" s="1" t="str">
        <f t="shared" si="408"/>
        <v>STOCK SCAFFALE MP</v>
      </c>
      <c r="H602" s="1" t="str">
        <f>"MILG"</f>
        <v>MILG</v>
      </c>
      <c r="K602" s="1">
        <v>2</v>
      </c>
      <c r="L602" s="1" t="str">
        <f t="shared" si="417"/>
        <v>01</v>
      </c>
      <c r="M602" s="1" t="str">
        <f t="shared" si="409"/>
        <v>408</v>
      </c>
      <c r="N602" s="1" t="str">
        <f>"016"</f>
        <v>016</v>
      </c>
      <c r="O602" s="1" t="str">
        <f t="shared" si="418"/>
        <v>00</v>
      </c>
      <c r="P602" s="1" t="str">
        <f t="shared" si="419"/>
        <v>S</v>
      </c>
      <c r="Q602" s="1" t="str">
        <f t="shared" si="420"/>
        <v>P</v>
      </c>
      <c r="R602" s="1" t="str">
        <f t="shared" si="421"/>
        <v>01</v>
      </c>
      <c r="S602" s="1" t="str">
        <f t="shared" si="410"/>
        <v>04</v>
      </c>
      <c r="T602" s="1" t="str">
        <f t="shared" si="422"/>
        <v>False</v>
      </c>
      <c r="U602" s="1" t="str">
        <f t="shared" si="423"/>
        <v>True</v>
      </c>
      <c r="V602" s="1" t="str">
        <f>"U0027507"</f>
        <v>U0027507</v>
      </c>
      <c r="W602" s="1">
        <v>1</v>
      </c>
      <c r="Y602" s="1">
        <v>0</v>
      </c>
      <c r="Z602" s="1">
        <v>0</v>
      </c>
      <c r="AI602" s="1" t="str">
        <f>"F11"</f>
        <v>F11</v>
      </c>
      <c r="AJ602" s="1" t="str">
        <f t="shared" si="437"/>
        <v>WOMAN</v>
      </c>
      <c r="AK602" s="1" t="str">
        <f t="shared" si="424"/>
        <v>PA</v>
      </c>
      <c r="AP602" s="1" t="str">
        <f t="shared" si="425"/>
        <v>False</v>
      </c>
      <c r="AR602" s="1" t="str">
        <f>"EGLE"</f>
        <v>EGLE</v>
      </c>
      <c r="AY602" s="1" t="str">
        <f t="shared" si="426"/>
        <v>PF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 t="str">
        <f>"ER-EVA NYLON + MICROSUEDE"</f>
        <v>ER-EVA NYLON + MICROSUEDE</v>
      </c>
      <c r="BF602" s="1" t="str">
        <f t="shared" si="427"/>
        <v>Bonis SpA</v>
      </c>
    </row>
    <row r="603" spans="2:58" x14ac:dyDescent="0.25">
      <c r="B603" s="1">
        <v>2485</v>
      </c>
      <c r="C603" s="1" t="str">
        <f>"EGLE4009S7/MH1"</f>
        <v>EGLE4009S7/MH1</v>
      </c>
      <c r="E603" s="1" t="str">
        <f>"41"</f>
        <v>41</v>
      </c>
      <c r="F603" s="1" t="str">
        <f t="shared" si="416"/>
        <v>BONIS SPA</v>
      </c>
      <c r="G603" s="1" t="str">
        <f t="shared" si="408"/>
        <v>STOCK SCAFFALE MP</v>
      </c>
      <c r="H603" s="1" t="str">
        <f>"LIBL"</f>
        <v>LIBL</v>
      </c>
      <c r="K603" s="1">
        <v>1</v>
      </c>
      <c r="L603" s="1" t="str">
        <f t="shared" si="417"/>
        <v>01</v>
      </c>
      <c r="M603" s="1" t="str">
        <f t="shared" si="409"/>
        <v>408</v>
      </c>
      <c r="N603" s="1" t="str">
        <f>"010"</f>
        <v>010</v>
      </c>
      <c r="O603" s="1" t="str">
        <f t="shared" si="418"/>
        <v>00</v>
      </c>
      <c r="P603" s="1" t="str">
        <f t="shared" si="419"/>
        <v>S</v>
      </c>
      <c r="Q603" s="1" t="str">
        <f t="shared" si="420"/>
        <v>P</v>
      </c>
      <c r="R603" s="1" t="str">
        <f t="shared" si="421"/>
        <v>01</v>
      </c>
      <c r="S603" s="1" t="str">
        <f t="shared" si="410"/>
        <v>04</v>
      </c>
      <c r="T603" s="1" t="str">
        <f t="shared" si="422"/>
        <v>False</v>
      </c>
      <c r="U603" s="1" t="str">
        <f t="shared" si="423"/>
        <v>True</v>
      </c>
      <c r="V603" s="1" t="str">
        <f>"U0032676"</f>
        <v>U0032676</v>
      </c>
      <c r="W603" s="1">
        <v>1</v>
      </c>
      <c r="Y603" s="1">
        <v>0</v>
      </c>
      <c r="Z603" s="1">
        <v>0</v>
      </c>
      <c r="AI603" s="1" t="str">
        <f>"F06"</f>
        <v>F06</v>
      </c>
      <c r="AJ603" s="1" t="str">
        <f t="shared" si="437"/>
        <v>WOMAN</v>
      </c>
      <c r="AK603" s="1" t="str">
        <f t="shared" si="424"/>
        <v>PA</v>
      </c>
      <c r="AP603" s="1" t="str">
        <f t="shared" si="425"/>
        <v>False</v>
      </c>
      <c r="AR603" s="1" t="str">
        <f>"EGLE"</f>
        <v>EGLE</v>
      </c>
      <c r="AY603" s="1" t="str">
        <f t="shared" si="426"/>
        <v>PF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 t="str">
        <f>"ER-EVA MESH + MICROSUEDE"</f>
        <v>ER-EVA MESH + MICROSUEDE</v>
      </c>
      <c r="BF603" s="1" t="str">
        <f t="shared" si="427"/>
        <v>Bonis SpA</v>
      </c>
    </row>
    <row r="604" spans="2:58" x14ac:dyDescent="0.25">
      <c r="B604" s="1">
        <v>2485</v>
      </c>
      <c r="C604" s="1" t="str">
        <f>"EGLE4009S7/NH1"</f>
        <v>EGLE4009S7/NH1</v>
      </c>
      <c r="E604" s="1" t="str">
        <f>"39"</f>
        <v>39</v>
      </c>
      <c r="F604" s="1" t="str">
        <f t="shared" si="416"/>
        <v>BONIS SPA</v>
      </c>
      <c r="G604" s="1" t="str">
        <f t="shared" si="408"/>
        <v>STOCK SCAFFALE MP</v>
      </c>
      <c r="H604" s="1" t="str">
        <f>"GOLD"</f>
        <v>GOLD</v>
      </c>
      <c r="K604" s="1">
        <v>1</v>
      </c>
      <c r="L604" s="1" t="str">
        <f t="shared" si="417"/>
        <v>01</v>
      </c>
      <c r="M604" s="1" t="str">
        <f t="shared" si="409"/>
        <v>408</v>
      </c>
      <c r="N604" s="1" t="str">
        <f>"010"</f>
        <v>010</v>
      </c>
      <c r="O604" s="1" t="str">
        <f t="shared" si="418"/>
        <v>00</v>
      </c>
      <c r="P604" s="1" t="str">
        <f t="shared" si="419"/>
        <v>S</v>
      </c>
      <c r="Q604" s="1" t="str">
        <f t="shared" si="420"/>
        <v>P</v>
      </c>
      <c r="R604" s="1" t="str">
        <f t="shared" si="421"/>
        <v>01</v>
      </c>
      <c r="S604" s="1" t="str">
        <f t="shared" si="410"/>
        <v>04</v>
      </c>
      <c r="T604" s="1" t="str">
        <f t="shared" si="422"/>
        <v>False</v>
      </c>
      <c r="U604" s="1" t="str">
        <f t="shared" si="423"/>
        <v>True</v>
      </c>
      <c r="V604" s="1" t="str">
        <f>"U0032676"</f>
        <v>U0032676</v>
      </c>
      <c r="W604" s="1">
        <v>1</v>
      </c>
      <c r="Y604" s="1">
        <v>0</v>
      </c>
      <c r="Z604" s="1">
        <v>0</v>
      </c>
      <c r="AI604" s="1" t="str">
        <f>"F06"</f>
        <v>F06</v>
      </c>
      <c r="AJ604" s="1" t="str">
        <f t="shared" si="437"/>
        <v>WOMAN</v>
      </c>
      <c r="AK604" s="1" t="str">
        <f t="shared" si="424"/>
        <v>PA</v>
      </c>
      <c r="AP604" s="1" t="str">
        <f t="shared" si="425"/>
        <v>False</v>
      </c>
      <c r="AR604" s="1" t="str">
        <f>"EGLE"</f>
        <v>EGLE</v>
      </c>
      <c r="AY604" s="1" t="str">
        <f t="shared" si="426"/>
        <v>PF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 t="str">
        <f>"ER-EVA NYLON + MICROSUEDE"</f>
        <v>ER-EVA NYLON + MICROSUEDE</v>
      </c>
      <c r="BF604" s="1" t="str">
        <f t="shared" si="427"/>
        <v>Bonis SpA</v>
      </c>
    </row>
    <row r="605" spans="2:58" x14ac:dyDescent="0.25">
      <c r="B605" s="1">
        <v>2509</v>
      </c>
      <c r="C605" s="1" t="str">
        <f t="shared" ref="C605:C611" si="438">"TAREW4086S7/MY1"</f>
        <v>TAREW4086S7/MY1</v>
      </c>
      <c r="E605" s="1" t="str">
        <f>"38"</f>
        <v>38</v>
      </c>
      <c r="F605" s="1" t="str">
        <f t="shared" si="416"/>
        <v>BONIS SPA</v>
      </c>
      <c r="G605" s="1" t="str">
        <f t="shared" si="408"/>
        <v>STOCK SCAFFALE MP</v>
      </c>
      <c r="H605" s="1" t="str">
        <f>"DKBL"</f>
        <v>DKBL</v>
      </c>
      <c r="K605" s="1">
        <v>2</v>
      </c>
      <c r="L605" s="1" t="str">
        <f t="shared" si="417"/>
        <v>01</v>
      </c>
      <c r="M605" s="1" t="str">
        <f t="shared" si="409"/>
        <v>408</v>
      </c>
      <c r="N605" s="1" t="str">
        <f>"018"</f>
        <v>018</v>
      </c>
      <c r="O605" s="1" t="str">
        <f t="shared" si="418"/>
        <v>00</v>
      </c>
      <c r="P605" s="1" t="str">
        <f t="shared" si="419"/>
        <v>S</v>
      </c>
      <c r="Q605" s="1" t="str">
        <f t="shared" si="420"/>
        <v>P</v>
      </c>
      <c r="R605" s="1" t="str">
        <f t="shared" si="421"/>
        <v>01</v>
      </c>
      <c r="S605" s="1" t="str">
        <f t="shared" si="410"/>
        <v>04</v>
      </c>
      <c r="T605" s="1" t="str">
        <f t="shared" si="422"/>
        <v>False</v>
      </c>
      <c r="U605" s="1" t="str">
        <f t="shared" si="423"/>
        <v>True</v>
      </c>
      <c r="V605" s="1" t="str">
        <f>"U0027704"</f>
        <v>U0027704</v>
      </c>
      <c r="W605" s="1">
        <v>1</v>
      </c>
      <c r="Y605" s="1">
        <v>0</v>
      </c>
      <c r="Z605" s="1">
        <v>0</v>
      </c>
      <c r="AI605" s="1" t="str">
        <f>"106"</f>
        <v>106</v>
      </c>
      <c r="AJ605" s="1" t="str">
        <f t="shared" si="437"/>
        <v>WOMAN</v>
      </c>
      <c r="AK605" s="1" t="str">
        <f t="shared" si="424"/>
        <v>PA</v>
      </c>
      <c r="AP605" s="1" t="str">
        <f t="shared" si="425"/>
        <v>False</v>
      </c>
      <c r="AR605" s="1" t="str">
        <f t="shared" ref="AR605:AR611" si="439">"TAREW"</f>
        <v>TAREW</v>
      </c>
      <c r="AY605" s="1" t="str">
        <f t="shared" si="426"/>
        <v>PF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 t="str">
        <f t="shared" ref="BE605:BE611" si="440">"RUBBER MESH +SYNTHETIC"</f>
        <v>RUBBER MESH +SYNTHETIC</v>
      </c>
      <c r="BF605" s="1" t="str">
        <f t="shared" si="427"/>
        <v>Bonis SpA</v>
      </c>
    </row>
    <row r="606" spans="2:58" x14ac:dyDescent="0.25">
      <c r="B606" s="1">
        <v>2509</v>
      </c>
      <c r="C606" s="1" t="str">
        <f t="shared" si="438"/>
        <v>TAREW4086S7/MY1</v>
      </c>
      <c r="E606" s="1" t="str">
        <f>"37"</f>
        <v>37</v>
      </c>
      <c r="F606" s="1" t="str">
        <f t="shared" si="416"/>
        <v>BONIS SPA</v>
      </c>
      <c r="G606" s="1" t="str">
        <f t="shared" si="408"/>
        <v>STOCK SCAFFALE MP</v>
      </c>
      <c r="H606" s="1" t="str">
        <f>"DKBL"</f>
        <v>DKBL</v>
      </c>
      <c r="K606" s="1">
        <v>2</v>
      </c>
      <c r="L606" s="1" t="str">
        <f t="shared" si="417"/>
        <v>01</v>
      </c>
      <c r="M606" s="1" t="str">
        <f t="shared" si="409"/>
        <v>408</v>
      </c>
      <c r="N606" s="1" t="str">
        <f>"018"</f>
        <v>018</v>
      </c>
      <c r="O606" s="1" t="str">
        <f t="shared" si="418"/>
        <v>00</v>
      </c>
      <c r="P606" s="1" t="str">
        <f t="shared" si="419"/>
        <v>S</v>
      </c>
      <c r="Q606" s="1" t="str">
        <f t="shared" si="420"/>
        <v>P</v>
      </c>
      <c r="R606" s="1" t="str">
        <f t="shared" si="421"/>
        <v>01</v>
      </c>
      <c r="S606" s="1" t="str">
        <f t="shared" si="410"/>
        <v>04</v>
      </c>
      <c r="T606" s="1" t="str">
        <f t="shared" si="422"/>
        <v>False</v>
      </c>
      <c r="U606" s="1" t="str">
        <f t="shared" si="423"/>
        <v>True</v>
      </c>
      <c r="V606" s="1" t="str">
        <f>"U0027704"</f>
        <v>U0027704</v>
      </c>
      <c r="W606" s="1">
        <v>1</v>
      </c>
      <c r="Y606" s="1">
        <v>0</v>
      </c>
      <c r="Z606" s="1">
        <v>0</v>
      </c>
      <c r="AI606" s="1" t="str">
        <f>"106"</f>
        <v>106</v>
      </c>
      <c r="AJ606" s="1" t="str">
        <f t="shared" si="437"/>
        <v>WOMAN</v>
      </c>
      <c r="AK606" s="1" t="str">
        <f t="shared" si="424"/>
        <v>PA</v>
      </c>
      <c r="AP606" s="1" t="str">
        <f t="shared" si="425"/>
        <v>False</v>
      </c>
      <c r="AR606" s="1" t="str">
        <f t="shared" si="439"/>
        <v>TAREW</v>
      </c>
      <c r="AY606" s="1" t="str">
        <f t="shared" si="426"/>
        <v>PF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 t="str">
        <f t="shared" si="440"/>
        <v>RUBBER MESH +SYNTHETIC</v>
      </c>
      <c r="BF606" s="1" t="str">
        <f t="shared" si="427"/>
        <v>Bonis SpA</v>
      </c>
    </row>
    <row r="607" spans="2:58" x14ac:dyDescent="0.25">
      <c r="B607" s="1">
        <v>2500</v>
      </c>
      <c r="C607" s="1" t="str">
        <f t="shared" si="438"/>
        <v>TAREW4086S7/MY1</v>
      </c>
      <c r="E607" s="1" t="str">
        <f>"41"</f>
        <v>41</v>
      </c>
      <c r="F607" s="1" t="str">
        <f t="shared" si="416"/>
        <v>BONIS SPA</v>
      </c>
      <c r="G607" s="1" t="str">
        <f t="shared" si="408"/>
        <v>STOCK SCAFFALE MP</v>
      </c>
      <c r="H607" s="1" t="str">
        <f t="shared" ref="H607:H616" si="441">"BLK"</f>
        <v>BLK</v>
      </c>
      <c r="K607" s="1">
        <v>1</v>
      </c>
      <c r="L607" s="1" t="str">
        <f t="shared" si="417"/>
        <v>01</v>
      </c>
      <c r="M607" s="1" t="str">
        <f t="shared" si="409"/>
        <v>408</v>
      </c>
      <c r="N607" s="1" t="str">
        <f>"015"</f>
        <v>015</v>
      </c>
      <c r="O607" s="1" t="str">
        <f t="shared" si="418"/>
        <v>00</v>
      </c>
      <c r="P607" s="1" t="str">
        <f t="shared" si="419"/>
        <v>S</v>
      </c>
      <c r="Q607" s="1" t="str">
        <f t="shared" si="420"/>
        <v>P</v>
      </c>
      <c r="R607" s="1" t="str">
        <f t="shared" si="421"/>
        <v>01</v>
      </c>
      <c r="S607" s="1" t="str">
        <f t="shared" si="410"/>
        <v>04</v>
      </c>
      <c r="T607" s="1" t="str">
        <f t="shared" si="422"/>
        <v>False</v>
      </c>
      <c r="U607" s="1" t="str">
        <f t="shared" si="423"/>
        <v>True</v>
      </c>
      <c r="V607" s="1" t="str">
        <f>"U0027500"</f>
        <v>U0027500</v>
      </c>
      <c r="W607" s="1">
        <v>1</v>
      </c>
      <c r="Y607" s="1">
        <v>0</v>
      </c>
      <c r="Z607" s="1">
        <v>0</v>
      </c>
      <c r="AI607" s="1" t="str">
        <f>"F11"</f>
        <v>F11</v>
      </c>
      <c r="AJ607" s="1" t="str">
        <f t="shared" si="437"/>
        <v>WOMAN</v>
      </c>
      <c r="AK607" s="1" t="str">
        <f t="shared" si="424"/>
        <v>PA</v>
      </c>
      <c r="AP607" s="1" t="str">
        <f t="shared" si="425"/>
        <v>False</v>
      </c>
      <c r="AR607" s="1" t="str">
        <f t="shared" si="439"/>
        <v>TAREW</v>
      </c>
      <c r="AY607" s="1" t="str">
        <f t="shared" si="426"/>
        <v>PF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 t="str">
        <f t="shared" si="440"/>
        <v>RUBBER MESH +SYNTHETIC</v>
      </c>
      <c r="BF607" s="1" t="str">
        <f t="shared" si="427"/>
        <v>Bonis SpA</v>
      </c>
    </row>
    <row r="608" spans="2:58" x14ac:dyDescent="0.25">
      <c r="B608" s="1">
        <v>2500</v>
      </c>
      <c r="C608" s="1" t="str">
        <f t="shared" si="438"/>
        <v>TAREW4086S7/MY1</v>
      </c>
      <c r="E608" s="1" t="str">
        <f>"40"</f>
        <v>40</v>
      </c>
      <c r="F608" s="1" t="str">
        <f t="shared" si="416"/>
        <v>BONIS SPA</v>
      </c>
      <c r="G608" s="1" t="str">
        <f t="shared" si="408"/>
        <v>STOCK SCAFFALE MP</v>
      </c>
      <c r="H608" s="1" t="str">
        <f t="shared" si="441"/>
        <v>BLK</v>
      </c>
      <c r="K608" s="1">
        <v>1</v>
      </c>
      <c r="L608" s="1" t="str">
        <f t="shared" si="417"/>
        <v>01</v>
      </c>
      <c r="M608" s="1" t="str">
        <f t="shared" si="409"/>
        <v>408</v>
      </c>
      <c r="N608" s="1" t="str">
        <f>"015"</f>
        <v>015</v>
      </c>
      <c r="O608" s="1" t="str">
        <f t="shared" si="418"/>
        <v>00</v>
      </c>
      <c r="P608" s="1" t="str">
        <f t="shared" si="419"/>
        <v>S</v>
      </c>
      <c r="Q608" s="1" t="str">
        <f t="shared" si="420"/>
        <v>P</v>
      </c>
      <c r="R608" s="1" t="str">
        <f t="shared" si="421"/>
        <v>01</v>
      </c>
      <c r="S608" s="1" t="str">
        <f t="shared" si="410"/>
        <v>04</v>
      </c>
      <c r="T608" s="1" t="str">
        <f t="shared" si="422"/>
        <v>False</v>
      </c>
      <c r="U608" s="1" t="str">
        <f t="shared" si="423"/>
        <v>True</v>
      </c>
      <c r="V608" s="1" t="str">
        <f>"U0027500"</f>
        <v>U0027500</v>
      </c>
      <c r="W608" s="1">
        <v>1</v>
      </c>
      <c r="Y608" s="1">
        <v>0</v>
      </c>
      <c r="Z608" s="1">
        <v>0</v>
      </c>
      <c r="AI608" s="1" t="str">
        <f>"F11"</f>
        <v>F11</v>
      </c>
      <c r="AJ608" s="1" t="str">
        <f t="shared" si="437"/>
        <v>WOMAN</v>
      </c>
      <c r="AK608" s="1" t="str">
        <f t="shared" si="424"/>
        <v>PA</v>
      </c>
      <c r="AP608" s="1" t="str">
        <f t="shared" si="425"/>
        <v>False</v>
      </c>
      <c r="AR608" s="1" t="str">
        <f t="shared" si="439"/>
        <v>TAREW</v>
      </c>
      <c r="AY608" s="1" t="str">
        <f t="shared" si="426"/>
        <v>PF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 t="str">
        <f t="shared" si="440"/>
        <v>RUBBER MESH +SYNTHETIC</v>
      </c>
      <c r="BF608" s="1" t="str">
        <f t="shared" si="427"/>
        <v>Bonis SpA</v>
      </c>
    </row>
    <row r="609" spans="2:58" x14ac:dyDescent="0.25">
      <c r="B609" s="1">
        <v>2500</v>
      </c>
      <c r="C609" s="1" t="str">
        <f t="shared" si="438"/>
        <v>TAREW4086S7/MY1</v>
      </c>
      <c r="E609" s="1" t="str">
        <f>"39"</f>
        <v>39</v>
      </c>
      <c r="F609" s="1" t="str">
        <f t="shared" si="416"/>
        <v>BONIS SPA</v>
      </c>
      <c r="G609" s="1" t="str">
        <f t="shared" si="408"/>
        <v>STOCK SCAFFALE MP</v>
      </c>
      <c r="H609" s="1" t="str">
        <f t="shared" si="441"/>
        <v>BLK</v>
      </c>
      <c r="K609" s="1">
        <v>1</v>
      </c>
      <c r="L609" s="1" t="str">
        <f t="shared" si="417"/>
        <v>01</v>
      </c>
      <c r="M609" s="1" t="str">
        <f t="shared" si="409"/>
        <v>408</v>
      </c>
      <c r="N609" s="1" t="str">
        <f>"015"</f>
        <v>015</v>
      </c>
      <c r="O609" s="1" t="str">
        <f t="shared" si="418"/>
        <v>00</v>
      </c>
      <c r="P609" s="1" t="str">
        <f t="shared" si="419"/>
        <v>S</v>
      </c>
      <c r="Q609" s="1" t="str">
        <f t="shared" si="420"/>
        <v>P</v>
      </c>
      <c r="R609" s="1" t="str">
        <f t="shared" si="421"/>
        <v>01</v>
      </c>
      <c r="S609" s="1" t="str">
        <f t="shared" si="410"/>
        <v>04</v>
      </c>
      <c r="T609" s="1" t="str">
        <f t="shared" si="422"/>
        <v>False</v>
      </c>
      <c r="U609" s="1" t="str">
        <f t="shared" si="423"/>
        <v>True</v>
      </c>
      <c r="V609" s="1" t="str">
        <f>"U0027500"</f>
        <v>U0027500</v>
      </c>
      <c r="W609" s="1">
        <v>1</v>
      </c>
      <c r="Y609" s="1">
        <v>0</v>
      </c>
      <c r="Z609" s="1">
        <v>0</v>
      </c>
      <c r="AI609" s="1" t="str">
        <f>"F11"</f>
        <v>F11</v>
      </c>
      <c r="AJ609" s="1" t="str">
        <f t="shared" si="437"/>
        <v>WOMAN</v>
      </c>
      <c r="AK609" s="1" t="str">
        <f t="shared" si="424"/>
        <v>PA</v>
      </c>
      <c r="AP609" s="1" t="str">
        <f t="shared" si="425"/>
        <v>False</v>
      </c>
      <c r="AR609" s="1" t="str">
        <f t="shared" si="439"/>
        <v>TAREW</v>
      </c>
      <c r="AY609" s="1" t="str">
        <f t="shared" si="426"/>
        <v>PF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 t="str">
        <f t="shared" si="440"/>
        <v>RUBBER MESH +SYNTHETIC</v>
      </c>
      <c r="BF609" s="1" t="str">
        <f t="shared" si="427"/>
        <v>Bonis SpA</v>
      </c>
    </row>
    <row r="610" spans="2:58" x14ac:dyDescent="0.25">
      <c r="B610" s="1">
        <v>2500</v>
      </c>
      <c r="C610" s="1" t="str">
        <f t="shared" si="438"/>
        <v>TAREW4086S7/MY1</v>
      </c>
      <c r="E610" s="1" t="str">
        <f>"36"</f>
        <v>36</v>
      </c>
      <c r="F610" s="1" t="str">
        <f t="shared" si="416"/>
        <v>BONIS SPA</v>
      </c>
      <c r="G610" s="1" t="str">
        <f t="shared" si="408"/>
        <v>STOCK SCAFFALE MP</v>
      </c>
      <c r="H610" s="1" t="str">
        <f t="shared" si="441"/>
        <v>BLK</v>
      </c>
      <c r="K610" s="1">
        <v>1</v>
      </c>
      <c r="L610" s="1" t="str">
        <f t="shared" si="417"/>
        <v>01</v>
      </c>
      <c r="M610" s="1" t="str">
        <f t="shared" si="409"/>
        <v>408</v>
      </c>
      <c r="N610" s="1" t="str">
        <f>"015"</f>
        <v>015</v>
      </c>
      <c r="O610" s="1" t="str">
        <f t="shared" si="418"/>
        <v>00</v>
      </c>
      <c r="P610" s="1" t="str">
        <f t="shared" si="419"/>
        <v>S</v>
      </c>
      <c r="Q610" s="1" t="str">
        <f t="shared" si="420"/>
        <v>P</v>
      </c>
      <c r="R610" s="1" t="str">
        <f t="shared" si="421"/>
        <v>01</v>
      </c>
      <c r="S610" s="1" t="str">
        <f t="shared" si="410"/>
        <v>04</v>
      </c>
      <c r="T610" s="1" t="str">
        <f t="shared" si="422"/>
        <v>False</v>
      </c>
      <c r="U610" s="1" t="str">
        <f t="shared" si="423"/>
        <v>True</v>
      </c>
      <c r="V610" s="1" t="str">
        <f>"U0027500"</f>
        <v>U0027500</v>
      </c>
      <c r="W610" s="1">
        <v>1</v>
      </c>
      <c r="Y610" s="1">
        <v>0</v>
      </c>
      <c r="Z610" s="1">
        <v>0</v>
      </c>
      <c r="AI610" s="1" t="str">
        <f>"F11"</f>
        <v>F11</v>
      </c>
      <c r="AJ610" s="1" t="str">
        <f t="shared" si="437"/>
        <v>WOMAN</v>
      </c>
      <c r="AK610" s="1" t="str">
        <f t="shared" si="424"/>
        <v>PA</v>
      </c>
      <c r="AP610" s="1" t="str">
        <f t="shared" si="425"/>
        <v>False</v>
      </c>
      <c r="AR610" s="1" t="str">
        <f t="shared" si="439"/>
        <v>TAREW</v>
      </c>
      <c r="AY610" s="1" t="str">
        <f t="shared" si="426"/>
        <v>PF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 t="str">
        <f t="shared" si="440"/>
        <v>RUBBER MESH +SYNTHETIC</v>
      </c>
      <c r="BF610" s="1" t="str">
        <f t="shared" si="427"/>
        <v>Bonis SpA</v>
      </c>
    </row>
    <row r="611" spans="2:58" x14ac:dyDescent="0.25">
      <c r="B611" s="1">
        <v>2500</v>
      </c>
      <c r="C611" s="1" t="str">
        <f t="shared" si="438"/>
        <v>TAREW4086S7/MY1</v>
      </c>
      <c r="E611" s="1" t="str">
        <f>"37"</f>
        <v>37</v>
      </c>
      <c r="F611" s="1" t="str">
        <f t="shared" si="416"/>
        <v>BONIS SPA</v>
      </c>
      <c r="G611" s="1" t="str">
        <f t="shared" si="408"/>
        <v>STOCK SCAFFALE MP</v>
      </c>
      <c r="H611" s="1" t="str">
        <f t="shared" si="441"/>
        <v>BLK</v>
      </c>
      <c r="K611" s="1">
        <v>1</v>
      </c>
      <c r="L611" s="1" t="str">
        <f t="shared" si="417"/>
        <v>01</v>
      </c>
      <c r="M611" s="1" t="str">
        <f t="shared" si="409"/>
        <v>408</v>
      </c>
      <c r="N611" s="1" t="str">
        <f>"015"</f>
        <v>015</v>
      </c>
      <c r="O611" s="1" t="str">
        <f t="shared" si="418"/>
        <v>00</v>
      </c>
      <c r="P611" s="1" t="str">
        <f t="shared" si="419"/>
        <v>S</v>
      </c>
      <c r="Q611" s="1" t="str">
        <f t="shared" si="420"/>
        <v>P</v>
      </c>
      <c r="R611" s="1" t="str">
        <f t="shared" si="421"/>
        <v>01</v>
      </c>
      <c r="S611" s="1" t="str">
        <f t="shared" si="410"/>
        <v>04</v>
      </c>
      <c r="T611" s="1" t="str">
        <f t="shared" si="422"/>
        <v>False</v>
      </c>
      <c r="U611" s="1" t="str">
        <f t="shared" si="423"/>
        <v>True</v>
      </c>
      <c r="V611" s="1" t="str">
        <f>"U0027500"</f>
        <v>U0027500</v>
      </c>
      <c r="W611" s="1">
        <v>1</v>
      </c>
      <c r="Y611" s="1">
        <v>0</v>
      </c>
      <c r="Z611" s="1">
        <v>0</v>
      </c>
      <c r="AI611" s="1" t="str">
        <f>"F11"</f>
        <v>F11</v>
      </c>
      <c r="AJ611" s="1" t="str">
        <f t="shared" si="437"/>
        <v>WOMAN</v>
      </c>
      <c r="AK611" s="1" t="str">
        <f t="shared" si="424"/>
        <v>PA</v>
      </c>
      <c r="AP611" s="1" t="str">
        <f t="shared" si="425"/>
        <v>False</v>
      </c>
      <c r="AR611" s="1" t="str">
        <f t="shared" si="439"/>
        <v>TAREW</v>
      </c>
      <c r="AY611" s="1" t="str">
        <f t="shared" si="426"/>
        <v>PF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 t="str">
        <f t="shared" si="440"/>
        <v>RUBBER MESH +SYNTHETIC</v>
      </c>
      <c r="BF611" s="1" t="str">
        <f t="shared" si="427"/>
        <v>Bonis SpA</v>
      </c>
    </row>
    <row r="612" spans="2:58" x14ac:dyDescent="0.25">
      <c r="B612" s="1">
        <v>2503</v>
      </c>
      <c r="C612" s="1" t="str">
        <f>"MELL4117S7/G1"</f>
        <v>MELL4117S7/G1</v>
      </c>
      <c r="E612" s="1" t="str">
        <f>"40"</f>
        <v>40</v>
      </c>
      <c r="F612" s="1" t="str">
        <f t="shared" si="416"/>
        <v>BONIS SPA</v>
      </c>
      <c r="G612" s="1" t="str">
        <f t="shared" si="408"/>
        <v>STOCK SCAFFALE MP</v>
      </c>
      <c r="H612" s="1" t="str">
        <f t="shared" si="441"/>
        <v>BLK</v>
      </c>
      <c r="K612" s="1">
        <v>1</v>
      </c>
      <c r="L612" s="1" t="str">
        <f t="shared" si="417"/>
        <v>01</v>
      </c>
      <c r="M612" s="1" t="str">
        <f t="shared" si="409"/>
        <v>408</v>
      </c>
      <c r="N612" s="1" t="str">
        <f>"016"</f>
        <v>016</v>
      </c>
      <c r="O612" s="1" t="str">
        <f t="shared" si="418"/>
        <v>00</v>
      </c>
      <c r="P612" s="1" t="str">
        <f t="shared" si="419"/>
        <v>S</v>
      </c>
      <c r="Q612" s="1" t="str">
        <f t="shared" si="420"/>
        <v>P</v>
      </c>
      <c r="R612" s="1" t="str">
        <f t="shared" si="421"/>
        <v>01</v>
      </c>
      <c r="S612" s="1" t="str">
        <f t="shared" si="410"/>
        <v>04</v>
      </c>
      <c r="T612" s="1" t="str">
        <f t="shared" si="422"/>
        <v>False</v>
      </c>
      <c r="U612" s="1" t="str">
        <f t="shared" si="423"/>
        <v>True</v>
      </c>
      <c r="V612" s="1" t="str">
        <f>"U0031327"</f>
        <v>U0031327</v>
      </c>
      <c r="W612" s="1">
        <v>1</v>
      </c>
      <c r="Y612" s="1">
        <v>0</v>
      </c>
      <c r="Z612" s="1">
        <v>0</v>
      </c>
      <c r="AI612" s="1" t="str">
        <f t="shared" ref="AI612:AI618" si="442">"106"</f>
        <v>106</v>
      </c>
      <c r="AJ612" s="1" t="str">
        <f>"UNISEX"</f>
        <v>UNISEX</v>
      </c>
      <c r="AK612" s="1" t="str">
        <f t="shared" si="424"/>
        <v>PA</v>
      </c>
      <c r="AP612" s="1" t="str">
        <f t="shared" si="425"/>
        <v>False</v>
      </c>
      <c r="AR612" s="1" t="str">
        <f>"MELL"</f>
        <v>MELL</v>
      </c>
      <c r="AY612" s="1" t="str">
        <f t="shared" si="426"/>
        <v>PF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 t="str">
        <f>"TOMAIA GOMMA"</f>
        <v>TOMAIA GOMMA</v>
      </c>
      <c r="BF612" s="1" t="str">
        <f t="shared" si="427"/>
        <v>Bonis SpA</v>
      </c>
    </row>
    <row r="613" spans="2:58" x14ac:dyDescent="0.25">
      <c r="B613" s="1">
        <v>2503</v>
      </c>
      <c r="C613" s="1" t="str">
        <f>"MELL4117S7/G1"</f>
        <v>MELL4117S7/G1</v>
      </c>
      <c r="E613" s="1" t="str">
        <f>"45"</f>
        <v>45</v>
      </c>
      <c r="F613" s="1" t="str">
        <f t="shared" si="416"/>
        <v>BONIS SPA</v>
      </c>
      <c r="G613" s="1" t="str">
        <f t="shared" si="408"/>
        <v>STOCK SCAFFALE MP</v>
      </c>
      <c r="H613" s="1" t="str">
        <f t="shared" si="441"/>
        <v>BLK</v>
      </c>
      <c r="K613" s="1">
        <v>1</v>
      </c>
      <c r="L613" s="1" t="str">
        <f t="shared" si="417"/>
        <v>01</v>
      </c>
      <c r="M613" s="1" t="str">
        <f t="shared" si="409"/>
        <v>408</v>
      </c>
      <c r="N613" s="1" t="str">
        <f>"016"</f>
        <v>016</v>
      </c>
      <c r="O613" s="1" t="str">
        <f t="shared" si="418"/>
        <v>00</v>
      </c>
      <c r="P613" s="1" t="str">
        <f t="shared" si="419"/>
        <v>S</v>
      </c>
      <c r="Q613" s="1" t="str">
        <f t="shared" si="420"/>
        <v>P</v>
      </c>
      <c r="R613" s="1" t="str">
        <f t="shared" si="421"/>
        <v>01</v>
      </c>
      <c r="S613" s="1" t="str">
        <f t="shared" si="410"/>
        <v>04</v>
      </c>
      <c r="T613" s="1" t="str">
        <f t="shared" si="422"/>
        <v>False</v>
      </c>
      <c r="U613" s="1" t="str">
        <f t="shared" si="423"/>
        <v>True</v>
      </c>
      <c r="V613" s="1" t="str">
        <f>"U0031327"</f>
        <v>U0031327</v>
      </c>
      <c r="W613" s="1">
        <v>1</v>
      </c>
      <c r="Y613" s="1">
        <v>0</v>
      </c>
      <c r="Z613" s="1">
        <v>0</v>
      </c>
      <c r="AI613" s="1" t="str">
        <f t="shared" si="442"/>
        <v>106</v>
      </c>
      <c r="AJ613" s="1" t="str">
        <f>"UNISEX"</f>
        <v>UNISEX</v>
      </c>
      <c r="AK613" s="1" t="str">
        <f t="shared" si="424"/>
        <v>PA</v>
      </c>
      <c r="AP613" s="1" t="str">
        <f t="shared" si="425"/>
        <v>False</v>
      </c>
      <c r="AR613" s="1" t="str">
        <f>"MELL"</f>
        <v>MELL</v>
      </c>
      <c r="AY613" s="1" t="str">
        <f t="shared" si="426"/>
        <v>PF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 t="str">
        <f>"TOMAIA GOMMA"</f>
        <v>TOMAIA GOMMA</v>
      </c>
      <c r="BF613" s="1" t="str">
        <f t="shared" si="427"/>
        <v>Bonis SpA</v>
      </c>
    </row>
    <row r="614" spans="2:58" x14ac:dyDescent="0.25">
      <c r="B614" s="1">
        <v>2503</v>
      </c>
      <c r="C614" s="1" t="str">
        <f>"MELL4117S7/G1"</f>
        <v>MELL4117S7/G1</v>
      </c>
      <c r="E614" s="1" t="str">
        <f>"41"</f>
        <v>41</v>
      </c>
      <c r="F614" s="1" t="str">
        <f t="shared" si="416"/>
        <v>BONIS SPA</v>
      </c>
      <c r="G614" s="1" t="str">
        <f t="shared" si="408"/>
        <v>STOCK SCAFFALE MP</v>
      </c>
      <c r="H614" s="1" t="str">
        <f t="shared" si="441"/>
        <v>BLK</v>
      </c>
      <c r="K614" s="1">
        <v>1</v>
      </c>
      <c r="L614" s="1" t="str">
        <f t="shared" si="417"/>
        <v>01</v>
      </c>
      <c r="M614" s="1" t="str">
        <f t="shared" si="409"/>
        <v>408</v>
      </c>
      <c r="N614" s="1" t="str">
        <f>"016"</f>
        <v>016</v>
      </c>
      <c r="O614" s="1" t="str">
        <f t="shared" si="418"/>
        <v>00</v>
      </c>
      <c r="P614" s="1" t="str">
        <f t="shared" si="419"/>
        <v>S</v>
      </c>
      <c r="Q614" s="1" t="str">
        <f t="shared" si="420"/>
        <v>P</v>
      </c>
      <c r="R614" s="1" t="str">
        <f t="shared" si="421"/>
        <v>01</v>
      </c>
      <c r="S614" s="1" t="str">
        <f t="shared" si="410"/>
        <v>04</v>
      </c>
      <c r="T614" s="1" t="str">
        <f t="shared" si="422"/>
        <v>False</v>
      </c>
      <c r="U614" s="1" t="str">
        <f t="shared" si="423"/>
        <v>True</v>
      </c>
      <c r="V614" s="1" t="str">
        <f>"U0031327"</f>
        <v>U0031327</v>
      </c>
      <c r="W614" s="1">
        <v>1</v>
      </c>
      <c r="Y614" s="1">
        <v>0</v>
      </c>
      <c r="Z614" s="1">
        <v>0</v>
      </c>
      <c r="AI614" s="1" t="str">
        <f t="shared" si="442"/>
        <v>106</v>
      </c>
      <c r="AJ614" s="1" t="str">
        <f>"UNISEX"</f>
        <v>UNISEX</v>
      </c>
      <c r="AK614" s="1" t="str">
        <f t="shared" si="424"/>
        <v>PA</v>
      </c>
      <c r="AP614" s="1" t="str">
        <f t="shared" si="425"/>
        <v>False</v>
      </c>
      <c r="AR614" s="1" t="str">
        <f>"MELL"</f>
        <v>MELL</v>
      </c>
      <c r="AY614" s="1" t="str">
        <f t="shared" si="426"/>
        <v>PF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 t="str">
        <f>"TOMAIA GOMMA"</f>
        <v>TOMAIA GOMMA</v>
      </c>
      <c r="BF614" s="1" t="str">
        <f t="shared" si="427"/>
        <v>Bonis SpA</v>
      </c>
    </row>
    <row r="615" spans="2:58" x14ac:dyDescent="0.25">
      <c r="B615" s="1">
        <v>2503</v>
      </c>
      <c r="C615" s="1" t="str">
        <f>"MELL4117S7/G1"</f>
        <v>MELL4117S7/G1</v>
      </c>
      <c r="E615" s="1" t="str">
        <f>"42"</f>
        <v>42</v>
      </c>
      <c r="F615" s="1" t="str">
        <f t="shared" si="416"/>
        <v>BONIS SPA</v>
      </c>
      <c r="G615" s="1" t="str">
        <f t="shared" si="408"/>
        <v>STOCK SCAFFALE MP</v>
      </c>
      <c r="H615" s="1" t="str">
        <f t="shared" si="441"/>
        <v>BLK</v>
      </c>
      <c r="K615" s="1">
        <v>1</v>
      </c>
      <c r="L615" s="1" t="str">
        <f t="shared" si="417"/>
        <v>01</v>
      </c>
      <c r="M615" s="1" t="str">
        <f t="shared" si="409"/>
        <v>408</v>
      </c>
      <c r="N615" s="1" t="str">
        <f>"016"</f>
        <v>016</v>
      </c>
      <c r="O615" s="1" t="str">
        <f t="shared" si="418"/>
        <v>00</v>
      </c>
      <c r="P615" s="1" t="str">
        <f t="shared" si="419"/>
        <v>S</v>
      </c>
      <c r="Q615" s="1" t="str">
        <f t="shared" si="420"/>
        <v>P</v>
      </c>
      <c r="R615" s="1" t="str">
        <f t="shared" si="421"/>
        <v>01</v>
      </c>
      <c r="S615" s="1" t="str">
        <f t="shared" si="410"/>
        <v>04</v>
      </c>
      <c r="T615" s="1" t="str">
        <f t="shared" si="422"/>
        <v>False</v>
      </c>
      <c r="U615" s="1" t="str">
        <f t="shared" si="423"/>
        <v>True</v>
      </c>
      <c r="V615" s="1" t="str">
        <f>"U0031327"</f>
        <v>U0031327</v>
      </c>
      <c r="W615" s="1">
        <v>1</v>
      </c>
      <c r="Y615" s="1">
        <v>0</v>
      </c>
      <c r="Z615" s="1">
        <v>0</v>
      </c>
      <c r="AI615" s="1" t="str">
        <f t="shared" si="442"/>
        <v>106</v>
      </c>
      <c r="AJ615" s="1" t="str">
        <f>"UNISEX"</f>
        <v>UNISEX</v>
      </c>
      <c r="AK615" s="1" t="str">
        <f t="shared" si="424"/>
        <v>PA</v>
      </c>
      <c r="AP615" s="1" t="str">
        <f t="shared" si="425"/>
        <v>False</v>
      </c>
      <c r="AR615" s="1" t="str">
        <f>"MELL"</f>
        <v>MELL</v>
      </c>
      <c r="AY615" s="1" t="str">
        <f t="shared" si="426"/>
        <v>PF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 t="str">
        <f>"TOMAIA GOMMA"</f>
        <v>TOMAIA GOMMA</v>
      </c>
      <c r="BF615" s="1" t="str">
        <f t="shared" si="427"/>
        <v>Bonis SpA</v>
      </c>
    </row>
    <row r="616" spans="2:58" x14ac:dyDescent="0.25">
      <c r="B616" s="1">
        <v>2503</v>
      </c>
      <c r="C616" s="1" t="str">
        <f>"MELL4117S7/G1"</f>
        <v>MELL4117S7/G1</v>
      </c>
      <c r="E616" s="1" t="str">
        <f>"44"</f>
        <v>44</v>
      </c>
      <c r="F616" s="1" t="str">
        <f t="shared" si="416"/>
        <v>BONIS SPA</v>
      </c>
      <c r="G616" s="1" t="str">
        <f t="shared" si="408"/>
        <v>STOCK SCAFFALE MP</v>
      </c>
      <c r="H616" s="1" t="str">
        <f t="shared" si="441"/>
        <v>BLK</v>
      </c>
      <c r="K616" s="1">
        <v>1</v>
      </c>
      <c r="L616" s="1" t="str">
        <f t="shared" si="417"/>
        <v>01</v>
      </c>
      <c r="M616" s="1" t="str">
        <f t="shared" si="409"/>
        <v>408</v>
      </c>
      <c r="N616" s="1" t="str">
        <f>"016"</f>
        <v>016</v>
      </c>
      <c r="O616" s="1" t="str">
        <f t="shared" si="418"/>
        <v>00</v>
      </c>
      <c r="P616" s="1" t="str">
        <f t="shared" si="419"/>
        <v>S</v>
      </c>
      <c r="Q616" s="1" t="str">
        <f t="shared" si="420"/>
        <v>P</v>
      </c>
      <c r="R616" s="1" t="str">
        <f t="shared" si="421"/>
        <v>01</v>
      </c>
      <c r="S616" s="1" t="str">
        <f t="shared" si="410"/>
        <v>04</v>
      </c>
      <c r="T616" s="1" t="str">
        <f t="shared" si="422"/>
        <v>False</v>
      </c>
      <c r="U616" s="1" t="str">
        <f t="shared" si="423"/>
        <v>True</v>
      </c>
      <c r="V616" s="1" t="str">
        <f>"U0031327"</f>
        <v>U0031327</v>
      </c>
      <c r="W616" s="1">
        <v>1</v>
      </c>
      <c r="Y616" s="1">
        <v>0</v>
      </c>
      <c r="Z616" s="1">
        <v>0</v>
      </c>
      <c r="AI616" s="1" t="str">
        <f t="shared" si="442"/>
        <v>106</v>
      </c>
      <c r="AJ616" s="1" t="str">
        <f>"UNISEX"</f>
        <v>UNISEX</v>
      </c>
      <c r="AK616" s="1" t="str">
        <f t="shared" si="424"/>
        <v>PA</v>
      </c>
      <c r="AP616" s="1" t="str">
        <f t="shared" si="425"/>
        <v>False</v>
      </c>
      <c r="AR616" s="1" t="str">
        <f>"MELL"</f>
        <v>MELL</v>
      </c>
      <c r="AY616" s="1" t="str">
        <f t="shared" si="426"/>
        <v>PF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 t="str">
        <f>"TOMAIA GOMMA"</f>
        <v>TOMAIA GOMMA</v>
      </c>
      <c r="BF616" s="1" t="str">
        <f t="shared" si="427"/>
        <v>Bonis SpA</v>
      </c>
    </row>
    <row r="617" spans="2:58" x14ac:dyDescent="0.25">
      <c r="B617" s="1">
        <v>2500</v>
      </c>
      <c r="C617" s="1" t="str">
        <f>"ECROK4196S7/Y1"</f>
        <v>ECROK4196S7/Y1</v>
      </c>
      <c r="E617" s="1" t="str">
        <f>"30"</f>
        <v>30</v>
      </c>
      <c r="F617" s="1" t="str">
        <f t="shared" si="416"/>
        <v>BONIS SPA</v>
      </c>
      <c r="G617" s="1" t="str">
        <f t="shared" si="408"/>
        <v>STOCK SCAFFALE MP</v>
      </c>
      <c r="H617" s="1" t="str">
        <f>"DKBL"</f>
        <v>DKBL</v>
      </c>
      <c r="K617" s="1">
        <v>1</v>
      </c>
      <c r="L617" s="1" t="str">
        <f t="shared" si="417"/>
        <v>01</v>
      </c>
      <c r="M617" s="1" t="str">
        <f t="shared" si="409"/>
        <v>408</v>
      </c>
      <c r="N617" s="1" t="str">
        <f>"015"</f>
        <v>015</v>
      </c>
      <c r="O617" s="1" t="str">
        <f t="shared" si="418"/>
        <v>00</v>
      </c>
      <c r="P617" s="1" t="str">
        <f t="shared" si="419"/>
        <v>S</v>
      </c>
      <c r="Q617" s="1" t="str">
        <f t="shared" si="420"/>
        <v>P</v>
      </c>
      <c r="R617" s="1" t="str">
        <f t="shared" si="421"/>
        <v>01</v>
      </c>
      <c r="S617" s="1" t="str">
        <f t="shared" si="410"/>
        <v>04</v>
      </c>
      <c r="T617" s="1" t="str">
        <f t="shared" si="422"/>
        <v>False</v>
      </c>
      <c r="U617" s="1" t="str">
        <f t="shared" si="423"/>
        <v>True</v>
      </c>
      <c r="V617" s="1" t="str">
        <f>"U0024810"</f>
        <v>U0024810</v>
      </c>
      <c r="W617" s="1">
        <v>1</v>
      </c>
      <c r="Y617" s="1">
        <v>0</v>
      </c>
      <c r="Z617" s="1">
        <v>0</v>
      </c>
      <c r="AI617" s="1" t="str">
        <f t="shared" si="442"/>
        <v>106</v>
      </c>
      <c r="AJ617" s="1" t="str">
        <f>"KID"</f>
        <v>KID</v>
      </c>
      <c r="AK617" s="1" t="str">
        <f t="shared" si="424"/>
        <v>PA</v>
      </c>
      <c r="AP617" s="1" t="str">
        <f t="shared" si="425"/>
        <v>False</v>
      </c>
      <c r="AR617" s="1" t="str">
        <f>"ECROK"</f>
        <v>ECROK</v>
      </c>
      <c r="AY617" s="1" t="str">
        <f t="shared" si="426"/>
        <v>PF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 t="str">
        <f>"GOMMA SYNTHETIC PU"</f>
        <v>GOMMA SYNTHETIC PU</v>
      </c>
      <c r="BF617" s="1" t="str">
        <f t="shared" si="427"/>
        <v>Bonis SpA</v>
      </c>
    </row>
    <row r="618" spans="2:58" x14ac:dyDescent="0.25">
      <c r="B618" s="1">
        <v>2500</v>
      </c>
      <c r="C618" s="1" t="str">
        <f>"ECROK4196S7/Y1"</f>
        <v>ECROK4196S7/Y1</v>
      </c>
      <c r="E618" s="1" t="str">
        <f>"34"</f>
        <v>34</v>
      </c>
      <c r="F618" s="1" t="str">
        <f t="shared" si="416"/>
        <v>BONIS SPA</v>
      </c>
      <c r="G618" s="1" t="str">
        <f t="shared" si="408"/>
        <v>STOCK SCAFFALE MP</v>
      </c>
      <c r="H618" s="1" t="str">
        <f>"WHI"</f>
        <v>WHI</v>
      </c>
      <c r="K618" s="1">
        <v>1</v>
      </c>
      <c r="L618" s="1" t="str">
        <f t="shared" si="417"/>
        <v>01</v>
      </c>
      <c r="M618" s="1" t="str">
        <f t="shared" si="409"/>
        <v>408</v>
      </c>
      <c r="N618" s="1" t="str">
        <f>"015"</f>
        <v>015</v>
      </c>
      <c r="O618" s="1" t="str">
        <f t="shared" si="418"/>
        <v>00</v>
      </c>
      <c r="P618" s="1" t="str">
        <f t="shared" si="419"/>
        <v>S</v>
      </c>
      <c r="Q618" s="1" t="str">
        <f t="shared" si="420"/>
        <v>P</v>
      </c>
      <c r="R618" s="1" t="str">
        <f t="shared" si="421"/>
        <v>01</v>
      </c>
      <c r="S618" s="1" t="str">
        <f t="shared" si="410"/>
        <v>04</v>
      </c>
      <c r="T618" s="1" t="str">
        <f t="shared" si="422"/>
        <v>False</v>
      </c>
      <c r="U618" s="1" t="str">
        <f t="shared" si="423"/>
        <v>True</v>
      </c>
      <c r="V618" s="1" t="str">
        <f>"U0024810"</f>
        <v>U0024810</v>
      </c>
      <c r="W618" s="1">
        <v>1</v>
      </c>
      <c r="Y618" s="1">
        <v>0</v>
      </c>
      <c r="Z618" s="1">
        <v>0</v>
      </c>
      <c r="AI618" s="1" t="str">
        <f t="shared" si="442"/>
        <v>106</v>
      </c>
      <c r="AJ618" s="1" t="str">
        <f>"KID"</f>
        <v>KID</v>
      </c>
      <c r="AK618" s="1" t="str">
        <f t="shared" si="424"/>
        <v>PA</v>
      </c>
      <c r="AP618" s="1" t="str">
        <f t="shared" si="425"/>
        <v>False</v>
      </c>
      <c r="AR618" s="1" t="str">
        <f>"ECROK"</f>
        <v>ECROK</v>
      </c>
      <c r="AY618" s="1" t="str">
        <f t="shared" si="426"/>
        <v>PF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 t="str">
        <f>"GOMMA SYNTHETIC PU"</f>
        <v>GOMMA SYNTHETIC PU</v>
      </c>
      <c r="BF618" s="1" t="str">
        <f t="shared" si="427"/>
        <v>Bonis SpA</v>
      </c>
    </row>
    <row r="619" spans="2:58" x14ac:dyDescent="0.25">
      <c r="B619" s="1">
        <v>2485</v>
      </c>
      <c r="C619" s="1" t="str">
        <f>"EGLE4009S7/NH1"</f>
        <v>EGLE4009S7/NH1</v>
      </c>
      <c r="E619" s="1" t="str">
        <f>"37"</f>
        <v>37</v>
      </c>
      <c r="F619" s="1" t="str">
        <f t="shared" si="416"/>
        <v>BONIS SPA</v>
      </c>
      <c r="G619" s="1" t="str">
        <f t="shared" si="408"/>
        <v>STOCK SCAFFALE MP</v>
      </c>
      <c r="H619" s="1" t="str">
        <f>"MILG"</f>
        <v>MILG</v>
      </c>
      <c r="K619" s="1">
        <v>1</v>
      </c>
      <c r="L619" s="1" t="str">
        <f t="shared" si="417"/>
        <v>01</v>
      </c>
      <c r="M619" s="1" t="str">
        <f t="shared" si="409"/>
        <v>408</v>
      </c>
      <c r="N619" s="1" t="str">
        <f>"010"</f>
        <v>010</v>
      </c>
      <c r="O619" s="1" t="str">
        <f t="shared" si="418"/>
        <v>00</v>
      </c>
      <c r="P619" s="1" t="str">
        <f t="shared" si="419"/>
        <v>S</v>
      </c>
      <c r="Q619" s="1" t="str">
        <f t="shared" si="420"/>
        <v>P</v>
      </c>
      <c r="R619" s="1" t="str">
        <f t="shared" si="421"/>
        <v>01</v>
      </c>
      <c r="S619" s="1" t="str">
        <f t="shared" si="410"/>
        <v>04</v>
      </c>
      <c r="T619" s="1" t="str">
        <f t="shared" si="422"/>
        <v>False</v>
      </c>
      <c r="U619" s="1" t="str">
        <f t="shared" si="423"/>
        <v>True</v>
      </c>
      <c r="V619" s="1" t="str">
        <f>"U0032676"</f>
        <v>U0032676</v>
      </c>
      <c r="W619" s="1">
        <v>1</v>
      </c>
      <c r="Y619" s="1">
        <v>0</v>
      </c>
      <c r="Z619" s="1">
        <v>0</v>
      </c>
      <c r="AI619" s="1" t="str">
        <f>"F06"</f>
        <v>F06</v>
      </c>
      <c r="AJ619" s="1" t="str">
        <f>"WOMAN"</f>
        <v>WOMAN</v>
      </c>
      <c r="AK619" s="1" t="str">
        <f t="shared" si="424"/>
        <v>PA</v>
      </c>
      <c r="AP619" s="1" t="str">
        <f t="shared" si="425"/>
        <v>False</v>
      </c>
      <c r="AR619" s="1" t="str">
        <f>"EGLE"</f>
        <v>EGLE</v>
      </c>
      <c r="AY619" s="1" t="str">
        <f t="shared" si="426"/>
        <v>PF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 t="str">
        <f>"ER-EVA NYLON + MICROSUEDE"</f>
        <v>ER-EVA NYLON + MICROSUEDE</v>
      </c>
      <c r="BF619" s="1" t="str">
        <f t="shared" si="427"/>
        <v>Bonis SpA</v>
      </c>
    </row>
    <row r="620" spans="2:58" x14ac:dyDescent="0.25">
      <c r="B620" s="1">
        <v>2485</v>
      </c>
      <c r="C620" s="1" t="str">
        <f>"ECROK4196S7/Y1"</f>
        <v>ECROK4196S7/Y1</v>
      </c>
      <c r="E620" s="1" t="str">
        <f>"29"</f>
        <v>29</v>
      </c>
      <c r="F620" s="1" t="str">
        <f t="shared" si="416"/>
        <v>BONIS SPA</v>
      </c>
      <c r="G620" s="1" t="str">
        <f t="shared" si="408"/>
        <v>STOCK SCAFFALE MP</v>
      </c>
      <c r="H620" s="1" t="str">
        <f>"DKBL"</f>
        <v>DKBL</v>
      </c>
      <c r="K620" s="1">
        <v>1</v>
      </c>
      <c r="L620" s="1" t="str">
        <f t="shared" si="417"/>
        <v>01</v>
      </c>
      <c r="M620" s="1" t="str">
        <f t="shared" si="409"/>
        <v>408</v>
      </c>
      <c r="N620" s="1" t="str">
        <f>"010"</f>
        <v>010</v>
      </c>
      <c r="O620" s="1" t="str">
        <f t="shared" si="418"/>
        <v>00</v>
      </c>
      <c r="P620" s="1" t="str">
        <f t="shared" si="419"/>
        <v>S</v>
      </c>
      <c r="Q620" s="1" t="str">
        <f t="shared" si="420"/>
        <v>P</v>
      </c>
      <c r="R620" s="1" t="str">
        <f t="shared" si="421"/>
        <v>01</v>
      </c>
      <c r="S620" s="1" t="str">
        <f t="shared" si="410"/>
        <v>04</v>
      </c>
      <c r="T620" s="1" t="str">
        <f t="shared" si="422"/>
        <v>False</v>
      </c>
      <c r="U620" s="1" t="str">
        <f t="shared" si="423"/>
        <v>True</v>
      </c>
      <c r="V620" s="1" t="str">
        <f>"U0032676"</f>
        <v>U0032676</v>
      </c>
      <c r="W620" s="1">
        <v>1</v>
      </c>
      <c r="Y620" s="1">
        <v>0</v>
      </c>
      <c r="Z620" s="1">
        <v>0</v>
      </c>
      <c r="AI620" s="1" t="str">
        <f>"F06"</f>
        <v>F06</v>
      </c>
      <c r="AJ620" s="1" t="str">
        <f>"KID"</f>
        <v>KID</v>
      </c>
      <c r="AK620" s="1" t="str">
        <f t="shared" si="424"/>
        <v>PA</v>
      </c>
      <c r="AP620" s="1" t="str">
        <f t="shared" si="425"/>
        <v>False</v>
      </c>
      <c r="AR620" s="1" t="str">
        <f>"ECROK"</f>
        <v>ECROK</v>
      </c>
      <c r="AY620" s="1" t="str">
        <f t="shared" si="426"/>
        <v>PF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 t="str">
        <f>"GOMMA SYNTHETIC PU"</f>
        <v>GOMMA SYNTHETIC PU</v>
      </c>
      <c r="BF620" s="1" t="str">
        <f t="shared" si="427"/>
        <v>Bonis SpA</v>
      </c>
    </row>
    <row r="621" spans="2:58" x14ac:dyDescent="0.25">
      <c r="B621" s="1">
        <v>2500</v>
      </c>
      <c r="C621" s="1" t="str">
        <f>"ECROK4196S7/Y1"</f>
        <v>ECROK4196S7/Y1</v>
      </c>
      <c r="E621" s="1" t="str">
        <f>"31"</f>
        <v>31</v>
      </c>
      <c r="F621" s="1" t="str">
        <f t="shared" si="416"/>
        <v>BONIS SPA</v>
      </c>
      <c r="G621" s="1" t="str">
        <f t="shared" si="408"/>
        <v>STOCK SCAFFALE MP</v>
      </c>
      <c r="H621" s="1" t="str">
        <f>"DKBL"</f>
        <v>DKBL</v>
      </c>
      <c r="K621" s="1">
        <v>1</v>
      </c>
      <c r="L621" s="1" t="str">
        <f t="shared" si="417"/>
        <v>01</v>
      </c>
      <c r="M621" s="1" t="str">
        <f t="shared" si="409"/>
        <v>408</v>
      </c>
      <c r="N621" s="1" t="str">
        <f t="shared" ref="N621:N628" si="443">"015"</f>
        <v>015</v>
      </c>
      <c r="O621" s="1" t="str">
        <f t="shared" si="418"/>
        <v>00</v>
      </c>
      <c r="P621" s="1" t="str">
        <f t="shared" si="419"/>
        <v>S</v>
      </c>
      <c r="Q621" s="1" t="str">
        <f t="shared" si="420"/>
        <v>P</v>
      </c>
      <c r="R621" s="1" t="str">
        <f t="shared" si="421"/>
        <v>01</v>
      </c>
      <c r="S621" s="1" t="str">
        <f t="shared" si="410"/>
        <v>04</v>
      </c>
      <c r="T621" s="1" t="str">
        <f t="shared" si="422"/>
        <v>False</v>
      </c>
      <c r="U621" s="1" t="str">
        <f t="shared" si="423"/>
        <v>True</v>
      </c>
      <c r="V621" s="1" t="str">
        <f>"U0024810"</f>
        <v>U0024810</v>
      </c>
      <c r="W621" s="1">
        <v>1</v>
      </c>
      <c r="Y621" s="1">
        <v>0</v>
      </c>
      <c r="Z621" s="1">
        <v>0</v>
      </c>
      <c r="AI621" s="1" t="str">
        <f>"106"</f>
        <v>106</v>
      </c>
      <c r="AJ621" s="1" t="str">
        <f>"KID"</f>
        <v>KID</v>
      </c>
      <c r="AK621" s="1" t="str">
        <f t="shared" si="424"/>
        <v>PA</v>
      </c>
      <c r="AP621" s="1" t="str">
        <f t="shared" si="425"/>
        <v>False</v>
      </c>
      <c r="AR621" s="1" t="str">
        <f>"ECROK"</f>
        <v>ECROK</v>
      </c>
      <c r="AY621" s="1" t="str">
        <f t="shared" si="426"/>
        <v>PF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 t="str">
        <f>"GOMMA SYNTHETIC PU"</f>
        <v>GOMMA SYNTHETIC PU</v>
      </c>
      <c r="BF621" s="1" t="str">
        <f t="shared" si="427"/>
        <v>Bonis SpA</v>
      </c>
    </row>
    <row r="622" spans="2:58" x14ac:dyDescent="0.25">
      <c r="B622" s="1">
        <v>2500</v>
      </c>
      <c r="C622" s="1" t="str">
        <f>"EGLE4009S7/NH1"</f>
        <v>EGLE4009S7/NH1</v>
      </c>
      <c r="E622" s="1" t="str">
        <f>"39"</f>
        <v>39</v>
      </c>
      <c r="F622" s="1" t="str">
        <f t="shared" si="416"/>
        <v>BONIS SPA</v>
      </c>
      <c r="G622" s="1" t="str">
        <f t="shared" si="408"/>
        <v>STOCK SCAFFALE MP</v>
      </c>
      <c r="H622" s="1" t="str">
        <f>"SIL"</f>
        <v>SIL</v>
      </c>
      <c r="K622" s="1">
        <v>2</v>
      </c>
      <c r="L622" s="1" t="str">
        <f t="shared" si="417"/>
        <v>01</v>
      </c>
      <c r="M622" s="1" t="str">
        <f t="shared" si="409"/>
        <v>408</v>
      </c>
      <c r="N622" s="1" t="str">
        <f t="shared" si="443"/>
        <v>015</v>
      </c>
      <c r="O622" s="1" t="str">
        <f t="shared" si="418"/>
        <v>00</v>
      </c>
      <c r="P622" s="1" t="str">
        <f t="shared" si="419"/>
        <v>S</v>
      </c>
      <c r="Q622" s="1" t="str">
        <f t="shared" si="420"/>
        <v>P</v>
      </c>
      <c r="R622" s="1" t="str">
        <f t="shared" si="421"/>
        <v>01</v>
      </c>
      <c r="S622" s="1" t="str">
        <f t="shared" si="410"/>
        <v>04</v>
      </c>
      <c r="T622" s="1" t="str">
        <f t="shared" si="422"/>
        <v>False</v>
      </c>
      <c r="U622" s="1" t="str">
        <f t="shared" si="423"/>
        <v>True</v>
      </c>
      <c r="V622" s="1" t="str">
        <f>"U0024810"</f>
        <v>U0024810</v>
      </c>
      <c r="W622" s="1">
        <v>1</v>
      </c>
      <c r="Y622" s="1">
        <v>0</v>
      </c>
      <c r="Z622" s="1">
        <v>0</v>
      </c>
      <c r="AI622" s="1" t="str">
        <f>"106"</f>
        <v>106</v>
      </c>
      <c r="AJ622" s="1" t="str">
        <f t="shared" ref="AJ622:AJ629" si="444">"WOMAN"</f>
        <v>WOMAN</v>
      </c>
      <c r="AK622" s="1" t="str">
        <f t="shared" si="424"/>
        <v>PA</v>
      </c>
      <c r="AP622" s="1" t="str">
        <f t="shared" si="425"/>
        <v>False</v>
      </c>
      <c r="AR622" s="1" t="str">
        <f>"EGLE"</f>
        <v>EGLE</v>
      </c>
      <c r="AY622" s="1" t="str">
        <f t="shared" si="426"/>
        <v>PF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 t="str">
        <f>"ER-EVA NYLON + MICROSUEDE"</f>
        <v>ER-EVA NYLON + MICROSUEDE</v>
      </c>
      <c r="BF622" s="1" t="str">
        <f t="shared" si="427"/>
        <v>Bonis SpA</v>
      </c>
    </row>
    <row r="623" spans="2:58" x14ac:dyDescent="0.25">
      <c r="B623" s="1">
        <v>2500</v>
      </c>
      <c r="C623" s="1" t="str">
        <f t="shared" ref="C623:C628" si="445">"GALAD4122S7/SY1"</f>
        <v>GALAD4122S7/SY1</v>
      </c>
      <c r="E623" s="1" t="str">
        <f>"40"</f>
        <v>40</v>
      </c>
      <c r="F623" s="1" t="str">
        <f t="shared" si="416"/>
        <v>BONIS SPA</v>
      </c>
      <c r="G623" s="1" t="str">
        <f t="shared" si="408"/>
        <v>STOCK SCAFFALE MP</v>
      </c>
      <c r="H623" s="1" t="str">
        <f t="shared" ref="H623:H628" si="446">"BEI"</f>
        <v>BEI</v>
      </c>
      <c r="K623" s="1">
        <v>1</v>
      </c>
      <c r="L623" s="1" t="str">
        <f t="shared" si="417"/>
        <v>01</v>
      </c>
      <c r="M623" s="1" t="str">
        <f t="shared" si="409"/>
        <v>408</v>
      </c>
      <c r="N623" s="1" t="str">
        <f t="shared" si="443"/>
        <v>015</v>
      </c>
      <c r="O623" s="1" t="str">
        <f t="shared" si="418"/>
        <v>00</v>
      </c>
      <c r="P623" s="1" t="str">
        <f t="shared" si="419"/>
        <v>S</v>
      </c>
      <c r="Q623" s="1" t="str">
        <f t="shared" si="420"/>
        <v>P</v>
      </c>
      <c r="R623" s="1" t="str">
        <f t="shared" si="421"/>
        <v>01</v>
      </c>
      <c r="S623" s="1" t="str">
        <f t="shared" si="410"/>
        <v>04</v>
      </c>
      <c r="T623" s="1" t="str">
        <f t="shared" si="422"/>
        <v>False</v>
      </c>
      <c r="U623" s="1" t="str">
        <f t="shared" si="423"/>
        <v>True</v>
      </c>
      <c r="V623" s="1" t="str">
        <f t="shared" ref="V623:V628" si="447">"U0028003"</f>
        <v>U0028003</v>
      </c>
      <c r="W623" s="1">
        <v>1</v>
      </c>
      <c r="Y623" s="1">
        <v>0</v>
      </c>
      <c r="Z623" s="1">
        <v>0</v>
      </c>
      <c r="AI623" s="1" t="str">
        <f t="shared" ref="AI623:AI628" si="448">"F11"</f>
        <v>F11</v>
      </c>
      <c r="AJ623" s="1" t="str">
        <f t="shared" si="444"/>
        <v>WOMAN</v>
      </c>
      <c r="AK623" s="1" t="str">
        <f t="shared" si="424"/>
        <v>PA</v>
      </c>
      <c r="AP623" s="1" t="str">
        <f t="shared" si="425"/>
        <v>False</v>
      </c>
      <c r="AR623" s="1" t="str">
        <f t="shared" ref="AR623:AR628" si="449">"GALAD"</f>
        <v>GALAD</v>
      </c>
      <c r="AY623" s="1" t="str">
        <f t="shared" si="426"/>
        <v>PF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 t="str">
        <f t="shared" ref="BE623:BE628" si="450">"D GOMMA SUEDE+SYNTHETIC LEAT"</f>
        <v>D GOMMA SUEDE+SYNTHETIC LEAT</v>
      </c>
      <c r="BF623" s="1" t="str">
        <f t="shared" si="427"/>
        <v>Bonis SpA</v>
      </c>
    </row>
    <row r="624" spans="2:58" x14ac:dyDescent="0.25">
      <c r="B624" s="1">
        <v>2500</v>
      </c>
      <c r="C624" s="1" t="str">
        <f t="shared" si="445"/>
        <v>GALAD4122S7/SY1</v>
      </c>
      <c r="E624" s="1" t="str">
        <f>"39"</f>
        <v>39</v>
      </c>
      <c r="F624" s="1" t="str">
        <f t="shared" si="416"/>
        <v>BONIS SPA</v>
      </c>
      <c r="G624" s="1" t="str">
        <f t="shared" ref="G624:G687" si="451">"STOCK SCAFFALE MP"</f>
        <v>STOCK SCAFFALE MP</v>
      </c>
      <c r="H624" s="1" t="str">
        <f t="shared" si="446"/>
        <v>BEI</v>
      </c>
      <c r="K624" s="1">
        <v>2</v>
      </c>
      <c r="L624" s="1" t="str">
        <f t="shared" si="417"/>
        <v>01</v>
      </c>
      <c r="M624" s="1" t="str">
        <f t="shared" ref="M624:M687" si="452">"408"</f>
        <v>408</v>
      </c>
      <c r="N624" s="1" t="str">
        <f t="shared" si="443"/>
        <v>015</v>
      </c>
      <c r="O624" s="1" t="str">
        <f t="shared" si="418"/>
        <v>00</v>
      </c>
      <c r="P624" s="1" t="str">
        <f t="shared" si="419"/>
        <v>S</v>
      </c>
      <c r="Q624" s="1" t="str">
        <f t="shared" si="420"/>
        <v>P</v>
      </c>
      <c r="R624" s="1" t="str">
        <f t="shared" si="421"/>
        <v>01</v>
      </c>
      <c r="S624" s="1" t="str">
        <f t="shared" ref="S624:S687" si="453">"04"</f>
        <v>04</v>
      </c>
      <c r="T624" s="1" t="str">
        <f t="shared" si="422"/>
        <v>False</v>
      </c>
      <c r="U624" s="1" t="str">
        <f t="shared" si="423"/>
        <v>True</v>
      </c>
      <c r="V624" s="1" t="str">
        <f t="shared" si="447"/>
        <v>U0028003</v>
      </c>
      <c r="W624" s="1">
        <v>1</v>
      </c>
      <c r="Y624" s="1">
        <v>0</v>
      </c>
      <c r="Z624" s="1">
        <v>0</v>
      </c>
      <c r="AI624" s="1" t="str">
        <f t="shared" si="448"/>
        <v>F11</v>
      </c>
      <c r="AJ624" s="1" t="str">
        <f t="shared" si="444"/>
        <v>WOMAN</v>
      </c>
      <c r="AK624" s="1" t="str">
        <f t="shared" si="424"/>
        <v>PA</v>
      </c>
      <c r="AP624" s="1" t="str">
        <f t="shared" si="425"/>
        <v>False</v>
      </c>
      <c r="AR624" s="1" t="str">
        <f t="shared" si="449"/>
        <v>GALAD</v>
      </c>
      <c r="AY624" s="1" t="str">
        <f t="shared" si="426"/>
        <v>PF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 t="str">
        <f t="shared" si="450"/>
        <v>D GOMMA SUEDE+SYNTHETIC LEAT</v>
      </c>
      <c r="BF624" s="1" t="str">
        <f t="shared" si="427"/>
        <v>Bonis SpA</v>
      </c>
    </row>
    <row r="625" spans="2:58" x14ac:dyDescent="0.25">
      <c r="B625" s="1">
        <v>2500</v>
      </c>
      <c r="C625" s="1" t="str">
        <f t="shared" si="445"/>
        <v>GALAD4122S7/SY1</v>
      </c>
      <c r="E625" s="1" t="str">
        <f>"38"</f>
        <v>38</v>
      </c>
      <c r="F625" s="1" t="str">
        <f t="shared" si="416"/>
        <v>BONIS SPA</v>
      </c>
      <c r="G625" s="1" t="str">
        <f t="shared" si="451"/>
        <v>STOCK SCAFFALE MP</v>
      </c>
      <c r="H625" s="1" t="str">
        <f t="shared" si="446"/>
        <v>BEI</v>
      </c>
      <c r="K625" s="1">
        <v>2</v>
      </c>
      <c r="L625" s="1" t="str">
        <f t="shared" si="417"/>
        <v>01</v>
      </c>
      <c r="M625" s="1" t="str">
        <f t="shared" si="452"/>
        <v>408</v>
      </c>
      <c r="N625" s="1" t="str">
        <f t="shared" si="443"/>
        <v>015</v>
      </c>
      <c r="O625" s="1" t="str">
        <f t="shared" si="418"/>
        <v>00</v>
      </c>
      <c r="P625" s="1" t="str">
        <f t="shared" si="419"/>
        <v>S</v>
      </c>
      <c r="Q625" s="1" t="str">
        <f t="shared" si="420"/>
        <v>P</v>
      </c>
      <c r="R625" s="1" t="str">
        <f t="shared" si="421"/>
        <v>01</v>
      </c>
      <c r="S625" s="1" t="str">
        <f t="shared" si="453"/>
        <v>04</v>
      </c>
      <c r="T625" s="1" t="str">
        <f t="shared" si="422"/>
        <v>False</v>
      </c>
      <c r="U625" s="1" t="str">
        <f t="shared" si="423"/>
        <v>True</v>
      </c>
      <c r="V625" s="1" t="str">
        <f t="shared" si="447"/>
        <v>U0028003</v>
      </c>
      <c r="W625" s="1">
        <v>1</v>
      </c>
      <c r="Y625" s="1">
        <v>0</v>
      </c>
      <c r="Z625" s="1">
        <v>0</v>
      </c>
      <c r="AI625" s="1" t="str">
        <f t="shared" si="448"/>
        <v>F11</v>
      </c>
      <c r="AJ625" s="1" t="str">
        <f t="shared" si="444"/>
        <v>WOMAN</v>
      </c>
      <c r="AK625" s="1" t="str">
        <f t="shared" si="424"/>
        <v>PA</v>
      </c>
      <c r="AP625" s="1" t="str">
        <f t="shared" si="425"/>
        <v>False</v>
      </c>
      <c r="AR625" s="1" t="str">
        <f t="shared" si="449"/>
        <v>GALAD</v>
      </c>
      <c r="AY625" s="1" t="str">
        <f t="shared" si="426"/>
        <v>PF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 t="str">
        <f t="shared" si="450"/>
        <v>D GOMMA SUEDE+SYNTHETIC LEAT</v>
      </c>
      <c r="BF625" s="1" t="str">
        <f t="shared" si="427"/>
        <v>Bonis SpA</v>
      </c>
    </row>
    <row r="626" spans="2:58" x14ac:dyDescent="0.25">
      <c r="B626" s="1">
        <v>2500</v>
      </c>
      <c r="C626" s="1" t="str">
        <f t="shared" si="445"/>
        <v>GALAD4122S7/SY1</v>
      </c>
      <c r="E626" s="1" t="str">
        <f>"37"</f>
        <v>37</v>
      </c>
      <c r="F626" s="1" t="str">
        <f t="shared" si="416"/>
        <v>BONIS SPA</v>
      </c>
      <c r="G626" s="1" t="str">
        <f t="shared" si="451"/>
        <v>STOCK SCAFFALE MP</v>
      </c>
      <c r="H626" s="1" t="str">
        <f t="shared" si="446"/>
        <v>BEI</v>
      </c>
      <c r="K626" s="1">
        <v>3</v>
      </c>
      <c r="L626" s="1" t="str">
        <f t="shared" si="417"/>
        <v>01</v>
      </c>
      <c r="M626" s="1" t="str">
        <f t="shared" si="452"/>
        <v>408</v>
      </c>
      <c r="N626" s="1" t="str">
        <f t="shared" si="443"/>
        <v>015</v>
      </c>
      <c r="O626" s="1" t="str">
        <f t="shared" si="418"/>
        <v>00</v>
      </c>
      <c r="P626" s="1" t="str">
        <f t="shared" si="419"/>
        <v>S</v>
      </c>
      <c r="Q626" s="1" t="str">
        <f t="shared" si="420"/>
        <v>P</v>
      </c>
      <c r="R626" s="1" t="str">
        <f t="shared" si="421"/>
        <v>01</v>
      </c>
      <c r="S626" s="1" t="str">
        <f t="shared" si="453"/>
        <v>04</v>
      </c>
      <c r="T626" s="1" t="str">
        <f t="shared" si="422"/>
        <v>False</v>
      </c>
      <c r="U626" s="1" t="str">
        <f t="shared" si="423"/>
        <v>True</v>
      </c>
      <c r="V626" s="1" t="str">
        <f t="shared" si="447"/>
        <v>U0028003</v>
      </c>
      <c r="W626" s="1">
        <v>1</v>
      </c>
      <c r="Y626" s="1">
        <v>0</v>
      </c>
      <c r="Z626" s="1">
        <v>0</v>
      </c>
      <c r="AI626" s="1" t="str">
        <f t="shared" si="448"/>
        <v>F11</v>
      </c>
      <c r="AJ626" s="1" t="str">
        <f t="shared" si="444"/>
        <v>WOMAN</v>
      </c>
      <c r="AK626" s="1" t="str">
        <f t="shared" si="424"/>
        <v>PA</v>
      </c>
      <c r="AP626" s="1" t="str">
        <f t="shared" si="425"/>
        <v>False</v>
      </c>
      <c r="AR626" s="1" t="str">
        <f t="shared" si="449"/>
        <v>GALAD</v>
      </c>
      <c r="AY626" s="1" t="str">
        <f t="shared" si="426"/>
        <v>PF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 t="str">
        <f t="shared" si="450"/>
        <v>D GOMMA SUEDE+SYNTHETIC LEAT</v>
      </c>
      <c r="BF626" s="1" t="str">
        <f t="shared" si="427"/>
        <v>Bonis SpA</v>
      </c>
    </row>
    <row r="627" spans="2:58" x14ac:dyDescent="0.25">
      <c r="B627" s="1">
        <v>2500</v>
      </c>
      <c r="C627" s="1" t="str">
        <f t="shared" si="445"/>
        <v>GALAD4122S7/SY1</v>
      </c>
      <c r="E627" s="1" t="str">
        <f>"36"</f>
        <v>36</v>
      </c>
      <c r="F627" s="1" t="str">
        <f t="shared" si="416"/>
        <v>BONIS SPA</v>
      </c>
      <c r="G627" s="1" t="str">
        <f t="shared" si="451"/>
        <v>STOCK SCAFFALE MP</v>
      </c>
      <c r="H627" s="1" t="str">
        <f t="shared" si="446"/>
        <v>BEI</v>
      </c>
      <c r="K627" s="1">
        <v>2</v>
      </c>
      <c r="L627" s="1" t="str">
        <f t="shared" si="417"/>
        <v>01</v>
      </c>
      <c r="M627" s="1" t="str">
        <f t="shared" si="452"/>
        <v>408</v>
      </c>
      <c r="N627" s="1" t="str">
        <f t="shared" si="443"/>
        <v>015</v>
      </c>
      <c r="O627" s="1" t="str">
        <f t="shared" si="418"/>
        <v>00</v>
      </c>
      <c r="P627" s="1" t="str">
        <f t="shared" si="419"/>
        <v>S</v>
      </c>
      <c r="Q627" s="1" t="str">
        <f t="shared" si="420"/>
        <v>P</v>
      </c>
      <c r="R627" s="1" t="str">
        <f t="shared" si="421"/>
        <v>01</v>
      </c>
      <c r="S627" s="1" t="str">
        <f t="shared" si="453"/>
        <v>04</v>
      </c>
      <c r="T627" s="1" t="str">
        <f t="shared" si="422"/>
        <v>False</v>
      </c>
      <c r="U627" s="1" t="str">
        <f t="shared" si="423"/>
        <v>True</v>
      </c>
      <c r="V627" s="1" t="str">
        <f t="shared" si="447"/>
        <v>U0028003</v>
      </c>
      <c r="W627" s="1">
        <v>1</v>
      </c>
      <c r="Y627" s="1">
        <v>0</v>
      </c>
      <c r="Z627" s="1">
        <v>0</v>
      </c>
      <c r="AI627" s="1" t="str">
        <f t="shared" si="448"/>
        <v>F11</v>
      </c>
      <c r="AJ627" s="1" t="str">
        <f t="shared" si="444"/>
        <v>WOMAN</v>
      </c>
      <c r="AK627" s="1" t="str">
        <f t="shared" si="424"/>
        <v>PA</v>
      </c>
      <c r="AP627" s="1" t="str">
        <f t="shared" si="425"/>
        <v>False</v>
      </c>
      <c r="AR627" s="1" t="str">
        <f t="shared" si="449"/>
        <v>GALAD</v>
      </c>
      <c r="AY627" s="1" t="str">
        <f t="shared" si="426"/>
        <v>PF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 t="str">
        <f t="shared" si="450"/>
        <v>D GOMMA SUEDE+SYNTHETIC LEAT</v>
      </c>
      <c r="BF627" s="1" t="str">
        <f t="shared" si="427"/>
        <v>Bonis SpA</v>
      </c>
    </row>
    <row r="628" spans="2:58" x14ac:dyDescent="0.25">
      <c r="B628" s="1">
        <v>2500</v>
      </c>
      <c r="C628" s="1" t="str">
        <f t="shared" si="445"/>
        <v>GALAD4122S7/SY1</v>
      </c>
      <c r="E628" s="1" t="str">
        <f>"35"</f>
        <v>35</v>
      </c>
      <c r="F628" s="1" t="str">
        <f t="shared" si="416"/>
        <v>BONIS SPA</v>
      </c>
      <c r="G628" s="1" t="str">
        <f t="shared" si="451"/>
        <v>STOCK SCAFFALE MP</v>
      </c>
      <c r="H628" s="1" t="str">
        <f t="shared" si="446"/>
        <v>BEI</v>
      </c>
      <c r="K628" s="1">
        <v>1</v>
      </c>
      <c r="L628" s="1" t="str">
        <f t="shared" si="417"/>
        <v>01</v>
      </c>
      <c r="M628" s="1" t="str">
        <f t="shared" si="452"/>
        <v>408</v>
      </c>
      <c r="N628" s="1" t="str">
        <f t="shared" si="443"/>
        <v>015</v>
      </c>
      <c r="O628" s="1" t="str">
        <f t="shared" si="418"/>
        <v>00</v>
      </c>
      <c r="P628" s="1" t="str">
        <f t="shared" si="419"/>
        <v>S</v>
      </c>
      <c r="Q628" s="1" t="str">
        <f t="shared" si="420"/>
        <v>P</v>
      </c>
      <c r="R628" s="1" t="str">
        <f t="shared" si="421"/>
        <v>01</v>
      </c>
      <c r="S628" s="1" t="str">
        <f t="shared" si="453"/>
        <v>04</v>
      </c>
      <c r="T628" s="1" t="str">
        <f t="shared" si="422"/>
        <v>False</v>
      </c>
      <c r="U628" s="1" t="str">
        <f t="shared" si="423"/>
        <v>True</v>
      </c>
      <c r="V628" s="1" t="str">
        <f t="shared" si="447"/>
        <v>U0028003</v>
      </c>
      <c r="W628" s="1">
        <v>1</v>
      </c>
      <c r="Y628" s="1">
        <v>0</v>
      </c>
      <c r="Z628" s="1">
        <v>0</v>
      </c>
      <c r="AI628" s="1" t="str">
        <f t="shared" si="448"/>
        <v>F11</v>
      </c>
      <c r="AJ628" s="1" t="str">
        <f t="shared" si="444"/>
        <v>WOMAN</v>
      </c>
      <c r="AK628" s="1" t="str">
        <f t="shared" si="424"/>
        <v>PA</v>
      </c>
      <c r="AP628" s="1" t="str">
        <f t="shared" si="425"/>
        <v>False</v>
      </c>
      <c r="AR628" s="1" t="str">
        <f t="shared" si="449"/>
        <v>GALAD</v>
      </c>
      <c r="AY628" s="1" t="str">
        <f t="shared" si="426"/>
        <v>PF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 t="str">
        <f t="shared" si="450"/>
        <v>D GOMMA SUEDE+SYNTHETIC LEAT</v>
      </c>
      <c r="BF628" s="1" t="str">
        <f t="shared" si="427"/>
        <v>Bonis SpA</v>
      </c>
    </row>
    <row r="629" spans="2:58" x14ac:dyDescent="0.25">
      <c r="B629" s="1">
        <v>2509</v>
      </c>
      <c r="C629" s="1" t="str">
        <f>"NOBIW4132S7/NH1"</f>
        <v>NOBIW4132S7/NH1</v>
      </c>
      <c r="E629" s="1" t="str">
        <f>"39"</f>
        <v>39</v>
      </c>
      <c r="F629" s="1" t="str">
        <f t="shared" si="416"/>
        <v>BONIS SPA</v>
      </c>
      <c r="G629" s="1" t="str">
        <f t="shared" si="451"/>
        <v>STOCK SCAFFALE MP</v>
      </c>
      <c r="H629" s="1" t="str">
        <f>"LIBL"</f>
        <v>LIBL</v>
      </c>
      <c r="K629" s="1">
        <v>1</v>
      </c>
      <c r="L629" s="1" t="str">
        <f t="shared" si="417"/>
        <v>01</v>
      </c>
      <c r="M629" s="1" t="str">
        <f t="shared" si="452"/>
        <v>408</v>
      </c>
      <c r="N629" s="1" t="str">
        <f>"018"</f>
        <v>018</v>
      </c>
      <c r="O629" s="1" t="str">
        <f t="shared" si="418"/>
        <v>00</v>
      </c>
      <c r="P629" s="1" t="str">
        <f t="shared" si="419"/>
        <v>S</v>
      </c>
      <c r="Q629" s="1" t="str">
        <f t="shared" si="420"/>
        <v>P</v>
      </c>
      <c r="R629" s="1" t="str">
        <f t="shared" si="421"/>
        <v>01</v>
      </c>
      <c r="S629" s="1" t="str">
        <f t="shared" si="453"/>
        <v>04</v>
      </c>
      <c r="T629" s="1" t="str">
        <f t="shared" si="422"/>
        <v>False</v>
      </c>
      <c r="U629" s="1" t="str">
        <f t="shared" si="423"/>
        <v>True</v>
      </c>
      <c r="V629" s="1" t="str">
        <f>"U0027704"</f>
        <v>U0027704</v>
      </c>
      <c r="W629" s="1">
        <v>1</v>
      </c>
      <c r="Y629" s="1">
        <v>0</v>
      </c>
      <c r="Z629" s="1">
        <v>0</v>
      </c>
      <c r="AI629" s="1" t="str">
        <f>"F06"</f>
        <v>F06</v>
      </c>
      <c r="AJ629" s="1" t="str">
        <f t="shared" si="444"/>
        <v>WOMAN</v>
      </c>
      <c r="AK629" s="1" t="str">
        <f t="shared" si="424"/>
        <v>PA</v>
      </c>
      <c r="AP629" s="1" t="str">
        <f t="shared" si="425"/>
        <v>False</v>
      </c>
      <c r="AR629" s="1" t="str">
        <f>"NOBIW"</f>
        <v>NOBIW</v>
      </c>
      <c r="AY629" s="1" t="str">
        <f t="shared" si="426"/>
        <v>PF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 t="str">
        <f>"UBBER FLAT MOL.NYLON+MICROSUED"</f>
        <v>UBBER FLAT MOL.NYLON+MICROSUED</v>
      </c>
      <c r="BF629" s="1" t="str">
        <f t="shared" si="427"/>
        <v>Bonis SpA</v>
      </c>
    </row>
    <row r="630" spans="2:58" x14ac:dyDescent="0.25">
      <c r="B630" s="1">
        <v>2485</v>
      </c>
      <c r="C630" s="1" t="str">
        <f>"EDWIN9068S7/L1"</f>
        <v>EDWIN9068S7/L1</v>
      </c>
      <c r="E630" s="1" t="str">
        <f>"43"</f>
        <v>43</v>
      </c>
      <c r="F630" s="1" t="str">
        <f t="shared" si="416"/>
        <v>BONIS SPA</v>
      </c>
      <c r="G630" s="1" t="str">
        <f t="shared" si="451"/>
        <v>STOCK SCAFFALE MP</v>
      </c>
      <c r="H630" s="1" t="str">
        <f>"BRW"</f>
        <v>BRW</v>
      </c>
      <c r="K630" s="1">
        <v>1</v>
      </c>
      <c r="L630" s="1" t="str">
        <f t="shared" si="417"/>
        <v>01</v>
      </c>
      <c r="M630" s="1" t="str">
        <f t="shared" si="452"/>
        <v>408</v>
      </c>
      <c r="N630" s="1" t="str">
        <f>"010"</f>
        <v>010</v>
      </c>
      <c r="O630" s="1" t="str">
        <f t="shared" si="418"/>
        <v>00</v>
      </c>
      <c r="P630" s="1" t="str">
        <f t="shared" si="419"/>
        <v>S</v>
      </c>
      <c r="Q630" s="1" t="str">
        <f t="shared" si="420"/>
        <v>P</v>
      </c>
      <c r="R630" s="1" t="str">
        <f t="shared" si="421"/>
        <v>01</v>
      </c>
      <c r="S630" s="1" t="str">
        <f t="shared" si="453"/>
        <v>04</v>
      </c>
      <c r="T630" s="1" t="str">
        <f t="shared" si="422"/>
        <v>False</v>
      </c>
      <c r="U630" s="1" t="str">
        <f t="shared" si="423"/>
        <v>True</v>
      </c>
      <c r="V630" s="1" t="str">
        <f>"U0032676"</f>
        <v>U0032676</v>
      </c>
      <c r="W630" s="1">
        <v>1</v>
      </c>
      <c r="Y630" s="1">
        <v>0</v>
      </c>
      <c r="Z630" s="1">
        <v>0</v>
      </c>
      <c r="AI630" s="1" t="str">
        <f>"F06"</f>
        <v>F06</v>
      </c>
      <c r="AJ630" s="1" t="str">
        <f>"MAN"</f>
        <v>MAN</v>
      </c>
      <c r="AK630" s="1" t="str">
        <f t="shared" si="424"/>
        <v>PA</v>
      </c>
      <c r="AP630" s="1" t="str">
        <f t="shared" si="425"/>
        <v>False</v>
      </c>
      <c r="AR630" s="1" t="str">
        <f>"EDWIN"</f>
        <v>EDWIN</v>
      </c>
      <c r="AY630" s="1" t="str">
        <f t="shared" si="426"/>
        <v>PF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 t="str">
        <f>"NO SU.TR ULTRA LT.LEATHER MOZA"</f>
        <v>NO SU.TR ULTRA LT.LEATHER MOZA</v>
      </c>
      <c r="BF630" s="1" t="str">
        <f t="shared" si="427"/>
        <v>Bonis SpA</v>
      </c>
    </row>
    <row r="631" spans="2:58" x14ac:dyDescent="0.25">
      <c r="B631" s="1">
        <v>2503</v>
      </c>
      <c r="C631" s="1" t="str">
        <f>"VAIAN4207S7/G1"</f>
        <v>VAIAN4207S7/G1</v>
      </c>
      <c r="E631" s="1" t="str">
        <f>"44"</f>
        <v>44</v>
      </c>
      <c r="F631" s="1" t="str">
        <f t="shared" si="416"/>
        <v>BONIS SPA</v>
      </c>
      <c r="G631" s="1" t="str">
        <f t="shared" si="451"/>
        <v>STOCK SCAFFALE MP</v>
      </c>
      <c r="H631" s="1" t="str">
        <f>"RED-DKBL"</f>
        <v>RED-DKBL</v>
      </c>
      <c r="K631" s="1">
        <v>1</v>
      </c>
      <c r="L631" s="1" t="str">
        <f t="shared" si="417"/>
        <v>01</v>
      </c>
      <c r="M631" s="1" t="str">
        <f t="shared" si="452"/>
        <v>408</v>
      </c>
      <c r="N631" s="1" t="str">
        <f>"016"</f>
        <v>016</v>
      </c>
      <c r="O631" s="1" t="str">
        <f t="shared" si="418"/>
        <v>00</v>
      </c>
      <c r="P631" s="1" t="str">
        <f t="shared" si="419"/>
        <v>S</v>
      </c>
      <c r="Q631" s="1" t="str">
        <f t="shared" si="420"/>
        <v>P</v>
      </c>
      <c r="R631" s="1" t="str">
        <f t="shared" si="421"/>
        <v>01</v>
      </c>
      <c r="S631" s="1" t="str">
        <f t="shared" si="453"/>
        <v>04</v>
      </c>
      <c r="T631" s="1" t="str">
        <f t="shared" si="422"/>
        <v>False</v>
      </c>
      <c r="U631" s="1" t="str">
        <f t="shared" si="423"/>
        <v>True</v>
      </c>
      <c r="V631" s="1" t="str">
        <f>"U0031327"</f>
        <v>U0031327</v>
      </c>
      <c r="W631" s="1">
        <v>1</v>
      </c>
      <c r="Y631" s="1">
        <v>0</v>
      </c>
      <c r="Z631" s="1">
        <v>0</v>
      </c>
      <c r="AI631" s="1" t="str">
        <f>"106"</f>
        <v>106</v>
      </c>
      <c r="AJ631" s="1" t="str">
        <f>"UNISEX"</f>
        <v>UNISEX</v>
      </c>
      <c r="AK631" s="1" t="str">
        <f t="shared" si="424"/>
        <v>PA</v>
      </c>
      <c r="AP631" s="1" t="str">
        <f t="shared" si="425"/>
        <v>False</v>
      </c>
      <c r="AR631" s="1" t="str">
        <f>"VAIAN"</f>
        <v>VAIAN</v>
      </c>
      <c r="AY631" s="1" t="str">
        <f t="shared" si="426"/>
        <v>PF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 t="str">
        <f>"TOMAIA GOMMA"</f>
        <v>TOMAIA GOMMA</v>
      </c>
      <c r="BF631" s="1" t="str">
        <f t="shared" si="427"/>
        <v>Bonis SpA</v>
      </c>
    </row>
    <row r="632" spans="2:58" x14ac:dyDescent="0.25">
      <c r="B632" s="1">
        <v>2503</v>
      </c>
      <c r="C632" s="1" t="str">
        <f>"VAIAN4209S7/G1"</f>
        <v>VAIAN4209S7/G1</v>
      </c>
      <c r="E632" s="1" t="str">
        <f>"45"</f>
        <v>45</v>
      </c>
      <c r="F632" s="1" t="str">
        <f t="shared" si="416"/>
        <v>BONIS SPA</v>
      </c>
      <c r="G632" s="1" t="str">
        <f t="shared" si="451"/>
        <v>STOCK SCAFFALE MP</v>
      </c>
      <c r="H632" s="1" t="str">
        <f>"MILG"</f>
        <v>MILG</v>
      </c>
      <c r="K632" s="1">
        <v>1</v>
      </c>
      <c r="L632" s="1" t="str">
        <f t="shared" si="417"/>
        <v>01</v>
      </c>
      <c r="M632" s="1" t="str">
        <f t="shared" si="452"/>
        <v>408</v>
      </c>
      <c r="N632" s="1" t="str">
        <f>"016"</f>
        <v>016</v>
      </c>
      <c r="O632" s="1" t="str">
        <f t="shared" si="418"/>
        <v>00</v>
      </c>
      <c r="P632" s="1" t="str">
        <f t="shared" si="419"/>
        <v>S</v>
      </c>
      <c r="Q632" s="1" t="str">
        <f t="shared" si="420"/>
        <v>P</v>
      </c>
      <c r="R632" s="1" t="str">
        <f t="shared" si="421"/>
        <v>01</v>
      </c>
      <c r="S632" s="1" t="str">
        <f t="shared" si="453"/>
        <v>04</v>
      </c>
      <c r="T632" s="1" t="str">
        <f t="shared" si="422"/>
        <v>False</v>
      </c>
      <c r="U632" s="1" t="str">
        <f t="shared" si="423"/>
        <v>True</v>
      </c>
      <c r="V632" s="1" t="str">
        <f>"U0031327"</f>
        <v>U0031327</v>
      </c>
      <c r="W632" s="1">
        <v>1</v>
      </c>
      <c r="Y632" s="1">
        <v>0</v>
      </c>
      <c r="Z632" s="1">
        <v>0</v>
      </c>
      <c r="AI632" s="1" t="str">
        <f>"F11"</f>
        <v>F11</v>
      </c>
      <c r="AJ632" s="1" t="str">
        <f>"UNISEX"</f>
        <v>UNISEX</v>
      </c>
      <c r="AK632" s="1" t="str">
        <f t="shared" si="424"/>
        <v>PA</v>
      </c>
      <c r="AP632" s="1" t="str">
        <f t="shared" si="425"/>
        <v>False</v>
      </c>
      <c r="AR632" s="1" t="str">
        <f>"VAIAN"</f>
        <v>VAIAN</v>
      </c>
      <c r="AY632" s="1" t="str">
        <f t="shared" si="426"/>
        <v>PF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 t="str">
        <f>"TOMAIA GOMMA"</f>
        <v>TOMAIA GOMMA</v>
      </c>
      <c r="BF632" s="1" t="str">
        <f t="shared" si="427"/>
        <v>Bonis SpA</v>
      </c>
    </row>
    <row r="633" spans="2:58" x14ac:dyDescent="0.25">
      <c r="B633" s="1">
        <v>2503</v>
      </c>
      <c r="C633" s="1" t="str">
        <f>"VAIAN4209S7/G1"</f>
        <v>VAIAN4209S7/G1</v>
      </c>
      <c r="E633" s="1" t="str">
        <f>"44"</f>
        <v>44</v>
      </c>
      <c r="F633" s="1" t="str">
        <f t="shared" si="416"/>
        <v>BONIS SPA</v>
      </c>
      <c r="G633" s="1" t="str">
        <f t="shared" si="451"/>
        <v>STOCK SCAFFALE MP</v>
      </c>
      <c r="H633" s="1" t="str">
        <f>"MILG"</f>
        <v>MILG</v>
      </c>
      <c r="K633" s="1">
        <v>3</v>
      </c>
      <c r="L633" s="1" t="str">
        <f t="shared" si="417"/>
        <v>01</v>
      </c>
      <c r="M633" s="1" t="str">
        <f t="shared" si="452"/>
        <v>408</v>
      </c>
      <c r="N633" s="1" t="str">
        <f>"016"</f>
        <v>016</v>
      </c>
      <c r="O633" s="1" t="str">
        <f t="shared" si="418"/>
        <v>00</v>
      </c>
      <c r="P633" s="1" t="str">
        <f t="shared" si="419"/>
        <v>S</v>
      </c>
      <c r="Q633" s="1" t="str">
        <f t="shared" si="420"/>
        <v>P</v>
      </c>
      <c r="R633" s="1" t="str">
        <f t="shared" si="421"/>
        <v>01</v>
      </c>
      <c r="S633" s="1" t="str">
        <f t="shared" si="453"/>
        <v>04</v>
      </c>
      <c r="T633" s="1" t="str">
        <f t="shared" si="422"/>
        <v>False</v>
      </c>
      <c r="U633" s="1" t="str">
        <f t="shared" si="423"/>
        <v>True</v>
      </c>
      <c r="V633" s="1" t="str">
        <f>"U0031327"</f>
        <v>U0031327</v>
      </c>
      <c r="W633" s="1">
        <v>1</v>
      </c>
      <c r="Y633" s="1">
        <v>0</v>
      </c>
      <c r="Z633" s="1">
        <v>0</v>
      </c>
      <c r="AI633" s="1" t="str">
        <f>"F11"</f>
        <v>F11</v>
      </c>
      <c r="AJ633" s="1" t="str">
        <f>"UNISEX"</f>
        <v>UNISEX</v>
      </c>
      <c r="AK633" s="1" t="str">
        <f t="shared" si="424"/>
        <v>PA</v>
      </c>
      <c r="AP633" s="1" t="str">
        <f t="shared" si="425"/>
        <v>False</v>
      </c>
      <c r="AR633" s="1" t="str">
        <f>"VAIAN"</f>
        <v>VAIAN</v>
      </c>
      <c r="AY633" s="1" t="str">
        <f t="shared" si="426"/>
        <v>PF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 t="str">
        <f>"TOMAIA GOMMA"</f>
        <v>TOMAIA GOMMA</v>
      </c>
      <c r="BF633" s="1" t="str">
        <f t="shared" si="427"/>
        <v>Bonis SpA</v>
      </c>
    </row>
    <row r="634" spans="2:58" x14ac:dyDescent="0.25">
      <c r="B634" s="1">
        <v>2503</v>
      </c>
      <c r="C634" s="1" t="str">
        <f>"VAIAN4209S7/G1"</f>
        <v>VAIAN4209S7/G1</v>
      </c>
      <c r="E634" s="1" t="str">
        <f>"43"</f>
        <v>43</v>
      </c>
      <c r="F634" s="1" t="str">
        <f t="shared" si="416"/>
        <v>BONIS SPA</v>
      </c>
      <c r="G634" s="1" t="str">
        <f t="shared" si="451"/>
        <v>STOCK SCAFFALE MP</v>
      </c>
      <c r="H634" s="1" t="str">
        <f>"MILG"</f>
        <v>MILG</v>
      </c>
      <c r="K634" s="1">
        <v>3</v>
      </c>
      <c r="L634" s="1" t="str">
        <f t="shared" si="417"/>
        <v>01</v>
      </c>
      <c r="M634" s="1" t="str">
        <f t="shared" si="452"/>
        <v>408</v>
      </c>
      <c r="N634" s="1" t="str">
        <f>"016"</f>
        <v>016</v>
      </c>
      <c r="O634" s="1" t="str">
        <f t="shared" si="418"/>
        <v>00</v>
      </c>
      <c r="P634" s="1" t="str">
        <f t="shared" si="419"/>
        <v>S</v>
      </c>
      <c r="Q634" s="1" t="str">
        <f t="shared" si="420"/>
        <v>P</v>
      </c>
      <c r="R634" s="1" t="str">
        <f t="shared" si="421"/>
        <v>01</v>
      </c>
      <c r="S634" s="1" t="str">
        <f t="shared" si="453"/>
        <v>04</v>
      </c>
      <c r="T634" s="1" t="str">
        <f t="shared" si="422"/>
        <v>False</v>
      </c>
      <c r="U634" s="1" t="str">
        <f t="shared" si="423"/>
        <v>True</v>
      </c>
      <c r="V634" s="1" t="str">
        <f>"U0031327"</f>
        <v>U0031327</v>
      </c>
      <c r="W634" s="1">
        <v>1</v>
      </c>
      <c r="Y634" s="1">
        <v>0</v>
      </c>
      <c r="Z634" s="1">
        <v>0</v>
      </c>
      <c r="AI634" s="1" t="str">
        <f>"F11"</f>
        <v>F11</v>
      </c>
      <c r="AJ634" s="1" t="str">
        <f>"UNISEX"</f>
        <v>UNISEX</v>
      </c>
      <c r="AK634" s="1" t="str">
        <f t="shared" si="424"/>
        <v>PA</v>
      </c>
      <c r="AP634" s="1" t="str">
        <f t="shared" si="425"/>
        <v>False</v>
      </c>
      <c r="AR634" s="1" t="str">
        <f>"VAIAN"</f>
        <v>VAIAN</v>
      </c>
      <c r="AY634" s="1" t="str">
        <f t="shared" si="426"/>
        <v>PF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 t="str">
        <f>"TOMAIA GOMMA"</f>
        <v>TOMAIA GOMMA</v>
      </c>
      <c r="BF634" s="1" t="str">
        <f t="shared" si="427"/>
        <v>Bonis SpA</v>
      </c>
    </row>
    <row r="635" spans="2:58" x14ac:dyDescent="0.25">
      <c r="B635" s="1">
        <v>2512</v>
      </c>
      <c r="C635" s="1" t="str">
        <f>"GALAD4185S7/CY1"</f>
        <v>GALAD4185S7/CY1</v>
      </c>
      <c r="E635" s="1" t="str">
        <f>"37"</f>
        <v>37</v>
      </c>
      <c r="F635" s="1" t="str">
        <f t="shared" si="416"/>
        <v>BONIS SPA</v>
      </c>
      <c r="G635" s="1" t="str">
        <f t="shared" si="451"/>
        <v>STOCK SCAFFALE MP</v>
      </c>
      <c r="H635" s="1" t="str">
        <f>"DKBL"</f>
        <v>DKBL</v>
      </c>
      <c r="K635" s="1">
        <v>2</v>
      </c>
      <c r="L635" s="1" t="str">
        <f t="shared" si="417"/>
        <v>01</v>
      </c>
      <c r="M635" s="1" t="str">
        <f t="shared" si="452"/>
        <v>408</v>
      </c>
      <c r="N635" s="1" t="str">
        <f t="shared" ref="N635:N647" si="454">"019"</f>
        <v>019</v>
      </c>
      <c r="O635" s="1" t="str">
        <f t="shared" si="418"/>
        <v>00</v>
      </c>
      <c r="P635" s="1" t="str">
        <f t="shared" si="419"/>
        <v>S</v>
      </c>
      <c r="Q635" s="1" t="str">
        <f t="shared" si="420"/>
        <v>P</v>
      </c>
      <c r="R635" s="1" t="str">
        <f t="shared" si="421"/>
        <v>01</v>
      </c>
      <c r="S635" s="1" t="str">
        <f t="shared" si="453"/>
        <v>04</v>
      </c>
      <c r="T635" s="1" t="str">
        <f t="shared" si="422"/>
        <v>False</v>
      </c>
      <c r="U635" s="1" t="str">
        <f t="shared" si="423"/>
        <v>True</v>
      </c>
      <c r="V635" s="1" t="str">
        <f>"U0032408"</f>
        <v>U0032408</v>
      </c>
      <c r="W635" s="1">
        <v>1</v>
      </c>
      <c r="Y635" s="1">
        <v>0</v>
      </c>
      <c r="Z635" s="1">
        <v>0</v>
      </c>
      <c r="AB635" s="1" t="str">
        <f t="shared" ref="AB635:AB656" si="455">"SMU"</f>
        <v>SMU</v>
      </c>
      <c r="AI635" s="1" t="str">
        <f>"F11"</f>
        <v>F11</v>
      </c>
      <c r="AJ635" s="1" t="str">
        <f>"WOMAN"</f>
        <v>WOMAN</v>
      </c>
      <c r="AK635" s="1" t="str">
        <f t="shared" si="424"/>
        <v>PA</v>
      </c>
      <c r="AP635" s="1" t="str">
        <f t="shared" si="425"/>
        <v>False</v>
      </c>
      <c r="AR635" s="1" t="str">
        <f>"GALAD"</f>
        <v>GALAD</v>
      </c>
      <c r="AY635" s="1" t="str">
        <f t="shared" si="426"/>
        <v>PF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 t="str">
        <f>"D GOMMA D.H.TWILL CANVAS+SINT."</f>
        <v>D GOMMA D.H.TWILL CANVAS+SINT.</v>
      </c>
      <c r="BF635" s="1" t="str">
        <f t="shared" si="427"/>
        <v>Bonis SpA</v>
      </c>
    </row>
    <row r="636" spans="2:58" x14ac:dyDescent="0.25">
      <c r="B636" s="1">
        <v>2512</v>
      </c>
      <c r="C636" s="1" t="str">
        <f>"GALAD4185S7/CY1"</f>
        <v>GALAD4185S7/CY1</v>
      </c>
      <c r="E636" s="1" t="str">
        <f>"38"</f>
        <v>38</v>
      </c>
      <c r="F636" s="1" t="str">
        <f t="shared" si="416"/>
        <v>BONIS SPA</v>
      </c>
      <c r="G636" s="1" t="str">
        <f t="shared" si="451"/>
        <v>STOCK SCAFFALE MP</v>
      </c>
      <c r="H636" s="1" t="str">
        <f>"DKBL"</f>
        <v>DKBL</v>
      </c>
      <c r="K636" s="1">
        <v>1</v>
      </c>
      <c r="L636" s="1" t="str">
        <f t="shared" si="417"/>
        <v>01</v>
      </c>
      <c r="M636" s="1" t="str">
        <f t="shared" si="452"/>
        <v>408</v>
      </c>
      <c r="N636" s="1" t="str">
        <f t="shared" si="454"/>
        <v>019</v>
      </c>
      <c r="O636" s="1" t="str">
        <f t="shared" si="418"/>
        <v>00</v>
      </c>
      <c r="P636" s="1" t="str">
        <f t="shared" si="419"/>
        <v>S</v>
      </c>
      <c r="Q636" s="1" t="str">
        <f t="shared" si="420"/>
        <v>P</v>
      </c>
      <c r="R636" s="1" t="str">
        <f t="shared" si="421"/>
        <v>01</v>
      </c>
      <c r="S636" s="1" t="str">
        <f t="shared" si="453"/>
        <v>04</v>
      </c>
      <c r="T636" s="1" t="str">
        <f t="shared" si="422"/>
        <v>False</v>
      </c>
      <c r="U636" s="1" t="str">
        <f t="shared" si="423"/>
        <v>True</v>
      </c>
      <c r="V636" s="1" t="str">
        <f>"U0032408"</f>
        <v>U0032408</v>
      </c>
      <c r="W636" s="1">
        <v>1</v>
      </c>
      <c r="Y636" s="1">
        <v>0</v>
      </c>
      <c r="Z636" s="1">
        <v>0</v>
      </c>
      <c r="AB636" s="1" t="str">
        <f t="shared" si="455"/>
        <v>SMU</v>
      </c>
      <c r="AI636" s="1" t="str">
        <f>"F06"</f>
        <v>F06</v>
      </c>
      <c r="AJ636" s="1" t="str">
        <f>"WOMAN"</f>
        <v>WOMAN</v>
      </c>
      <c r="AK636" s="1" t="str">
        <f t="shared" si="424"/>
        <v>PA</v>
      </c>
      <c r="AP636" s="1" t="str">
        <f t="shared" si="425"/>
        <v>False</v>
      </c>
      <c r="AR636" s="1" t="str">
        <f>"GALAD"</f>
        <v>GALAD</v>
      </c>
      <c r="AY636" s="1" t="str">
        <f t="shared" si="426"/>
        <v>PF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 t="str">
        <f>"D GOMMA D.H.TWILL CANVAS+SINT."</f>
        <v>D GOMMA D.H.TWILL CANVAS+SINT.</v>
      </c>
      <c r="BF636" s="1" t="str">
        <f t="shared" si="427"/>
        <v>Bonis SpA</v>
      </c>
    </row>
    <row r="637" spans="2:58" x14ac:dyDescent="0.25">
      <c r="B637" s="1">
        <v>2512</v>
      </c>
      <c r="C637" s="1" t="str">
        <f>"GALAN4183S7/CY1"</f>
        <v>GALAN4183S7/CY1</v>
      </c>
      <c r="E637" s="1" t="str">
        <f>"40"</f>
        <v>40</v>
      </c>
      <c r="F637" s="1" t="str">
        <f t="shared" si="416"/>
        <v>BONIS SPA</v>
      </c>
      <c r="G637" s="1" t="str">
        <f t="shared" si="451"/>
        <v>STOCK SCAFFALE MP</v>
      </c>
      <c r="H637" s="1" t="str">
        <f>"BEI"</f>
        <v>BEI</v>
      </c>
      <c r="K637" s="1">
        <v>1</v>
      </c>
      <c r="L637" s="1" t="str">
        <f t="shared" si="417"/>
        <v>01</v>
      </c>
      <c r="M637" s="1" t="str">
        <f t="shared" si="452"/>
        <v>408</v>
      </c>
      <c r="N637" s="1" t="str">
        <f t="shared" si="454"/>
        <v>019</v>
      </c>
      <c r="O637" s="1" t="str">
        <f t="shared" si="418"/>
        <v>00</v>
      </c>
      <c r="P637" s="1" t="str">
        <f t="shared" si="419"/>
        <v>S</v>
      </c>
      <c r="Q637" s="1" t="str">
        <f t="shared" si="420"/>
        <v>P</v>
      </c>
      <c r="R637" s="1" t="str">
        <f t="shared" si="421"/>
        <v>01</v>
      </c>
      <c r="S637" s="1" t="str">
        <f t="shared" si="453"/>
        <v>04</v>
      </c>
      <c r="T637" s="1" t="str">
        <f t="shared" si="422"/>
        <v>False</v>
      </c>
      <c r="U637" s="1" t="str">
        <f t="shared" si="423"/>
        <v>True</v>
      </c>
      <c r="V637" s="1" t="str">
        <f>"U0032428"</f>
        <v>U0032428</v>
      </c>
      <c r="W637" s="1">
        <v>1</v>
      </c>
      <c r="Y637" s="1">
        <v>0</v>
      </c>
      <c r="Z637" s="1">
        <v>0</v>
      </c>
      <c r="AB637" s="1" t="str">
        <f t="shared" si="455"/>
        <v>SMU</v>
      </c>
      <c r="AI637" s="1" t="str">
        <f>"F11"</f>
        <v>F11</v>
      </c>
      <c r="AJ637" s="1" t="str">
        <f>"MAN"</f>
        <v>MAN</v>
      </c>
      <c r="AK637" s="1" t="str">
        <f t="shared" si="424"/>
        <v>PA</v>
      </c>
      <c r="AP637" s="1" t="str">
        <f t="shared" si="425"/>
        <v>False</v>
      </c>
      <c r="AR637" s="1" t="str">
        <f>"GALAN"</f>
        <v>GALAN</v>
      </c>
      <c r="AY637" s="1" t="str">
        <f t="shared" si="426"/>
        <v>PF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 t="str">
        <f>"LAN+TWILL CANVAS + SIN.LEATHER"</f>
        <v>LAN+TWILL CANVAS + SIN.LEATHER</v>
      </c>
      <c r="BF637" s="1" t="str">
        <f t="shared" si="427"/>
        <v>Bonis SpA</v>
      </c>
    </row>
    <row r="638" spans="2:58" x14ac:dyDescent="0.25">
      <c r="B638" s="1">
        <v>2512</v>
      </c>
      <c r="C638" s="1" t="str">
        <f>"GALAN4183S7/CY1"</f>
        <v>GALAN4183S7/CY1</v>
      </c>
      <c r="E638" s="1" t="str">
        <f>"41"</f>
        <v>41</v>
      </c>
      <c r="F638" s="1" t="str">
        <f t="shared" si="416"/>
        <v>BONIS SPA</v>
      </c>
      <c r="G638" s="1" t="str">
        <f t="shared" si="451"/>
        <v>STOCK SCAFFALE MP</v>
      </c>
      <c r="H638" s="1" t="str">
        <f>"BEI"</f>
        <v>BEI</v>
      </c>
      <c r="K638" s="1">
        <v>1</v>
      </c>
      <c r="L638" s="1" t="str">
        <f t="shared" si="417"/>
        <v>01</v>
      </c>
      <c r="M638" s="1" t="str">
        <f t="shared" si="452"/>
        <v>408</v>
      </c>
      <c r="N638" s="1" t="str">
        <f t="shared" si="454"/>
        <v>019</v>
      </c>
      <c r="O638" s="1" t="str">
        <f t="shared" si="418"/>
        <v>00</v>
      </c>
      <c r="P638" s="1" t="str">
        <f t="shared" si="419"/>
        <v>S</v>
      </c>
      <c r="Q638" s="1" t="str">
        <f t="shared" si="420"/>
        <v>P</v>
      </c>
      <c r="R638" s="1" t="str">
        <f t="shared" si="421"/>
        <v>01</v>
      </c>
      <c r="S638" s="1" t="str">
        <f t="shared" si="453"/>
        <v>04</v>
      </c>
      <c r="T638" s="1" t="str">
        <f t="shared" si="422"/>
        <v>False</v>
      </c>
      <c r="U638" s="1" t="str">
        <f t="shared" si="423"/>
        <v>True</v>
      </c>
      <c r="V638" s="1" t="str">
        <f>"U0032428"</f>
        <v>U0032428</v>
      </c>
      <c r="W638" s="1">
        <v>1</v>
      </c>
      <c r="Y638" s="1">
        <v>0</v>
      </c>
      <c r="Z638" s="1">
        <v>0</v>
      </c>
      <c r="AB638" s="1" t="str">
        <f t="shared" si="455"/>
        <v>SMU</v>
      </c>
      <c r="AI638" s="1" t="str">
        <f>"F06"</f>
        <v>F06</v>
      </c>
      <c r="AJ638" s="1" t="str">
        <f>"MAN"</f>
        <v>MAN</v>
      </c>
      <c r="AK638" s="1" t="str">
        <f t="shared" si="424"/>
        <v>PA</v>
      </c>
      <c r="AP638" s="1" t="str">
        <f t="shared" si="425"/>
        <v>False</v>
      </c>
      <c r="AR638" s="1" t="str">
        <f>"GALAN"</f>
        <v>GALAN</v>
      </c>
      <c r="AY638" s="1" t="str">
        <f t="shared" si="426"/>
        <v>PF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 t="str">
        <f>"LAN+TWILL CANVAS + SIN.LEATHER"</f>
        <v>LAN+TWILL CANVAS + SIN.LEATHER</v>
      </c>
      <c r="BF638" s="1" t="str">
        <f t="shared" si="427"/>
        <v>Bonis SpA</v>
      </c>
    </row>
    <row r="639" spans="2:58" x14ac:dyDescent="0.25">
      <c r="B639" s="1">
        <v>2512</v>
      </c>
      <c r="C639" s="1" t="str">
        <f>"GALAN4183S7/CY1"</f>
        <v>GALAN4183S7/CY1</v>
      </c>
      <c r="E639" s="1" t="str">
        <f>"43"</f>
        <v>43</v>
      </c>
      <c r="F639" s="1" t="str">
        <f t="shared" si="416"/>
        <v>BONIS SPA</v>
      </c>
      <c r="G639" s="1" t="str">
        <f t="shared" si="451"/>
        <v>STOCK SCAFFALE MP</v>
      </c>
      <c r="H639" s="1" t="str">
        <f>"BEI"</f>
        <v>BEI</v>
      </c>
      <c r="K639" s="1">
        <v>2</v>
      </c>
      <c r="L639" s="1" t="str">
        <f t="shared" si="417"/>
        <v>01</v>
      </c>
      <c r="M639" s="1" t="str">
        <f t="shared" si="452"/>
        <v>408</v>
      </c>
      <c r="N639" s="1" t="str">
        <f t="shared" si="454"/>
        <v>019</v>
      </c>
      <c r="O639" s="1" t="str">
        <f t="shared" si="418"/>
        <v>00</v>
      </c>
      <c r="P639" s="1" t="str">
        <f t="shared" si="419"/>
        <v>S</v>
      </c>
      <c r="Q639" s="1" t="str">
        <f t="shared" si="420"/>
        <v>P</v>
      </c>
      <c r="R639" s="1" t="str">
        <f t="shared" si="421"/>
        <v>01</v>
      </c>
      <c r="S639" s="1" t="str">
        <f t="shared" si="453"/>
        <v>04</v>
      </c>
      <c r="T639" s="1" t="str">
        <f t="shared" si="422"/>
        <v>False</v>
      </c>
      <c r="U639" s="1" t="str">
        <f t="shared" si="423"/>
        <v>True</v>
      </c>
      <c r="V639" s="1" t="str">
        <f>"U0032428"</f>
        <v>U0032428</v>
      </c>
      <c r="W639" s="1">
        <v>1</v>
      </c>
      <c r="Y639" s="1">
        <v>0</v>
      </c>
      <c r="Z639" s="1">
        <v>0</v>
      </c>
      <c r="AB639" s="1" t="str">
        <f t="shared" si="455"/>
        <v>SMU</v>
      </c>
      <c r="AI639" s="1" t="str">
        <f>"F06"</f>
        <v>F06</v>
      </c>
      <c r="AJ639" s="1" t="str">
        <f>"MAN"</f>
        <v>MAN</v>
      </c>
      <c r="AK639" s="1" t="str">
        <f t="shared" si="424"/>
        <v>PA</v>
      </c>
      <c r="AP639" s="1" t="str">
        <f t="shared" si="425"/>
        <v>False</v>
      </c>
      <c r="AR639" s="1" t="str">
        <f>"GALAN"</f>
        <v>GALAN</v>
      </c>
      <c r="AY639" s="1" t="str">
        <f t="shared" si="426"/>
        <v>PF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 t="str">
        <f>"LAN+TWILL CANVAS + SIN.LEATHER"</f>
        <v>LAN+TWILL CANVAS + SIN.LEATHER</v>
      </c>
      <c r="BF639" s="1" t="str">
        <f t="shared" si="427"/>
        <v>Bonis SpA</v>
      </c>
    </row>
    <row r="640" spans="2:58" x14ac:dyDescent="0.25">
      <c r="B640" s="1">
        <v>2512</v>
      </c>
      <c r="C640" s="1" t="str">
        <f>"GALAN4183S7/CY1"</f>
        <v>GALAN4183S7/CY1</v>
      </c>
      <c r="E640" s="1" t="str">
        <f>"42"</f>
        <v>42</v>
      </c>
      <c r="F640" s="1" t="str">
        <f t="shared" si="416"/>
        <v>BONIS SPA</v>
      </c>
      <c r="G640" s="1" t="str">
        <f t="shared" si="451"/>
        <v>STOCK SCAFFALE MP</v>
      </c>
      <c r="H640" s="1" t="str">
        <f>"BEI"</f>
        <v>BEI</v>
      </c>
      <c r="K640" s="1">
        <v>2</v>
      </c>
      <c r="L640" s="1" t="str">
        <f t="shared" si="417"/>
        <v>01</v>
      </c>
      <c r="M640" s="1" t="str">
        <f t="shared" si="452"/>
        <v>408</v>
      </c>
      <c r="N640" s="1" t="str">
        <f t="shared" si="454"/>
        <v>019</v>
      </c>
      <c r="O640" s="1" t="str">
        <f t="shared" si="418"/>
        <v>00</v>
      </c>
      <c r="P640" s="1" t="str">
        <f t="shared" si="419"/>
        <v>S</v>
      </c>
      <c r="Q640" s="1" t="str">
        <f t="shared" si="420"/>
        <v>P</v>
      </c>
      <c r="R640" s="1" t="str">
        <f t="shared" si="421"/>
        <v>01</v>
      </c>
      <c r="S640" s="1" t="str">
        <f t="shared" si="453"/>
        <v>04</v>
      </c>
      <c r="T640" s="1" t="str">
        <f t="shared" si="422"/>
        <v>False</v>
      </c>
      <c r="U640" s="1" t="str">
        <f t="shared" si="423"/>
        <v>True</v>
      </c>
      <c r="V640" s="1" t="str">
        <f>"U0032428"</f>
        <v>U0032428</v>
      </c>
      <c r="W640" s="1">
        <v>1</v>
      </c>
      <c r="Y640" s="1">
        <v>0</v>
      </c>
      <c r="Z640" s="1">
        <v>0</v>
      </c>
      <c r="AB640" s="1" t="str">
        <f t="shared" si="455"/>
        <v>SMU</v>
      </c>
      <c r="AI640" s="1" t="str">
        <f>"F06"</f>
        <v>F06</v>
      </c>
      <c r="AJ640" s="1" t="str">
        <f>"MAN"</f>
        <v>MAN</v>
      </c>
      <c r="AK640" s="1" t="str">
        <f t="shared" si="424"/>
        <v>PA</v>
      </c>
      <c r="AP640" s="1" t="str">
        <f t="shared" si="425"/>
        <v>False</v>
      </c>
      <c r="AR640" s="1" t="str">
        <f>"GALAN"</f>
        <v>GALAN</v>
      </c>
      <c r="AY640" s="1" t="str">
        <f t="shared" si="426"/>
        <v>PF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 t="str">
        <f>"LAN+TWILL CANVAS + SIN.LEATHER"</f>
        <v>LAN+TWILL CANVAS + SIN.LEATHER</v>
      </c>
      <c r="BF640" s="1" t="str">
        <f t="shared" si="427"/>
        <v>Bonis SpA</v>
      </c>
    </row>
    <row r="641" spans="2:58" x14ac:dyDescent="0.25">
      <c r="B641" s="1">
        <v>2512</v>
      </c>
      <c r="C641" s="1" t="str">
        <f>"GALAN4183S7/CY1"</f>
        <v>GALAN4183S7/CY1</v>
      </c>
      <c r="E641" s="1" t="str">
        <f>"44"</f>
        <v>44</v>
      </c>
      <c r="F641" s="1" t="str">
        <f t="shared" si="416"/>
        <v>BONIS SPA</v>
      </c>
      <c r="G641" s="1" t="str">
        <f t="shared" si="451"/>
        <v>STOCK SCAFFALE MP</v>
      </c>
      <c r="H641" s="1" t="str">
        <f>"BEI"</f>
        <v>BEI</v>
      </c>
      <c r="K641" s="1">
        <v>2</v>
      </c>
      <c r="L641" s="1" t="str">
        <f t="shared" si="417"/>
        <v>01</v>
      </c>
      <c r="M641" s="1" t="str">
        <f t="shared" si="452"/>
        <v>408</v>
      </c>
      <c r="N641" s="1" t="str">
        <f t="shared" si="454"/>
        <v>019</v>
      </c>
      <c r="O641" s="1" t="str">
        <f t="shared" si="418"/>
        <v>00</v>
      </c>
      <c r="P641" s="1" t="str">
        <f t="shared" si="419"/>
        <v>S</v>
      </c>
      <c r="Q641" s="1" t="str">
        <f t="shared" si="420"/>
        <v>P</v>
      </c>
      <c r="R641" s="1" t="str">
        <f t="shared" si="421"/>
        <v>01</v>
      </c>
      <c r="S641" s="1" t="str">
        <f t="shared" si="453"/>
        <v>04</v>
      </c>
      <c r="T641" s="1" t="str">
        <f t="shared" si="422"/>
        <v>False</v>
      </c>
      <c r="U641" s="1" t="str">
        <f t="shared" si="423"/>
        <v>True</v>
      </c>
      <c r="V641" s="1" t="str">
        <f>"U0032408"</f>
        <v>U0032408</v>
      </c>
      <c r="W641" s="1">
        <v>1</v>
      </c>
      <c r="Y641" s="1">
        <v>0</v>
      </c>
      <c r="Z641" s="1">
        <v>0</v>
      </c>
      <c r="AB641" s="1" t="str">
        <f t="shared" si="455"/>
        <v>SMU</v>
      </c>
      <c r="AI641" s="1" t="str">
        <f>"106"</f>
        <v>106</v>
      </c>
      <c r="AJ641" s="1" t="str">
        <f>"MAN"</f>
        <v>MAN</v>
      </c>
      <c r="AK641" s="1" t="str">
        <f t="shared" si="424"/>
        <v>PA</v>
      </c>
      <c r="AP641" s="1" t="str">
        <f t="shared" si="425"/>
        <v>False</v>
      </c>
      <c r="AR641" s="1" t="str">
        <f>"GALAN"</f>
        <v>GALAN</v>
      </c>
      <c r="AY641" s="1" t="str">
        <f t="shared" si="426"/>
        <v>PF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 t="str">
        <f>"LAN+TWILL CANVAS + SIN.LEATHER"</f>
        <v>LAN+TWILL CANVAS + SIN.LEATHER</v>
      </c>
      <c r="BF641" s="1" t="str">
        <f t="shared" si="427"/>
        <v>Bonis SpA</v>
      </c>
    </row>
    <row r="642" spans="2:58" x14ac:dyDescent="0.25">
      <c r="B642" s="1">
        <v>2512</v>
      </c>
      <c r="C642" s="1" t="str">
        <f>"DYON4191S7/C1"</f>
        <v>DYON4191S7/C1</v>
      </c>
      <c r="E642" s="1" t="str">
        <f>"39"</f>
        <v>39</v>
      </c>
      <c r="F642" s="1" t="str">
        <f t="shared" ref="F642:F705" si="456">"BONIS SPA"</f>
        <v>BONIS SPA</v>
      </c>
      <c r="G642" s="1" t="str">
        <f t="shared" si="451"/>
        <v>STOCK SCAFFALE MP</v>
      </c>
      <c r="H642" s="1" t="str">
        <f>"DKBL"</f>
        <v>DKBL</v>
      </c>
      <c r="K642" s="1">
        <v>1</v>
      </c>
      <c r="L642" s="1" t="str">
        <f t="shared" ref="L642:L705" si="457">"01"</f>
        <v>01</v>
      </c>
      <c r="M642" s="1" t="str">
        <f t="shared" si="452"/>
        <v>408</v>
      </c>
      <c r="N642" s="1" t="str">
        <f t="shared" si="454"/>
        <v>019</v>
      </c>
      <c r="O642" s="1" t="str">
        <f t="shared" ref="O642:O705" si="458">"00"</f>
        <v>00</v>
      </c>
      <c r="P642" s="1" t="str">
        <f t="shared" ref="P642:P705" si="459">"S"</f>
        <v>S</v>
      </c>
      <c r="Q642" s="1" t="str">
        <f t="shared" ref="Q642:Q705" si="460">"P"</f>
        <v>P</v>
      </c>
      <c r="R642" s="1" t="str">
        <f t="shared" ref="R642:R705" si="461">"01"</f>
        <v>01</v>
      </c>
      <c r="S642" s="1" t="str">
        <f t="shared" si="453"/>
        <v>04</v>
      </c>
      <c r="T642" s="1" t="str">
        <f t="shared" ref="T642:T705" si="462">"False"</f>
        <v>False</v>
      </c>
      <c r="U642" s="1" t="str">
        <f t="shared" ref="U642:U705" si="463">"True"</f>
        <v>True</v>
      </c>
      <c r="V642" s="1" t="str">
        <f>"U0032408"</f>
        <v>U0032408</v>
      </c>
      <c r="W642" s="1">
        <v>1</v>
      </c>
      <c r="Y642" s="1">
        <v>0</v>
      </c>
      <c r="Z642" s="1">
        <v>0</v>
      </c>
      <c r="AB642" s="1" t="str">
        <f t="shared" si="455"/>
        <v>SMU</v>
      </c>
      <c r="AI642" s="1" t="str">
        <f>"F06"</f>
        <v>F06</v>
      </c>
      <c r="AJ642" s="1" t="str">
        <f t="shared" ref="AJ642:AJ673" si="464">"WOMAN"</f>
        <v>WOMAN</v>
      </c>
      <c r="AK642" s="1" t="str">
        <f t="shared" ref="AK642:AK705" si="465">"PA"</f>
        <v>PA</v>
      </c>
      <c r="AP642" s="1" t="str">
        <f t="shared" ref="AP642:AP705" si="466">"False"</f>
        <v>False</v>
      </c>
      <c r="AR642" s="1" t="str">
        <f>"DYON"</f>
        <v>DYON</v>
      </c>
      <c r="AY642" s="1" t="str">
        <f t="shared" ref="AY642:AY705" si="467">"PF"</f>
        <v>PF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 t="str">
        <f>"YON GOMMA TWILL CANVAS"</f>
        <v>YON GOMMA TWILL CANVAS</v>
      </c>
      <c r="BF642" s="1" t="str">
        <f t="shared" ref="BF642:BF705" si="468">"Bonis SpA"</f>
        <v>Bonis SpA</v>
      </c>
    </row>
    <row r="643" spans="2:58" x14ac:dyDescent="0.25">
      <c r="B643" s="1">
        <v>2512</v>
      </c>
      <c r="C643" s="1" t="str">
        <f>"DYON4190S7/C1"</f>
        <v>DYON4190S7/C1</v>
      </c>
      <c r="E643" s="1" t="str">
        <f>"38"</f>
        <v>38</v>
      </c>
      <c r="F643" s="1" t="str">
        <f t="shared" si="456"/>
        <v>BONIS SPA</v>
      </c>
      <c r="G643" s="1" t="str">
        <f t="shared" si="451"/>
        <v>STOCK SCAFFALE MP</v>
      </c>
      <c r="H643" s="1" t="str">
        <f>"DKBL"</f>
        <v>DKBL</v>
      </c>
      <c r="K643" s="1">
        <v>1</v>
      </c>
      <c r="L643" s="1" t="str">
        <f t="shared" si="457"/>
        <v>01</v>
      </c>
      <c r="M643" s="1" t="str">
        <f t="shared" si="452"/>
        <v>408</v>
      </c>
      <c r="N643" s="1" t="str">
        <f t="shared" si="454"/>
        <v>019</v>
      </c>
      <c r="O643" s="1" t="str">
        <f t="shared" si="458"/>
        <v>00</v>
      </c>
      <c r="P643" s="1" t="str">
        <f t="shared" si="459"/>
        <v>S</v>
      </c>
      <c r="Q643" s="1" t="str">
        <f t="shared" si="460"/>
        <v>P</v>
      </c>
      <c r="R643" s="1" t="str">
        <f t="shared" si="461"/>
        <v>01</v>
      </c>
      <c r="S643" s="1" t="str">
        <f t="shared" si="453"/>
        <v>04</v>
      </c>
      <c r="T643" s="1" t="str">
        <f t="shared" si="462"/>
        <v>False</v>
      </c>
      <c r="U643" s="1" t="str">
        <f t="shared" si="463"/>
        <v>True</v>
      </c>
      <c r="V643" s="1" t="str">
        <f>"U0032408"</f>
        <v>U0032408</v>
      </c>
      <c r="W643" s="1">
        <v>1</v>
      </c>
      <c r="Y643" s="1">
        <v>0</v>
      </c>
      <c r="Z643" s="1">
        <v>0</v>
      </c>
      <c r="AB643" s="1" t="str">
        <f t="shared" si="455"/>
        <v>SMU</v>
      </c>
      <c r="AI643" s="1" t="str">
        <f>"F06"</f>
        <v>F06</v>
      </c>
      <c r="AJ643" s="1" t="str">
        <f t="shared" si="464"/>
        <v>WOMAN</v>
      </c>
      <c r="AK643" s="1" t="str">
        <f t="shared" si="465"/>
        <v>PA</v>
      </c>
      <c r="AP643" s="1" t="str">
        <f t="shared" si="466"/>
        <v>False</v>
      </c>
      <c r="AR643" s="1" t="str">
        <f>"DYON"</f>
        <v>DYON</v>
      </c>
      <c r="AY643" s="1" t="str">
        <f t="shared" si="467"/>
        <v>PF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 t="str">
        <f>"ION GOMMA TWILL CANVAS"</f>
        <v>ION GOMMA TWILL CANVAS</v>
      </c>
      <c r="BF643" s="1" t="str">
        <f t="shared" si="468"/>
        <v>Bonis SpA</v>
      </c>
    </row>
    <row r="644" spans="2:58" x14ac:dyDescent="0.25">
      <c r="B644" s="1">
        <v>2512</v>
      </c>
      <c r="C644" s="1" t="str">
        <f>"GALAD4185S7/CY1"</f>
        <v>GALAD4185S7/CY1</v>
      </c>
      <c r="E644" s="1" t="str">
        <f>"37"</f>
        <v>37</v>
      </c>
      <c r="F644" s="1" t="str">
        <f t="shared" si="456"/>
        <v>BONIS SPA</v>
      </c>
      <c r="G644" s="1" t="str">
        <f t="shared" si="451"/>
        <v>STOCK SCAFFALE MP</v>
      </c>
      <c r="H644" s="1" t="str">
        <f>"BLK"</f>
        <v>BLK</v>
      </c>
      <c r="K644" s="1">
        <v>2</v>
      </c>
      <c r="L644" s="1" t="str">
        <f t="shared" si="457"/>
        <v>01</v>
      </c>
      <c r="M644" s="1" t="str">
        <f t="shared" si="452"/>
        <v>408</v>
      </c>
      <c r="N644" s="1" t="str">
        <f t="shared" si="454"/>
        <v>019</v>
      </c>
      <c r="O644" s="1" t="str">
        <f t="shared" si="458"/>
        <v>00</v>
      </c>
      <c r="P644" s="1" t="str">
        <f t="shared" si="459"/>
        <v>S</v>
      </c>
      <c r="Q644" s="1" t="str">
        <f t="shared" si="460"/>
        <v>P</v>
      </c>
      <c r="R644" s="1" t="str">
        <f t="shared" si="461"/>
        <v>01</v>
      </c>
      <c r="S644" s="1" t="str">
        <f t="shared" si="453"/>
        <v>04</v>
      </c>
      <c r="T644" s="1" t="str">
        <f t="shared" si="462"/>
        <v>False</v>
      </c>
      <c r="U644" s="1" t="str">
        <f t="shared" si="463"/>
        <v>True</v>
      </c>
      <c r="V644" s="1" t="str">
        <f>"U0032408"</f>
        <v>U0032408</v>
      </c>
      <c r="W644" s="1">
        <v>1</v>
      </c>
      <c r="Y644" s="1">
        <v>0</v>
      </c>
      <c r="Z644" s="1">
        <v>0</v>
      </c>
      <c r="AB644" s="1" t="str">
        <f t="shared" si="455"/>
        <v>SMU</v>
      </c>
      <c r="AI644" s="1" t="str">
        <f>"F06"</f>
        <v>F06</v>
      </c>
      <c r="AJ644" s="1" t="str">
        <f t="shared" si="464"/>
        <v>WOMAN</v>
      </c>
      <c r="AK644" s="1" t="str">
        <f t="shared" si="465"/>
        <v>PA</v>
      </c>
      <c r="AP644" s="1" t="str">
        <f t="shared" si="466"/>
        <v>False</v>
      </c>
      <c r="AR644" s="1" t="str">
        <f>"GALAD"</f>
        <v>GALAD</v>
      </c>
      <c r="AY644" s="1" t="str">
        <f t="shared" si="467"/>
        <v>PF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 t="str">
        <f>"D GOMMA D.H.TWILL CANVAS+SINT."</f>
        <v>D GOMMA D.H.TWILL CANVAS+SINT.</v>
      </c>
      <c r="BF644" s="1" t="str">
        <f t="shared" si="468"/>
        <v>Bonis SpA</v>
      </c>
    </row>
    <row r="645" spans="2:58" x14ac:dyDescent="0.25">
      <c r="B645" s="1">
        <v>2512</v>
      </c>
      <c r="C645" s="1" t="str">
        <f>"GALAD4185S7/CY1"</f>
        <v>GALAD4185S7/CY1</v>
      </c>
      <c r="E645" s="1" t="str">
        <f>"40"</f>
        <v>40</v>
      </c>
      <c r="F645" s="1" t="str">
        <f t="shared" si="456"/>
        <v>BONIS SPA</v>
      </c>
      <c r="G645" s="1" t="str">
        <f t="shared" si="451"/>
        <v>STOCK SCAFFALE MP</v>
      </c>
      <c r="H645" s="1" t="str">
        <f>"BLK"</f>
        <v>BLK</v>
      </c>
      <c r="K645" s="1">
        <v>1</v>
      </c>
      <c r="L645" s="1" t="str">
        <f t="shared" si="457"/>
        <v>01</v>
      </c>
      <c r="M645" s="1" t="str">
        <f t="shared" si="452"/>
        <v>408</v>
      </c>
      <c r="N645" s="1" t="str">
        <f t="shared" si="454"/>
        <v>019</v>
      </c>
      <c r="O645" s="1" t="str">
        <f t="shared" si="458"/>
        <v>00</v>
      </c>
      <c r="P645" s="1" t="str">
        <f t="shared" si="459"/>
        <v>S</v>
      </c>
      <c r="Q645" s="1" t="str">
        <f t="shared" si="460"/>
        <v>P</v>
      </c>
      <c r="R645" s="1" t="str">
        <f t="shared" si="461"/>
        <v>01</v>
      </c>
      <c r="S645" s="1" t="str">
        <f t="shared" si="453"/>
        <v>04</v>
      </c>
      <c r="T645" s="1" t="str">
        <f t="shared" si="462"/>
        <v>False</v>
      </c>
      <c r="U645" s="1" t="str">
        <f t="shared" si="463"/>
        <v>True</v>
      </c>
      <c r="V645" s="1" t="str">
        <f>"U0032408"</f>
        <v>U0032408</v>
      </c>
      <c r="W645" s="1">
        <v>1</v>
      </c>
      <c r="Y645" s="1">
        <v>0</v>
      </c>
      <c r="Z645" s="1">
        <v>0</v>
      </c>
      <c r="AB645" s="1" t="str">
        <f t="shared" si="455"/>
        <v>SMU</v>
      </c>
      <c r="AI645" s="1" t="str">
        <f>"F06"</f>
        <v>F06</v>
      </c>
      <c r="AJ645" s="1" t="str">
        <f t="shared" si="464"/>
        <v>WOMAN</v>
      </c>
      <c r="AK645" s="1" t="str">
        <f t="shared" si="465"/>
        <v>PA</v>
      </c>
      <c r="AP645" s="1" t="str">
        <f t="shared" si="466"/>
        <v>False</v>
      </c>
      <c r="AR645" s="1" t="str">
        <f>"GALAD"</f>
        <v>GALAD</v>
      </c>
      <c r="AY645" s="1" t="str">
        <f t="shared" si="467"/>
        <v>PF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 t="str">
        <f>"D GOMMA D.H.TWILL CANVAS+SINT."</f>
        <v>D GOMMA D.H.TWILL CANVAS+SINT.</v>
      </c>
      <c r="BF645" s="1" t="str">
        <f t="shared" si="468"/>
        <v>Bonis SpA</v>
      </c>
    </row>
    <row r="646" spans="2:58" x14ac:dyDescent="0.25">
      <c r="B646" s="1">
        <v>2512</v>
      </c>
      <c r="C646" s="1" t="str">
        <f>"DYON4191S7/C1"</f>
        <v>DYON4191S7/C1</v>
      </c>
      <c r="E646" s="1" t="str">
        <f>"37"</f>
        <v>37</v>
      </c>
      <c r="F646" s="1" t="str">
        <f t="shared" si="456"/>
        <v>BONIS SPA</v>
      </c>
      <c r="G646" s="1" t="str">
        <f t="shared" si="451"/>
        <v>STOCK SCAFFALE MP</v>
      </c>
      <c r="H646" s="1" t="str">
        <f>"FUX"</f>
        <v>FUX</v>
      </c>
      <c r="K646" s="1">
        <v>2</v>
      </c>
      <c r="L646" s="1" t="str">
        <f t="shared" si="457"/>
        <v>01</v>
      </c>
      <c r="M646" s="1" t="str">
        <f t="shared" si="452"/>
        <v>408</v>
      </c>
      <c r="N646" s="1" t="str">
        <f t="shared" si="454"/>
        <v>019</v>
      </c>
      <c r="O646" s="1" t="str">
        <f t="shared" si="458"/>
        <v>00</v>
      </c>
      <c r="P646" s="1" t="str">
        <f t="shared" si="459"/>
        <v>S</v>
      </c>
      <c r="Q646" s="1" t="str">
        <f t="shared" si="460"/>
        <v>P</v>
      </c>
      <c r="R646" s="1" t="str">
        <f t="shared" si="461"/>
        <v>01</v>
      </c>
      <c r="S646" s="1" t="str">
        <f t="shared" si="453"/>
        <v>04</v>
      </c>
      <c r="T646" s="1" t="str">
        <f t="shared" si="462"/>
        <v>False</v>
      </c>
      <c r="U646" s="1" t="str">
        <f t="shared" si="463"/>
        <v>True</v>
      </c>
      <c r="V646" s="1" t="str">
        <f>"U0032428"</f>
        <v>U0032428</v>
      </c>
      <c r="W646" s="1">
        <v>1</v>
      </c>
      <c r="Y646" s="1">
        <v>0</v>
      </c>
      <c r="Z646" s="1">
        <v>0</v>
      </c>
      <c r="AB646" s="1" t="str">
        <f t="shared" si="455"/>
        <v>SMU</v>
      </c>
      <c r="AI646" s="1" t="str">
        <f>"106"</f>
        <v>106</v>
      </c>
      <c r="AJ646" s="1" t="str">
        <f t="shared" si="464"/>
        <v>WOMAN</v>
      </c>
      <c r="AK646" s="1" t="str">
        <f t="shared" si="465"/>
        <v>PA</v>
      </c>
      <c r="AP646" s="1" t="str">
        <f t="shared" si="466"/>
        <v>False</v>
      </c>
      <c r="AR646" s="1" t="str">
        <f>"DYON"</f>
        <v>DYON</v>
      </c>
      <c r="AY646" s="1" t="str">
        <f t="shared" si="467"/>
        <v>PF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 t="str">
        <f>"YON GOMMA TWILL CANVAS"</f>
        <v>YON GOMMA TWILL CANVAS</v>
      </c>
      <c r="BF646" s="1" t="str">
        <f t="shared" si="468"/>
        <v>Bonis SpA</v>
      </c>
    </row>
    <row r="647" spans="2:58" x14ac:dyDescent="0.25">
      <c r="B647" s="1">
        <v>2512</v>
      </c>
      <c r="C647" s="1" t="str">
        <f>"DYON4191S7/C1"</f>
        <v>DYON4191S7/C1</v>
      </c>
      <c r="E647" s="1" t="str">
        <f>"40"</f>
        <v>40</v>
      </c>
      <c r="F647" s="1" t="str">
        <f t="shared" si="456"/>
        <v>BONIS SPA</v>
      </c>
      <c r="G647" s="1" t="str">
        <f t="shared" si="451"/>
        <v>STOCK SCAFFALE MP</v>
      </c>
      <c r="H647" s="1" t="str">
        <f>"FUX"</f>
        <v>FUX</v>
      </c>
      <c r="K647" s="1">
        <v>2</v>
      </c>
      <c r="L647" s="1" t="str">
        <f t="shared" si="457"/>
        <v>01</v>
      </c>
      <c r="M647" s="1" t="str">
        <f t="shared" si="452"/>
        <v>408</v>
      </c>
      <c r="N647" s="1" t="str">
        <f t="shared" si="454"/>
        <v>019</v>
      </c>
      <c r="O647" s="1" t="str">
        <f t="shared" si="458"/>
        <v>00</v>
      </c>
      <c r="P647" s="1" t="str">
        <f t="shared" si="459"/>
        <v>S</v>
      </c>
      <c r="Q647" s="1" t="str">
        <f t="shared" si="460"/>
        <v>P</v>
      </c>
      <c r="R647" s="1" t="str">
        <f t="shared" si="461"/>
        <v>01</v>
      </c>
      <c r="S647" s="1" t="str">
        <f t="shared" si="453"/>
        <v>04</v>
      </c>
      <c r="T647" s="1" t="str">
        <f t="shared" si="462"/>
        <v>False</v>
      </c>
      <c r="U647" s="1" t="str">
        <f t="shared" si="463"/>
        <v>True</v>
      </c>
      <c r="V647" s="1" t="str">
        <f>"U0032428"</f>
        <v>U0032428</v>
      </c>
      <c r="W647" s="1">
        <v>1</v>
      </c>
      <c r="Y647" s="1">
        <v>0</v>
      </c>
      <c r="Z647" s="1">
        <v>0</v>
      </c>
      <c r="AB647" s="1" t="str">
        <f t="shared" si="455"/>
        <v>SMU</v>
      </c>
      <c r="AI647" s="1" t="str">
        <f>"106"</f>
        <v>106</v>
      </c>
      <c r="AJ647" s="1" t="str">
        <f t="shared" si="464"/>
        <v>WOMAN</v>
      </c>
      <c r="AK647" s="1" t="str">
        <f t="shared" si="465"/>
        <v>PA</v>
      </c>
      <c r="AP647" s="1" t="str">
        <f t="shared" si="466"/>
        <v>False</v>
      </c>
      <c r="AR647" s="1" t="str">
        <f>"DYON"</f>
        <v>DYON</v>
      </c>
      <c r="AY647" s="1" t="str">
        <f t="shared" si="467"/>
        <v>PF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 t="str">
        <f>"YON GOMMA TWILL CANVAS"</f>
        <v>YON GOMMA TWILL CANVAS</v>
      </c>
      <c r="BF647" s="1" t="str">
        <f t="shared" si="468"/>
        <v>Bonis SpA</v>
      </c>
    </row>
    <row r="648" spans="2:58" x14ac:dyDescent="0.25">
      <c r="B648" s="1">
        <v>2485</v>
      </c>
      <c r="C648" s="1" t="str">
        <f>"DYON4191S7/C1"</f>
        <v>DYON4191S7/C1</v>
      </c>
      <c r="E648" s="1" t="str">
        <f>"37"</f>
        <v>37</v>
      </c>
      <c r="F648" s="1" t="str">
        <f t="shared" si="456"/>
        <v>BONIS SPA</v>
      </c>
      <c r="G648" s="1" t="str">
        <f t="shared" si="451"/>
        <v>STOCK SCAFFALE MP</v>
      </c>
      <c r="H648" s="1" t="str">
        <f>"WHI"</f>
        <v>WHI</v>
      </c>
      <c r="K648" s="1">
        <v>1</v>
      </c>
      <c r="L648" s="1" t="str">
        <f t="shared" si="457"/>
        <v>01</v>
      </c>
      <c r="M648" s="1" t="str">
        <f t="shared" si="452"/>
        <v>408</v>
      </c>
      <c r="N648" s="1" t="str">
        <f>"010"</f>
        <v>010</v>
      </c>
      <c r="O648" s="1" t="str">
        <f t="shared" si="458"/>
        <v>00</v>
      </c>
      <c r="P648" s="1" t="str">
        <f t="shared" si="459"/>
        <v>S</v>
      </c>
      <c r="Q648" s="1" t="str">
        <f t="shared" si="460"/>
        <v>P</v>
      </c>
      <c r="R648" s="1" t="str">
        <f t="shared" si="461"/>
        <v>01</v>
      </c>
      <c r="S648" s="1" t="str">
        <f t="shared" si="453"/>
        <v>04</v>
      </c>
      <c r="T648" s="1" t="str">
        <f t="shared" si="462"/>
        <v>False</v>
      </c>
      <c r="U648" s="1" t="str">
        <f t="shared" si="463"/>
        <v>True</v>
      </c>
      <c r="V648" s="1" t="str">
        <f>"U0032676"</f>
        <v>U0032676</v>
      </c>
      <c r="W648" s="1">
        <v>1</v>
      </c>
      <c r="Y648" s="1">
        <v>0</v>
      </c>
      <c r="Z648" s="1">
        <v>0</v>
      </c>
      <c r="AB648" s="1" t="str">
        <f t="shared" si="455"/>
        <v>SMU</v>
      </c>
      <c r="AI648" s="1" t="str">
        <f>"F06"</f>
        <v>F06</v>
      </c>
      <c r="AJ648" s="1" t="str">
        <f t="shared" si="464"/>
        <v>WOMAN</v>
      </c>
      <c r="AK648" s="1" t="str">
        <f t="shared" si="465"/>
        <v>PA</v>
      </c>
      <c r="AP648" s="1" t="str">
        <f t="shared" si="466"/>
        <v>False</v>
      </c>
      <c r="AR648" s="1" t="str">
        <f>"DYON"</f>
        <v>DYON</v>
      </c>
      <c r="AY648" s="1" t="str">
        <f t="shared" si="467"/>
        <v>PF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 t="str">
        <f>"YON GOMMA TWILL CANVAS"</f>
        <v>YON GOMMA TWILL CANVAS</v>
      </c>
      <c r="BF648" s="1" t="str">
        <f t="shared" si="468"/>
        <v>Bonis SpA</v>
      </c>
    </row>
    <row r="649" spans="2:58" x14ac:dyDescent="0.25">
      <c r="B649" s="1">
        <v>2485</v>
      </c>
      <c r="C649" s="1" t="str">
        <f>"DYON4191S7/C1"</f>
        <v>DYON4191S7/C1</v>
      </c>
      <c r="E649" s="1" t="str">
        <f>"38"</f>
        <v>38</v>
      </c>
      <c r="F649" s="1" t="str">
        <f t="shared" si="456"/>
        <v>BONIS SPA</v>
      </c>
      <c r="G649" s="1" t="str">
        <f t="shared" si="451"/>
        <v>STOCK SCAFFALE MP</v>
      </c>
      <c r="H649" s="1" t="str">
        <f>"WHI"</f>
        <v>WHI</v>
      </c>
      <c r="K649" s="1">
        <v>1</v>
      </c>
      <c r="L649" s="1" t="str">
        <f t="shared" si="457"/>
        <v>01</v>
      </c>
      <c r="M649" s="1" t="str">
        <f t="shared" si="452"/>
        <v>408</v>
      </c>
      <c r="N649" s="1" t="str">
        <f>"010"</f>
        <v>010</v>
      </c>
      <c r="O649" s="1" t="str">
        <f t="shared" si="458"/>
        <v>00</v>
      </c>
      <c r="P649" s="1" t="str">
        <f t="shared" si="459"/>
        <v>S</v>
      </c>
      <c r="Q649" s="1" t="str">
        <f t="shared" si="460"/>
        <v>P</v>
      </c>
      <c r="R649" s="1" t="str">
        <f t="shared" si="461"/>
        <v>01</v>
      </c>
      <c r="S649" s="1" t="str">
        <f t="shared" si="453"/>
        <v>04</v>
      </c>
      <c r="T649" s="1" t="str">
        <f t="shared" si="462"/>
        <v>False</v>
      </c>
      <c r="U649" s="1" t="str">
        <f t="shared" si="463"/>
        <v>True</v>
      </c>
      <c r="V649" s="1" t="str">
        <f>"U0032676"</f>
        <v>U0032676</v>
      </c>
      <c r="W649" s="1">
        <v>1</v>
      </c>
      <c r="Y649" s="1">
        <v>0</v>
      </c>
      <c r="Z649" s="1">
        <v>0</v>
      </c>
      <c r="AB649" s="1" t="str">
        <f t="shared" si="455"/>
        <v>SMU</v>
      </c>
      <c r="AI649" s="1" t="str">
        <f>"F06"</f>
        <v>F06</v>
      </c>
      <c r="AJ649" s="1" t="str">
        <f t="shared" si="464"/>
        <v>WOMAN</v>
      </c>
      <c r="AK649" s="1" t="str">
        <f t="shared" si="465"/>
        <v>PA</v>
      </c>
      <c r="AP649" s="1" t="str">
        <f t="shared" si="466"/>
        <v>False</v>
      </c>
      <c r="AR649" s="1" t="str">
        <f>"DYON"</f>
        <v>DYON</v>
      </c>
      <c r="AY649" s="1" t="str">
        <f t="shared" si="467"/>
        <v>PF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 t="str">
        <f>"YON GOMMA TWILL CANVAS"</f>
        <v>YON GOMMA TWILL CANVAS</v>
      </c>
      <c r="BF649" s="1" t="str">
        <f t="shared" si="468"/>
        <v>Bonis SpA</v>
      </c>
    </row>
    <row r="650" spans="2:58" x14ac:dyDescent="0.25">
      <c r="B650" s="1">
        <v>2512</v>
      </c>
      <c r="C650" s="1" t="str">
        <f>"DYON4191S7/C1"</f>
        <v>DYON4191S7/C1</v>
      </c>
      <c r="E650" s="1" t="str">
        <f>"39"</f>
        <v>39</v>
      </c>
      <c r="F650" s="1" t="str">
        <f t="shared" si="456"/>
        <v>BONIS SPA</v>
      </c>
      <c r="G650" s="1" t="str">
        <f t="shared" si="451"/>
        <v>STOCK SCAFFALE MP</v>
      </c>
      <c r="H650" s="1" t="str">
        <f>"WHI"</f>
        <v>WHI</v>
      </c>
      <c r="K650" s="1">
        <v>2</v>
      </c>
      <c r="L650" s="1" t="str">
        <f t="shared" si="457"/>
        <v>01</v>
      </c>
      <c r="M650" s="1" t="str">
        <f t="shared" si="452"/>
        <v>408</v>
      </c>
      <c r="N650" s="1" t="str">
        <f t="shared" ref="N650:N656" si="469">"019"</f>
        <v>019</v>
      </c>
      <c r="O650" s="1" t="str">
        <f t="shared" si="458"/>
        <v>00</v>
      </c>
      <c r="P650" s="1" t="str">
        <f t="shared" si="459"/>
        <v>S</v>
      </c>
      <c r="Q650" s="1" t="str">
        <f t="shared" si="460"/>
        <v>P</v>
      </c>
      <c r="R650" s="1" t="str">
        <f t="shared" si="461"/>
        <v>01</v>
      </c>
      <c r="S650" s="1" t="str">
        <f t="shared" si="453"/>
        <v>04</v>
      </c>
      <c r="T650" s="1" t="str">
        <f t="shared" si="462"/>
        <v>False</v>
      </c>
      <c r="U650" s="1" t="str">
        <f t="shared" si="463"/>
        <v>True</v>
      </c>
      <c r="V650" s="1" t="str">
        <f>"U0032428"</f>
        <v>U0032428</v>
      </c>
      <c r="W650" s="1">
        <v>1</v>
      </c>
      <c r="Y650" s="1">
        <v>0</v>
      </c>
      <c r="Z650" s="1">
        <v>0</v>
      </c>
      <c r="AB650" s="1" t="str">
        <f t="shared" si="455"/>
        <v>SMU</v>
      </c>
      <c r="AI650" s="1" t="str">
        <f>"106"</f>
        <v>106</v>
      </c>
      <c r="AJ650" s="1" t="str">
        <f t="shared" si="464"/>
        <v>WOMAN</v>
      </c>
      <c r="AK650" s="1" t="str">
        <f t="shared" si="465"/>
        <v>PA</v>
      </c>
      <c r="AP650" s="1" t="str">
        <f t="shared" si="466"/>
        <v>False</v>
      </c>
      <c r="AR650" s="1" t="str">
        <f>"DYON"</f>
        <v>DYON</v>
      </c>
      <c r="AY650" s="1" t="str">
        <f t="shared" si="467"/>
        <v>PF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 t="str">
        <f>"YON GOMMA TWILL CANVAS"</f>
        <v>YON GOMMA TWILL CANVAS</v>
      </c>
      <c r="BF650" s="1" t="str">
        <f t="shared" si="468"/>
        <v>Bonis SpA</v>
      </c>
    </row>
    <row r="651" spans="2:58" x14ac:dyDescent="0.25">
      <c r="B651" s="1">
        <v>2512</v>
      </c>
      <c r="C651" s="1" t="str">
        <f t="shared" ref="C651:C656" si="470">"NOBIW4193S7/CH1"</f>
        <v>NOBIW4193S7/CH1</v>
      </c>
      <c r="E651" s="1" t="str">
        <f>"36"</f>
        <v>36</v>
      </c>
      <c r="F651" s="1" t="str">
        <f t="shared" si="456"/>
        <v>BONIS SPA</v>
      </c>
      <c r="G651" s="1" t="str">
        <f t="shared" si="451"/>
        <v>STOCK SCAFFALE MP</v>
      </c>
      <c r="H651" s="1" t="str">
        <f t="shared" ref="H651:H656" si="471">"FUX"</f>
        <v>FUX</v>
      </c>
      <c r="K651" s="1">
        <v>1</v>
      </c>
      <c r="L651" s="1" t="str">
        <f t="shared" si="457"/>
        <v>01</v>
      </c>
      <c r="M651" s="1" t="str">
        <f t="shared" si="452"/>
        <v>408</v>
      </c>
      <c r="N651" s="1" t="str">
        <f t="shared" si="469"/>
        <v>019</v>
      </c>
      <c r="O651" s="1" t="str">
        <f t="shared" si="458"/>
        <v>00</v>
      </c>
      <c r="P651" s="1" t="str">
        <f t="shared" si="459"/>
        <v>S</v>
      </c>
      <c r="Q651" s="1" t="str">
        <f t="shared" si="460"/>
        <v>P</v>
      </c>
      <c r="R651" s="1" t="str">
        <f t="shared" si="461"/>
        <v>01</v>
      </c>
      <c r="S651" s="1" t="str">
        <f t="shared" si="453"/>
        <v>04</v>
      </c>
      <c r="T651" s="1" t="str">
        <f t="shared" si="462"/>
        <v>False</v>
      </c>
      <c r="U651" s="1" t="str">
        <f t="shared" si="463"/>
        <v>True</v>
      </c>
      <c r="V651" s="1" t="str">
        <f t="shared" ref="V651:V656" si="472">"U0032482"</f>
        <v>U0032482</v>
      </c>
      <c r="W651" s="1">
        <v>1</v>
      </c>
      <c r="Y651" s="1">
        <v>0</v>
      </c>
      <c r="Z651" s="1">
        <v>0</v>
      </c>
      <c r="AB651" s="1" t="str">
        <f t="shared" si="455"/>
        <v>SMU</v>
      </c>
      <c r="AI651" s="1" t="str">
        <f t="shared" ref="AI651:AI656" si="473">"F11"</f>
        <v>F11</v>
      </c>
      <c r="AJ651" s="1" t="str">
        <f t="shared" si="464"/>
        <v>WOMAN</v>
      </c>
      <c r="AK651" s="1" t="str">
        <f t="shared" si="465"/>
        <v>PA</v>
      </c>
      <c r="AP651" s="1" t="str">
        <f t="shared" si="466"/>
        <v>False</v>
      </c>
      <c r="AR651" s="1" t="str">
        <f t="shared" ref="AR651:AR656" si="474">"NOBIW"</f>
        <v>NOBIW</v>
      </c>
      <c r="AY651" s="1" t="str">
        <f t="shared" si="467"/>
        <v>PF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 t="str">
        <f t="shared" ref="BE651:BE656" si="475">"UBBER FLAT MOL.CANVAS+MICROSUE"</f>
        <v>UBBER FLAT MOL.CANVAS+MICROSUE</v>
      </c>
      <c r="BF651" s="1" t="str">
        <f t="shared" si="468"/>
        <v>Bonis SpA</v>
      </c>
    </row>
    <row r="652" spans="2:58" x14ac:dyDescent="0.25">
      <c r="B652" s="1">
        <v>2512</v>
      </c>
      <c r="C652" s="1" t="str">
        <f t="shared" si="470"/>
        <v>NOBIW4193S7/CH1</v>
      </c>
      <c r="E652" s="1" t="str">
        <f>"37"</f>
        <v>37</v>
      </c>
      <c r="F652" s="1" t="str">
        <f t="shared" si="456"/>
        <v>BONIS SPA</v>
      </c>
      <c r="G652" s="1" t="str">
        <f t="shared" si="451"/>
        <v>STOCK SCAFFALE MP</v>
      </c>
      <c r="H652" s="1" t="str">
        <f t="shared" si="471"/>
        <v>FUX</v>
      </c>
      <c r="K652" s="1">
        <v>2</v>
      </c>
      <c r="L652" s="1" t="str">
        <f t="shared" si="457"/>
        <v>01</v>
      </c>
      <c r="M652" s="1" t="str">
        <f t="shared" si="452"/>
        <v>408</v>
      </c>
      <c r="N652" s="1" t="str">
        <f t="shared" si="469"/>
        <v>019</v>
      </c>
      <c r="O652" s="1" t="str">
        <f t="shared" si="458"/>
        <v>00</v>
      </c>
      <c r="P652" s="1" t="str">
        <f t="shared" si="459"/>
        <v>S</v>
      </c>
      <c r="Q652" s="1" t="str">
        <f t="shared" si="460"/>
        <v>P</v>
      </c>
      <c r="R652" s="1" t="str">
        <f t="shared" si="461"/>
        <v>01</v>
      </c>
      <c r="S652" s="1" t="str">
        <f t="shared" si="453"/>
        <v>04</v>
      </c>
      <c r="T652" s="1" t="str">
        <f t="shared" si="462"/>
        <v>False</v>
      </c>
      <c r="U652" s="1" t="str">
        <f t="shared" si="463"/>
        <v>True</v>
      </c>
      <c r="V652" s="1" t="str">
        <f t="shared" si="472"/>
        <v>U0032482</v>
      </c>
      <c r="W652" s="1">
        <v>1</v>
      </c>
      <c r="Y652" s="1">
        <v>0</v>
      </c>
      <c r="Z652" s="1">
        <v>0</v>
      </c>
      <c r="AB652" s="1" t="str">
        <f t="shared" si="455"/>
        <v>SMU</v>
      </c>
      <c r="AI652" s="1" t="str">
        <f t="shared" si="473"/>
        <v>F11</v>
      </c>
      <c r="AJ652" s="1" t="str">
        <f t="shared" si="464"/>
        <v>WOMAN</v>
      </c>
      <c r="AK652" s="1" t="str">
        <f t="shared" si="465"/>
        <v>PA</v>
      </c>
      <c r="AP652" s="1" t="str">
        <f t="shared" si="466"/>
        <v>False</v>
      </c>
      <c r="AR652" s="1" t="str">
        <f t="shared" si="474"/>
        <v>NOBIW</v>
      </c>
      <c r="AY652" s="1" t="str">
        <f t="shared" si="467"/>
        <v>PF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 t="str">
        <f t="shared" si="475"/>
        <v>UBBER FLAT MOL.CANVAS+MICROSUE</v>
      </c>
      <c r="BF652" s="1" t="str">
        <f t="shared" si="468"/>
        <v>Bonis SpA</v>
      </c>
    </row>
    <row r="653" spans="2:58" x14ac:dyDescent="0.25">
      <c r="B653" s="1">
        <v>2512</v>
      </c>
      <c r="C653" s="1" t="str">
        <f t="shared" si="470"/>
        <v>NOBIW4193S7/CH1</v>
      </c>
      <c r="E653" s="1" t="str">
        <f>"38"</f>
        <v>38</v>
      </c>
      <c r="F653" s="1" t="str">
        <f t="shared" si="456"/>
        <v>BONIS SPA</v>
      </c>
      <c r="G653" s="1" t="str">
        <f t="shared" si="451"/>
        <v>STOCK SCAFFALE MP</v>
      </c>
      <c r="H653" s="1" t="str">
        <f t="shared" si="471"/>
        <v>FUX</v>
      </c>
      <c r="K653" s="1">
        <v>3</v>
      </c>
      <c r="L653" s="1" t="str">
        <f t="shared" si="457"/>
        <v>01</v>
      </c>
      <c r="M653" s="1" t="str">
        <f t="shared" si="452"/>
        <v>408</v>
      </c>
      <c r="N653" s="1" t="str">
        <f t="shared" si="469"/>
        <v>019</v>
      </c>
      <c r="O653" s="1" t="str">
        <f t="shared" si="458"/>
        <v>00</v>
      </c>
      <c r="P653" s="1" t="str">
        <f t="shared" si="459"/>
        <v>S</v>
      </c>
      <c r="Q653" s="1" t="str">
        <f t="shared" si="460"/>
        <v>P</v>
      </c>
      <c r="R653" s="1" t="str">
        <f t="shared" si="461"/>
        <v>01</v>
      </c>
      <c r="S653" s="1" t="str">
        <f t="shared" si="453"/>
        <v>04</v>
      </c>
      <c r="T653" s="1" t="str">
        <f t="shared" si="462"/>
        <v>False</v>
      </c>
      <c r="U653" s="1" t="str">
        <f t="shared" si="463"/>
        <v>True</v>
      </c>
      <c r="V653" s="1" t="str">
        <f t="shared" si="472"/>
        <v>U0032482</v>
      </c>
      <c r="W653" s="1">
        <v>1</v>
      </c>
      <c r="Y653" s="1">
        <v>0</v>
      </c>
      <c r="Z653" s="1">
        <v>0</v>
      </c>
      <c r="AB653" s="1" t="str">
        <f t="shared" si="455"/>
        <v>SMU</v>
      </c>
      <c r="AI653" s="1" t="str">
        <f t="shared" si="473"/>
        <v>F11</v>
      </c>
      <c r="AJ653" s="1" t="str">
        <f t="shared" si="464"/>
        <v>WOMAN</v>
      </c>
      <c r="AK653" s="1" t="str">
        <f t="shared" si="465"/>
        <v>PA</v>
      </c>
      <c r="AP653" s="1" t="str">
        <f t="shared" si="466"/>
        <v>False</v>
      </c>
      <c r="AR653" s="1" t="str">
        <f t="shared" si="474"/>
        <v>NOBIW</v>
      </c>
      <c r="AY653" s="1" t="str">
        <f t="shared" si="467"/>
        <v>PF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 t="str">
        <f t="shared" si="475"/>
        <v>UBBER FLAT MOL.CANVAS+MICROSUE</v>
      </c>
      <c r="BF653" s="1" t="str">
        <f t="shared" si="468"/>
        <v>Bonis SpA</v>
      </c>
    </row>
    <row r="654" spans="2:58" x14ac:dyDescent="0.25">
      <c r="B654" s="1">
        <v>2512</v>
      </c>
      <c r="C654" s="1" t="str">
        <f t="shared" si="470"/>
        <v>NOBIW4193S7/CH1</v>
      </c>
      <c r="E654" s="1" t="str">
        <f>"40"</f>
        <v>40</v>
      </c>
      <c r="F654" s="1" t="str">
        <f t="shared" si="456"/>
        <v>BONIS SPA</v>
      </c>
      <c r="G654" s="1" t="str">
        <f t="shared" si="451"/>
        <v>STOCK SCAFFALE MP</v>
      </c>
      <c r="H654" s="1" t="str">
        <f t="shared" si="471"/>
        <v>FUX</v>
      </c>
      <c r="K654" s="1">
        <v>2</v>
      </c>
      <c r="L654" s="1" t="str">
        <f t="shared" si="457"/>
        <v>01</v>
      </c>
      <c r="M654" s="1" t="str">
        <f t="shared" si="452"/>
        <v>408</v>
      </c>
      <c r="N654" s="1" t="str">
        <f t="shared" si="469"/>
        <v>019</v>
      </c>
      <c r="O654" s="1" t="str">
        <f t="shared" si="458"/>
        <v>00</v>
      </c>
      <c r="P654" s="1" t="str">
        <f t="shared" si="459"/>
        <v>S</v>
      </c>
      <c r="Q654" s="1" t="str">
        <f t="shared" si="460"/>
        <v>P</v>
      </c>
      <c r="R654" s="1" t="str">
        <f t="shared" si="461"/>
        <v>01</v>
      </c>
      <c r="S654" s="1" t="str">
        <f t="shared" si="453"/>
        <v>04</v>
      </c>
      <c r="T654" s="1" t="str">
        <f t="shared" si="462"/>
        <v>False</v>
      </c>
      <c r="U654" s="1" t="str">
        <f t="shared" si="463"/>
        <v>True</v>
      </c>
      <c r="V654" s="1" t="str">
        <f t="shared" si="472"/>
        <v>U0032482</v>
      </c>
      <c r="W654" s="1">
        <v>1</v>
      </c>
      <c r="Y654" s="1">
        <v>0</v>
      </c>
      <c r="Z654" s="1">
        <v>0</v>
      </c>
      <c r="AB654" s="1" t="str">
        <f t="shared" si="455"/>
        <v>SMU</v>
      </c>
      <c r="AI654" s="1" t="str">
        <f t="shared" si="473"/>
        <v>F11</v>
      </c>
      <c r="AJ654" s="1" t="str">
        <f t="shared" si="464"/>
        <v>WOMAN</v>
      </c>
      <c r="AK654" s="1" t="str">
        <f t="shared" si="465"/>
        <v>PA</v>
      </c>
      <c r="AP654" s="1" t="str">
        <f t="shared" si="466"/>
        <v>False</v>
      </c>
      <c r="AR654" s="1" t="str">
        <f t="shared" si="474"/>
        <v>NOBIW</v>
      </c>
      <c r="AY654" s="1" t="str">
        <f t="shared" si="467"/>
        <v>PF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 t="str">
        <f t="shared" si="475"/>
        <v>UBBER FLAT MOL.CANVAS+MICROSUE</v>
      </c>
      <c r="BF654" s="1" t="str">
        <f t="shared" si="468"/>
        <v>Bonis SpA</v>
      </c>
    </row>
    <row r="655" spans="2:58" x14ac:dyDescent="0.25">
      <c r="B655" s="1">
        <v>2512</v>
      </c>
      <c r="C655" s="1" t="str">
        <f t="shared" si="470"/>
        <v>NOBIW4193S7/CH1</v>
      </c>
      <c r="E655" s="1" t="str">
        <f>"39"</f>
        <v>39</v>
      </c>
      <c r="F655" s="1" t="str">
        <f t="shared" si="456"/>
        <v>BONIS SPA</v>
      </c>
      <c r="G655" s="1" t="str">
        <f t="shared" si="451"/>
        <v>STOCK SCAFFALE MP</v>
      </c>
      <c r="H655" s="1" t="str">
        <f t="shared" si="471"/>
        <v>FUX</v>
      </c>
      <c r="K655" s="1">
        <v>3</v>
      </c>
      <c r="L655" s="1" t="str">
        <f t="shared" si="457"/>
        <v>01</v>
      </c>
      <c r="M655" s="1" t="str">
        <f t="shared" si="452"/>
        <v>408</v>
      </c>
      <c r="N655" s="1" t="str">
        <f t="shared" si="469"/>
        <v>019</v>
      </c>
      <c r="O655" s="1" t="str">
        <f t="shared" si="458"/>
        <v>00</v>
      </c>
      <c r="P655" s="1" t="str">
        <f t="shared" si="459"/>
        <v>S</v>
      </c>
      <c r="Q655" s="1" t="str">
        <f t="shared" si="460"/>
        <v>P</v>
      </c>
      <c r="R655" s="1" t="str">
        <f t="shared" si="461"/>
        <v>01</v>
      </c>
      <c r="S655" s="1" t="str">
        <f t="shared" si="453"/>
        <v>04</v>
      </c>
      <c r="T655" s="1" t="str">
        <f t="shared" si="462"/>
        <v>False</v>
      </c>
      <c r="U655" s="1" t="str">
        <f t="shared" si="463"/>
        <v>True</v>
      </c>
      <c r="V655" s="1" t="str">
        <f t="shared" si="472"/>
        <v>U0032482</v>
      </c>
      <c r="W655" s="1">
        <v>1</v>
      </c>
      <c r="Y655" s="1">
        <v>0</v>
      </c>
      <c r="Z655" s="1">
        <v>0</v>
      </c>
      <c r="AB655" s="1" t="str">
        <f t="shared" si="455"/>
        <v>SMU</v>
      </c>
      <c r="AI655" s="1" t="str">
        <f t="shared" si="473"/>
        <v>F11</v>
      </c>
      <c r="AJ655" s="1" t="str">
        <f t="shared" si="464"/>
        <v>WOMAN</v>
      </c>
      <c r="AK655" s="1" t="str">
        <f t="shared" si="465"/>
        <v>PA</v>
      </c>
      <c r="AP655" s="1" t="str">
        <f t="shared" si="466"/>
        <v>False</v>
      </c>
      <c r="AR655" s="1" t="str">
        <f t="shared" si="474"/>
        <v>NOBIW</v>
      </c>
      <c r="AY655" s="1" t="str">
        <f t="shared" si="467"/>
        <v>PF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 t="str">
        <f t="shared" si="475"/>
        <v>UBBER FLAT MOL.CANVAS+MICROSUE</v>
      </c>
      <c r="BF655" s="1" t="str">
        <f t="shared" si="468"/>
        <v>Bonis SpA</v>
      </c>
    </row>
    <row r="656" spans="2:58" x14ac:dyDescent="0.25">
      <c r="B656" s="1">
        <v>2512</v>
      </c>
      <c r="C656" s="1" t="str">
        <f t="shared" si="470"/>
        <v>NOBIW4193S7/CH1</v>
      </c>
      <c r="E656" s="1" t="str">
        <f>"41"</f>
        <v>41</v>
      </c>
      <c r="F656" s="1" t="str">
        <f t="shared" si="456"/>
        <v>BONIS SPA</v>
      </c>
      <c r="G656" s="1" t="str">
        <f t="shared" si="451"/>
        <v>STOCK SCAFFALE MP</v>
      </c>
      <c r="H656" s="1" t="str">
        <f t="shared" si="471"/>
        <v>FUX</v>
      </c>
      <c r="K656" s="1">
        <v>1</v>
      </c>
      <c r="L656" s="1" t="str">
        <f t="shared" si="457"/>
        <v>01</v>
      </c>
      <c r="M656" s="1" t="str">
        <f t="shared" si="452"/>
        <v>408</v>
      </c>
      <c r="N656" s="1" t="str">
        <f t="shared" si="469"/>
        <v>019</v>
      </c>
      <c r="O656" s="1" t="str">
        <f t="shared" si="458"/>
        <v>00</v>
      </c>
      <c r="P656" s="1" t="str">
        <f t="shared" si="459"/>
        <v>S</v>
      </c>
      <c r="Q656" s="1" t="str">
        <f t="shared" si="460"/>
        <v>P</v>
      </c>
      <c r="R656" s="1" t="str">
        <f t="shared" si="461"/>
        <v>01</v>
      </c>
      <c r="S656" s="1" t="str">
        <f t="shared" si="453"/>
        <v>04</v>
      </c>
      <c r="T656" s="1" t="str">
        <f t="shared" si="462"/>
        <v>False</v>
      </c>
      <c r="U656" s="1" t="str">
        <f t="shared" si="463"/>
        <v>True</v>
      </c>
      <c r="V656" s="1" t="str">
        <f t="shared" si="472"/>
        <v>U0032482</v>
      </c>
      <c r="W656" s="1">
        <v>1</v>
      </c>
      <c r="Y656" s="1">
        <v>0</v>
      </c>
      <c r="Z656" s="1">
        <v>0</v>
      </c>
      <c r="AB656" s="1" t="str">
        <f t="shared" si="455"/>
        <v>SMU</v>
      </c>
      <c r="AI656" s="1" t="str">
        <f t="shared" si="473"/>
        <v>F11</v>
      </c>
      <c r="AJ656" s="1" t="str">
        <f t="shared" si="464"/>
        <v>WOMAN</v>
      </c>
      <c r="AK656" s="1" t="str">
        <f t="shared" si="465"/>
        <v>PA</v>
      </c>
      <c r="AP656" s="1" t="str">
        <f t="shared" si="466"/>
        <v>False</v>
      </c>
      <c r="AR656" s="1" t="str">
        <f t="shared" si="474"/>
        <v>NOBIW</v>
      </c>
      <c r="AY656" s="1" t="str">
        <f t="shared" si="467"/>
        <v>PF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 t="str">
        <f t="shared" si="475"/>
        <v>UBBER FLAT MOL.CANVAS+MICROSUE</v>
      </c>
      <c r="BF656" s="1" t="str">
        <f t="shared" si="468"/>
        <v>Bonis SpA</v>
      </c>
    </row>
    <row r="657" spans="2:58" x14ac:dyDescent="0.25">
      <c r="B657" s="1">
        <v>2476</v>
      </c>
      <c r="C657" s="1" t="str">
        <f>"DARFW7328S6/MH1"</f>
        <v>DARFW7328S6/MH1</v>
      </c>
      <c r="E657" s="1" t="str">
        <f>"37"</f>
        <v>37</v>
      </c>
      <c r="F657" s="1" t="str">
        <f t="shared" si="456"/>
        <v>BONIS SPA</v>
      </c>
      <c r="G657" s="1" t="str">
        <f t="shared" si="451"/>
        <v>STOCK SCAFFALE MP</v>
      </c>
      <c r="H657" s="1" t="str">
        <f>"WHI-GRE"</f>
        <v>WHI-GRE</v>
      </c>
      <c r="K657" s="1">
        <v>1</v>
      </c>
      <c r="L657" s="1" t="str">
        <f t="shared" si="457"/>
        <v>01</v>
      </c>
      <c r="M657" s="1" t="str">
        <f t="shared" si="452"/>
        <v>408</v>
      </c>
      <c r="N657" s="1" t="str">
        <f>"007"</f>
        <v>007</v>
      </c>
      <c r="O657" s="1" t="str">
        <f t="shared" si="458"/>
        <v>00</v>
      </c>
      <c r="P657" s="1" t="str">
        <f t="shared" si="459"/>
        <v>S</v>
      </c>
      <c r="Q657" s="1" t="str">
        <f t="shared" si="460"/>
        <v>P</v>
      </c>
      <c r="R657" s="1" t="str">
        <f t="shared" si="461"/>
        <v>01</v>
      </c>
      <c r="S657" s="1" t="str">
        <f t="shared" si="453"/>
        <v>04</v>
      </c>
      <c r="T657" s="1" t="str">
        <f t="shared" si="462"/>
        <v>False</v>
      </c>
      <c r="U657" s="1" t="str">
        <f t="shared" si="463"/>
        <v>True</v>
      </c>
      <c r="V657" s="1" t="str">
        <f>"U0032743"</f>
        <v>U0032743</v>
      </c>
      <c r="W657" s="1">
        <v>1</v>
      </c>
      <c r="Y657" s="1">
        <v>0</v>
      </c>
      <c r="Z657" s="1">
        <v>0</v>
      </c>
      <c r="AI657" s="1" t="str">
        <f>"F06"</f>
        <v>F06</v>
      </c>
      <c r="AJ657" s="1" t="str">
        <f t="shared" si="464"/>
        <v>WOMAN</v>
      </c>
      <c r="AK657" s="1" t="str">
        <f t="shared" si="465"/>
        <v>PA</v>
      </c>
      <c r="AP657" s="1" t="str">
        <f t="shared" si="466"/>
        <v>False</v>
      </c>
      <c r="AR657" s="1" t="str">
        <f>"DARFW"</f>
        <v>DARFW</v>
      </c>
      <c r="AY657" s="1" t="str">
        <f t="shared" si="467"/>
        <v>PF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 t="str">
        <f>"KNITED TEXTILE +MICROSUEDE+PU"</f>
        <v>KNITED TEXTILE +MICROSUEDE+PU</v>
      </c>
      <c r="BF657" s="1" t="str">
        <f t="shared" si="468"/>
        <v>Bonis SpA</v>
      </c>
    </row>
    <row r="658" spans="2:58" x14ac:dyDescent="0.25">
      <c r="B658" s="1">
        <v>2476</v>
      </c>
      <c r="C658" s="1" t="str">
        <f>"DARFW7328S6/MH1"</f>
        <v>DARFW7328S6/MH1</v>
      </c>
      <c r="E658" s="1" t="str">
        <f>"38"</f>
        <v>38</v>
      </c>
      <c r="F658" s="1" t="str">
        <f t="shared" si="456"/>
        <v>BONIS SPA</v>
      </c>
      <c r="G658" s="1" t="str">
        <f t="shared" si="451"/>
        <v>STOCK SCAFFALE MP</v>
      </c>
      <c r="H658" s="1" t="str">
        <f>"WHI-GRE"</f>
        <v>WHI-GRE</v>
      </c>
      <c r="K658" s="1">
        <v>3</v>
      </c>
      <c r="L658" s="1" t="str">
        <f t="shared" si="457"/>
        <v>01</v>
      </c>
      <c r="M658" s="1" t="str">
        <f t="shared" si="452"/>
        <v>408</v>
      </c>
      <c r="N658" s="1" t="str">
        <f>"007"</f>
        <v>007</v>
      </c>
      <c r="O658" s="1" t="str">
        <f t="shared" si="458"/>
        <v>00</v>
      </c>
      <c r="P658" s="1" t="str">
        <f t="shared" si="459"/>
        <v>S</v>
      </c>
      <c r="Q658" s="1" t="str">
        <f t="shared" si="460"/>
        <v>P</v>
      </c>
      <c r="R658" s="1" t="str">
        <f t="shared" si="461"/>
        <v>01</v>
      </c>
      <c r="S658" s="1" t="str">
        <f t="shared" si="453"/>
        <v>04</v>
      </c>
      <c r="T658" s="1" t="str">
        <f t="shared" si="462"/>
        <v>False</v>
      </c>
      <c r="U658" s="1" t="str">
        <f t="shared" si="463"/>
        <v>True</v>
      </c>
      <c r="V658" s="1" t="str">
        <f>"U0032743"</f>
        <v>U0032743</v>
      </c>
      <c r="W658" s="1">
        <v>1</v>
      </c>
      <c r="Y658" s="1">
        <v>0</v>
      </c>
      <c r="Z658" s="1">
        <v>0</v>
      </c>
      <c r="AI658" s="1" t="str">
        <f>"F06"</f>
        <v>F06</v>
      </c>
      <c r="AJ658" s="1" t="str">
        <f t="shared" si="464"/>
        <v>WOMAN</v>
      </c>
      <c r="AK658" s="1" t="str">
        <f t="shared" si="465"/>
        <v>PA</v>
      </c>
      <c r="AP658" s="1" t="str">
        <f t="shared" si="466"/>
        <v>False</v>
      </c>
      <c r="AR658" s="1" t="str">
        <f>"DARFW"</f>
        <v>DARFW</v>
      </c>
      <c r="AY658" s="1" t="str">
        <f t="shared" si="467"/>
        <v>PF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 t="str">
        <f>"KNITED TEXTILE +MICROSUEDE+PU"</f>
        <v>KNITED TEXTILE +MICROSUEDE+PU</v>
      </c>
      <c r="BF658" s="1" t="str">
        <f t="shared" si="468"/>
        <v>Bonis SpA</v>
      </c>
    </row>
    <row r="659" spans="2:58" x14ac:dyDescent="0.25">
      <c r="B659" s="1">
        <v>2485</v>
      </c>
      <c r="C659" s="1" t="str">
        <f>"DARFW7328S6/MH1"</f>
        <v>DARFW7328S6/MH1</v>
      </c>
      <c r="E659" s="1" t="str">
        <f>"36"</f>
        <v>36</v>
      </c>
      <c r="F659" s="1" t="str">
        <f t="shared" si="456"/>
        <v>BONIS SPA</v>
      </c>
      <c r="G659" s="1" t="str">
        <f t="shared" si="451"/>
        <v>STOCK SCAFFALE MP</v>
      </c>
      <c r="H659" s="1" t="str">
        <f>"WHI-GRE"</f>
        <v>WHI-GRE</v>
      </c>
      <c r="K659" s="1">
        <v>1</v>
      </c>
      <c r="L659" s="1" t="str">
        <f t="shared" si="457"/>
        <v>01</v>
      </c>
      <c r="M659" s="1" t="str">
        <f t="shared" si="452"/>
        <v>408</v>
      </c>
      <c r="N659" s="1" t="str">
        <f>"010"</f>
        <v>010</v>
      </c>
      <c r="O659" s="1" t="str">
        <f t="shared" si="458"/>
        <v>00</v>
      </c>
      <c r="P659" s="1" t="str">
        <f t="shared" si="459"/>
        <v>S</v>
      </c>
      <c r="Q659" s="1" t="str">
        <f t="shared" si="460"/>
        <v>P</v>
      </c>
      <c r="R659" s="1" t="str">
        <f t="shared" si="461"/>
        <v>01</v>
      </c>
      <c r="S659" s="1" t="str">
        <f t="shared" si="453"/>
        <v>04</v>
      </c>
      <c r="T659" s="1" t="str">
        <f t="shared" si="462"/>
        <v>False</v>
      </c>
      <c r="U659" s="1" t="str">
        <f t="shared" si="463"/>
        <v>True</v>
      </c>
      <c r="V659" s="1" t="str">
        <f>"U0032676"</f>
        <v>U0032676</v>
      </c>
      <c r="W659" s="1">
        <v>1</v>
      </c>
      <c r="Y659" s="1">
        <v>0</v>
      </c>
      <c r="Z659" s="1">
        <v>0</v>
      </c>
      <c r="AI659" s="1" t="str">
        <f>"F06"</f>
        <v>F06</v>
      </c>
      <c r="AJ659" s="1" t="str">
        <f t="shared" si="464"/>
        <v>WOMAN</v>
      </c>
      <c r="AK659" s="1" t="str">
        <f t="shared" si="465"/>
        <v>PA</v>
      </c>
      <c r="AP659" s="1" t="str">
        <f t="shared" si="466"/>
        <v>False</v>
      </c>
      <c r="AR659" s="1" t="str">
        <f>"DARFW"</f>
        <v>DARFW</v>
      </c>
      <c r="AY659" s="1" t="str">
        <f t="shared" si="467"/>
        <v>PF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 t="str">
        <f>"KNITED TEXTILE +MICROSUEDE+PU"</f>
        <v>KNITED TEXTILE +MICROSUEDE+PU</v>
      </c>
      <c r="BF659" s="1" t="str">
        <f t="shared" si="468"/>
        <v>Bonis SpA</v>
      </c>
    </row>
    <row r="660" spans="2:58" x14ac:dyDescent="0.25">
      <c r="B660" s="1">
        <v>2494</v>
      </c>
      <c r="C660" s="1" t="str">
        <f t="shared" ref="C660:C691" si="476">"DECOR4237S7/C1"</f>
        <v>DECOR4237S7/C1</v>
      </c>
      <c r="E660" s="1" t="str">
        <f>"38"</f>
        <v>38</v>
      </c>
      <c r="F660" s="1" t="str">
        <f t="shared" si="456"/>
        <v>BONIS SPA</v>
      </c>
      <c r="G660" s="1" t="str">
        <f t="shared" si="451"/>
        <v>STOCK SCAFFALE MP</v>
      </c>
      <c r="H660" s="1" t="str">
        <f t="shared" ref="H660:H683" si="477">"BLK"</f>
        <v>BLK</v>
      </c>
      <c r="K660" s="1">
        <v>5</v>
      </c>
      <c r="L660" s="1" t="str">
        <f t="shared" si="457"/>
        <v>01</v>
      </c>
      <c r="M660" s="1" t="str">
        <f t="shared" si="452"/>
        <v>408</v>
      </c>
      <c r="N660" s="1" t="str">
        <f t="shared" ref="N660:N691" si="478">"013"</f>
        <v>013</v>
      </c>
      <c r="O660" s="1" t="str">
        <f t="shared" si="458"/>
        <v>00</v>
      </c>
      <c r="P660" s="1" t="str">
        <f t="shared" si="459"/>
        <v>S</v>
      </c>
      <c r="Q660" s="1" t="str">
        <f t="shared" si="460"/>
        <v>P</v>
      </c>
      <c r="R660" s="1" t="str">
        <f t="shared" si="461"/>
        <v>01</v>
      </c>
      <c r="S660" s="1" t="str">
        <f t="shared" si="453"/>
        <v>04</v>
      </c>
      <c r="T660" s="1" t="str">
        <f t="shared" si="462"/>
        <v>False</v>
      </c>
      <c r="U660" s="1" t="str">
        <f t="shared" si="463"/>
        <v>True</v>
      </c>
      <c r="V660" s="1" t="str">
        <f>"U0032725"</f>
        <v>U0032725</v>
      </c>
      <c r="W660" s="1">
        <v>1</v>
      </c>
      <c r="Y660" s="1">
        <v>0</v>
      </c>
      <c r="Z660" s="1">
        <v>0</v>
      </c>
      <c r="AB660" s="1" t="str">
        <f t="shared" ref="AB660:AB691" si="479">"SMU"</f>
        <v>SMU</v>
      </c>
      <c r="AI660" s="1" t="str">
        <f t="shared" ref="AI660:AI691" si="480">"F11"</f>
        <v>F11</v>
      </c>
      <c r="AJ660" s="1" t="str">
        <f t="shared" si="464"/>
        <v>WOMAN</v>
      </c>
      <c r="AK660" s="1" t="str">
        <f t="shared" si="465"/>
        <v>PA</v>
      </c>
      <c r="AP660" s="1" t="str">
        <f t="shared" si="466"/>
        <v>False</v>
      </c>
      <c r="AR660" s="1" t="str">
        <f t="shared" ref="AR660:AR691" si="481">"DECOR"</f>
        <v>DECOR</v>
      </c>
      <c r="AY660" s="1" t="str">
        <f t="shared" si="467"/>
        <v>PF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 t="str">
        <f t="shared" ref="BE660:BE691" si="482">"R GOMMA CANVAS"</f>
        <v>R GOMMA CANVAS</v>
      </c>
      <c r="BF660" s="1" t="str">
        <f t="shared" si="468"/>
        <v>Bonis SpA</v>
      </c>
    </row>
    <row r="661" spans="2:58" x14ac:dyDescent="0.25">
      <c r="B661" s="1">
        <v>2494</v>
      </c>
      <c r="C661" s="1" t="str">
        <f t="shared" si="476"/>
        <v>DECOR4237S7/C1</v>
      </c>
      <c r="E661" s="1" t="str">
        <f>"39"</f>
        <v>39</v>
      </c>
      <c r="F661" s="1" t="str">
        <f t="shared" si="456"/>
        <v>BONIS SPA</v>
      </c>
      <c r="G661" s="1" t="str">
        <f t="shared" si="451"/>
        <v>STOCK SCAFFALE MP</v>
      </c>
      <c r="H661" s="1" t="str">
        <f t="shared" si="477"/>
        <v>BLK</v>
      </c>
      <c r="K661" s="1">
        <v>2</v>
      </c>
      <c r="L661" s="1" t="str">
        <f t="shared" si="457"/>
        <v>01</v>
      </c>
      <c r="M661" s="1" t="str">
        <f t="shared" si="452"/>
        <v>408</v>
      </c>
      <c r="N661" s="1" t="str">
        <f t="shared" si="478"/>
        <v>013</v>
      </c>
      <c r="O661" s="1" t="str">
        <f t="shared" si="458"/>
        <v>00</v>
      </c>
      <c r="P661" s="1" t="str">
        <f t="shared" si="459"/>
        <v>S</v>
      </c>
      <c r="Q661" s="1" t="str">
        <f t="shared" si="460"/>
        <v>P</v>
      </c>
      <c r="R661" s="1" t="str">
        <f t="shared" si="461"/>
        <v>01</v>
      </c>
      <c r="S661" s="1" t="str">
        <f t="shared" si="453"/>
        <v>04</v>
      </c>
      <c r="T661" s="1" t="str">
        <f t="shared" si="462"/>
        <v>False</v>
      </c>
      <c r="U661" s="1" t="str">
        <f t="shared" si="463"/>
        <v>True</v>
      </c>
      <c r="V661" s="1" t="str">
        <f>"U0032725"</f>
        <v>U0032725</v>
      </c>
      <c r="W661" s="1">
        <v>1</v>
      </c>
      <c r="Y661" s="1">
        <v>0</v>
      </c>
      <c r="Z661" s="1">
        <v>0</v>
      </c>
      <c r="AB661" s="1" t="str">
        <f t="shared" si="479"/>
        <v>SMU</v>
      </c>
      <c r="AI661" s="1" t="str">
        <f t="shared" si="480"/>
        <v>F11</v>
      </c>
      <c r="AJ661" s="1" t="str">
        <f t="shared" si="464"/>
        <v>WOMAN</v>
      </c>
      <c r="AK661" s="1" t="str">
        <f t="shared" si="465"/>
        <v>PA</v>
      </c>
      <c r="AP661" s="1" t="str">
        <f t="shared" si="466"/>
        <v>False</v>
      </c>
      <c r="AR661" s="1" t="str">
        <f t="shared" si="481"/>
        <v>DECOR</v>
      </c>
      <c r="AY661" s="1" t="str">
        <f t="shared" si="467"/>
        <v>PF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 t="str">
        <f t="shared" si="482"/>
        <v>R GOMMA CANVAS</v>
      </c>
      <c r="BF661" s="1" t="str">
        <f t="shared" si="468"/>
        <v>Bonis SpA</v>
      </c>
    </row>
    <row r="662" spans="2:58" x14ac:dyDescent="0.25">
      <c r="B662" s="1">
        <v>2494</v>
      </c>
      <c r="C662" s="1" t="str">
        <f t="shared" si="476"/>
        <v>DECOR4237S7/C1</v>
      </c>
      <c r="E662" s="1" t="str">
        <f>"40"</f>
        <v>40</v>
      </c>
      <c r="F662" s="1" t="str">
        <f t="shared" si="456"/>
        <v>BONIS SPA</v>
      </c>
      <c r="G662" s="1" t="str">
        <f t="shared" si="451"/>
        <v>STOCK SCAFFALE MP</v>
      </c>
      <c r="H662" s="1" t="str">
        <f t="shared" si="477"/>
        <v>BLK</v>
      </c>
      <c r="K662" s="1">
        <v>4</v>
      </c>
      <c r="L662" s="1" t="str">
        <f t="shared" si="457"/>
        <v>01</v>
      </c>
      <c r="M662" s="1" t="str">
        <f t="shared" si="452"/>
        <v>408</v>
      </c>
      <c r="N662" s="1" t="str">
        <f t="shared" si="478"/>
        <v>013</v>
      </c>
      <c r="O662" s="1" t="str">
        <f t="shared" si="458"/>
        <v>00</v>
      </c>
      <c r="P662" s="1" t="str">
        <f t="shared" si="459"/>
        <v>S</v>
      </c>
      <c r="Q662" s="1" t="str">
        <f t="shared" si="460"/>
        <v>P</v>
      </c>
      <c r="R662" s="1" t="str">
        <f t="shared" si="461"/>
        <v>01</v>
      </c>
      <c r="S662" s="1" t="str">
        <f t="shared" si="453"/>
        <v>04</v>
      </c>
      <c r="T662" s="1" t="str">
        <f t="shared" si="462"/>
        <v>False</v>
      </c>
      <c r="U662" s="1" t="str">
        <f t="shared" si="463"/>
        <v>True</v>
      </c>
      <c r="V662" s="1" t="str">
        <f>"U0032725"</f>
        <v>U0032725</v>
      </c>
      <c r="W662" s="1">
        <v>1</v>
      </c>
      <c r="Y662" s="1">
        <v>0</v>
      </c>
      <c r="Z662" s="1">
        <v>0</v>
      </c>
      <c r="AB662" s="1" t="str">
        <f t="shared" si="479"/>
        <v>SMU</v>
      </c>
      <c r="AI662" s="1" t="str">
        <f t="shared" si="480"/>
        <v>F11</v>
      </c>
      <c r="AJ662" s="1" t="str">
        <f t="shared" si="464"/>
        <v>WOMAN</v>
      </c>
      <c r="AK662" s="1" t="str">
        <f t="shared" si="465"/>
        <v>PA</v>
      </c>
      <c r="AP662" s="1" t="str">
        <f t="shared" si="466"/>
        <v>False</v>
      </c>
      <c r="AR662" s="1" t="str">
        <f t="shared" si="481"/>
        <v>DECOR</v>
      </c>
      <c r="AY662" s="1" t="str">
        <f t="shared" si="467"/>
        <v>PF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 t="str">
        <f t="shared" si="482"/>
        <v>R GOMMA CANVAS</v>
      </c>
      <c r="BF662" s="1" t="str">
        <f t="shared" si="468"/>
        <v>Bonis SpA</v>
      </c>
    </row>
    <row r="663" spans="2:58" x14ac:dyDescent="0.25">
      <c r="B663" s="1">
        <v>2494</v>
      </c>
      <c r="C663" s="1" t="str">
        <f t="shared" si="476"/>
        <v>DECOR4237S7/C1</v>
      </c>
      <c r="E663" s="1" t="str">
        <f>"37"</f>
        <v>37</v>
      </c>
      <c r="F663" s="1" t="str">
        <f t="shared" si="456"/>
        <v>BONIS SPA</v>
      </c>
      <c r="G663" s="1" t="str">
        <f t="shared" si="451"/>
        <v>STOCK SCAFFALE MP</v>
      </c>
      <c r="H663" s="1" t="str">
        <f t="shared" si="477"/>
        <v>BLK</v>
      </c>
      <c r="K663" s="1">
        <v>1</v>
      </c>
      <c r="L663" s="1" t="str">
        <f t="shared" si="457"/>
        <v>01</v>
      </c>
      <c r="M663" s="1" t="str">
        <f t="shared" si="452"/>
        <v>408</v>
      </c>
      <c r="N663" s="1" t="str">
        <f t="shared" si="478"/>
        <v>013</v>
      </c>
      <c r="O663" s="1" t="str">
        <f t="shared" si="458"/>
        <v>00</v>
      </c>
      <c r="P663" s="1" t="str">
        <f t="shared" si="459"/>
        <v>S</v>
      </c>
      <c r="Q663" s="1" t="str">
        <f t="shared" si="460"/>
        <v>P</v>
      </c>
      <c r="R663" s="1" t="str">
        <f t="shared" si="461"/>
        <v>01</v>
      </c>
      <c r="S663" s="1" t="str">
        <f t="shared" si="453"/>
        <v>04</v>
      </c>
      <c r="T663" s="1" t="str">
        <f t="shared" si="462"/>
        <v>False</v>
      </c>
      <c r="U663" s="1" t="str">
        <f t="shared" si="463"/>
        <v>True</v>
      </c>
      <c r="V663" s="1" t="str">
        <f>"U0032725"</f>
        <v>U0032725</v>
      </c>
      <c r="W663" s="1">
        <v>1</v>
      </c>
      <c r="Y663" s="1">
        <v>0</v>
      </c>
      <c r="Z663" s="1">
        <v>0</v>
      </c>
      <c r="AB663" s="1" t="str">
        <f t="shared" si="479"/>
        <v>SMU</v>
      </c>
      <c r="AI663" s="1" t="str">
        <f t="shared" si="480"/>
        <v>F11</v>
      </c>
      <c r="AJ663" s="1" t="str">
        <f t="shared" si="464"/>
        <v>WOMAN</v>
      </c>
      <c r="AK663" s="1" t="str">
        <f t="shared" si="465"/>
        <v>PA</v>
      </c>
      <c r="AP663" s="1" t="str">
        <f t="shared" si="466"/>
        <v>False</v>
      </c>
      <c r="AR663" s="1" t="str">
        <f t="shared" si="481"/>
        <v>DECOR</v>
      </c>
      <c r="AY663" s="1" t="str">
        <f t="shared" si="467"/>
        <v>PF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 t="str">
        <f t="shared" si="482"/>
        <v>R GOMMA CANVAS</v>
      </c>
      <c r="BF663" s="1" t="str">
        <f t="shared" si="468"/>
        <v>Bonis SpA</v>
      </c>
    </row>
    <row r="664" spans="2:58" x14ac:dyDescent="0.25">
      <c r="B664" s="1">
        <v>2494</v>
      </c>
      <c r="C664" s="1" t="str">
        <f t="shared" si="476"/>
        <v>DECOR4237S7/C1</v>
      </c>
      <c r="E664" s="1" t="str">
        <f>"41"</f>
        <v>41</v>
      </c>
      <c r="F664" s="1" t="str">
        <f t="shared" si="456"/>
        <v>BONIS SPA</v>
      </c>
      <c r="G664" s="1" t="str">
        <f t="shared" si="451"/>
        <v>STOCK SCAFFALE MP</v>
      </c>
      <c r="H664" s="1" t="str">
        <f t="shared" si="477"/>
        <v>BLK</v>
      </c>
      <c r="K664" s="1">
        <v>2</v>
      </c>
      <c r="L664" s="1" t="str">
        <f t="shared" si="457"/>
        <v>01</v>
      </c>
      <c r="M664" s="1" t="str">
        <f t="shared" si="452"/>
        <v>408</v>
      </c>
      <c r="N664" s="1" t="str">
        <f t="shared" si="478"/>
        <v>013</v>
      </c>
      <c r="O664" s="1" t="str">
        <f t="shared" si="458"/>
        <v>00</v>
      </c>
      <c r="P664" s="1" t="str">
        <f t="shared" si="459"/>
        <v>S</v>
      </c>
      <c r="Q664" s="1" t="str">
        <f t="shared" si="460"/>
        <v>P</v>
      </c>
      <c r="R664" s="1" t="str">
        <f t="shared" si="461"/>
        <v>01</v>
      </c>
      <c r="S664" s="1" t="str">
        <f t="shared" si="453"/>
        <v>04</v>
      </c>
      <c r="T664" s="1" t="str">
        <f t="shared" si="462"/>
        <v>False</v>
      </c>
      <c r="U664" s="1" t="str">
        <f t="shared" si="463"/>
        <v>True</v>
      </c>
      <c r="V664" s="1" t="str">
        <f>"U0032724"</f>
        <v>U0032724</v>
      </c>
      <c r="W664" s="1">
        <v>1</v>
      </c>
      <c r="Y664" s="1">
        <v>0</v>
      </c>
      <c r="Z664" s="1">
        <v>0</v>
      </c>
      <c r="AB664" s="1" t="str">
        <f t="shared" si="479"/>
        <v>SMU</v>
      </c>
      <c r="AI664" s="1" t="str">
        <f t="shared" si="480"/>
        <v>F11</v>
      </c>
      <c r="AJ664" s="1" t="str">
        <f t="shared" si="464"/>
        <v>WOMAN</v>
      </c>
      <c r="AK664" s="1" t="str">
        <f t="shared" si="465"/>
        <v>PA</v>
      </c>
      <c r="AP664" s="1" t="str">
        <f t="shared" si="466"/>
        <v>False</v>
      </c>
      <c r="AR664" s="1" t="str">
        <f t="shared" si="481"/>
        <v>DECOR</v>
      </c>
      <c r="AY664" s="1" t="str">
        <f t="shared" si="467"/>
        <v>PF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 t="str">
        <f t="shared" si="482"/>
        <v>R GOMMA CANVAS</v>
      </c>
      <c r="BF664" s="1" t="str">
        <f t="shared" si="468"/>
        <v>Bonis SpA</v>
      </c>
    </row>
    <row r="665" spans="2:58" x14ac:dyDescent="0.25">
      <c r="B665" s="1">
        <v>2494</v>
      </c>
      <c r="C665" s="1" t="str">
        <f t="shared" si="476"/>
        <v>DECOR4237S7/C1</v>
      </c>
      <c r="E665" s="1" t="str">
        <f>"40"</f>
        <v>40</v>
      </c>
      <c r="F665" s="1" t="str">
        <f t="shared" si="456"/>
        <v>BONIS SPA</v>
      </c>
      <c r="G665" s="1" t="str">
        <f t="shared" si="451"/>
        <v>STOCK SCAFFALE MP</v>
      </c>
      <c r="H665" s="1" t="str">
        <f t="shared" si="477"/>
        <v>BLK</v>
      </c>
      <c r="K665" s="1">
        <v>2</v>
      </c>
      <c r="L665" s="1" t="str">
        <f t="shared" si="457"/>
        <v>01</v>
      </c>
      <c r="M665" s="1" t="str">
        <f t="shared" si="452"/>
        <v>408</v>
      </c>
      <c r="N665" s="1" t="str">
        <f t="shared" si="478"/>
        <v>013</v>
      </c>
      <c r="O665" s="1" t="str">
        <f t="shared" si="458"/>
        <v>00</v>
      </c>
      <c r="P665" s="1" t="str">
        <f t="shared" si="459"/>
        <v>S</v>
      </c>
      <c r="Q665" s="1" t="str">
        <f t="shared" si="460"/>
        <v>P</v>
      </c>
      <c r="R665" s="1" t="str">
        <f t="shared" si="461"/>
        <v>01</v>
      </c>
      <c r="S665" s="1" t="str">
        <f t="shared" si="453"/>
        <v>04</v>
      </c>
      <c r="T665" s="1" t="str">
        <f t="shared" si="462"/>
        <v>False</v>
      </c>
      <c r="U665" s="1" t="str">
        <f t="shared" si="463"/>
        <v>True</v>
      </c>
      <c r="V665" s="1" t="str">
        <f>"U0032724"</f>
        <v>U0032724</v>
      </c>
      <c r="W665" s="1">
        <v>1</v>
      </c>
      <c r="Y665" s="1">
        <v>0</v>
      </c>
      <c r="Z665" s="1">
        <v>0</v>
      </c>
      <c r="AB665" s="1" t="str">
        <f t="shared" si="479"/>
        <v>SMU</v>
      </c>
      <c r="AI665" s="1" t="str">
        <f t="shared" si="480"/>
        <v>F11</v>
      </c>
      <c r="AJ665" s="1" t="str">
        <f t="shared" si="464"/>
        <v>WOMAN</v>
      </c>
      <c r="AK665" s="1" t="str">
        <f t="shared" si="465"/>
        <v>PA</v>
      </c>
      <c r="AP665" s="1" t="str">
        <f t="shared" si="466"/>
        <v>False</v>
      </c>
      <c r="AR665" s="1" t="str">
        <f t="shared" si="481"/>
        <v>DECOR</v>
      </c>
      <c r="AY665" s="1" t="str">
        <f t="shared" si="467"/>
        <v>PF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 t="str">
        <f t="shared" si="482"/>
        <v>R GOMMA CANVAS</v>
      </c>
      <c r="BF665" s="1" t="str">
        <f t="shared" si="468"/>
        <v>Bonis SpA</v>
      </c>
    </row>
    <row r="666" spans="2:58" x14ac:dyDescent="0.25">
      <c r="B666" s="1">
        <v>2494</v>
      </c>
      <c r="C666" s="1" t="str">
        <f t="shared" si="476"/>
        <v>DECOR4237S7/C1</v>
      </c>
      <c r="E666" s="1" t="str">
        <f>"37"</f>
        <v>37</v>
      </c>
      <c r="F666" s="1" t="str">
        <f t="shared" si="456"/>
        <v>BONIS SPA</v>
      </c>
      <c r="G666" s="1" t="str">
        <f t="shared" si="451"/>
        <v>STOCK SCAFFALE MP</v>
      </c>
      <c r="H666" s="1" t="str">
        <f t="shared" si="477"/>
        <v>BLK</v>
      </c>
      <c r="K666" s="1">
        <v>2</v>
      </c>
      <c r="L666" s="1" t="str">
        <f t="shared" si="457"/>
        <v>01</v>
      </c>
      <c r="M666" s="1" t="str">
        <f t="shared" si="452"/>
        <v>408</v>
      </c>
      <c r="N666" s="1" t="str">
        <f t="shared" si="478"/>
        <v>013</v>
      </c>
      <c r="O666" s="1" t="str">
        <f t="shared" si="458"/>
        <v>00</v>
      </c>
      <c r="P666" s="1" t="str">
        <f t="shared" si="459"/>
        <v>S</v>
      </c>
      <c r="Q666" s="1" t="str">
        <f t="shared" si="460"/>
        <v>P</v>
      </c>
      <c r="R666" s="1" t="str">
        <f t="shared" si="461"/>
        <v>01</v>
      </c>
      <c r="S666" s="1" t="str">
        <f t="shared" si="453"/>
        <v>04</v>
      </c>
      <c r="T666" s="1" t="str">
        <f t="shared" si="462"/>
        <v>False</v>
      </c>
      <c r="U666" s="1" t="str">
        <f t="shared" si="463"/>
        <v>True</v>
      </c>
      <c r="V666" s="1" t="str">
        <f>"U0032724"</f>
        <v>U0032724</v>
      </c>
      <c r="W666" s="1">
        <v>1</v>
      </c>
      <c r="Y666" s="1">
        <v>0</v>
      </c>
      <c r="Z666" s="1">
        <v>0</v>
      </c>
      <c r="AB666" s="1" t="str">
        <f t="shared" si="479"/>
        <v>SMU</v>
      </c>
      <c r="AI666" s="1" t="str">
        <f t="shared" si="480"/>
        <v>F11</v>
      </c>
      <c r="AJ666" s="1" t="str">
        <f t="shared" si="464"/>
        <v>WOMAN</v>
      </c>
      <c r="AK666" s="1" t="str">
        <f t="shared" si="465"/>
        <v>PA</v>
      </c>
      <c r="AP666" s="1" t="str">
        <f t="shared" si="466"/>
        <v>False</v>
      </c>
      <c r="AR666" s="1" t="str">
        <f t="shared" si="481"/>
        <v>DECOR</v>
      </c>
      <c r="AY666" s="1" t="str">
        <f t="shared" si="467"/>
        <v>PF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 t="str">
        <f t="shared" si="482"/>
        <v>R GOMMA CANVAS</v>
      </c>
      <c r="BF666" s="1" t="str">
        <f t="shared" si="468"/>
        <v>Bonis SpA</v>
      </c>
    </row>
    <row r="667" spans="2:58" x14ac:dyDescent="0.25">
      <c r="B667" s="1">
        <v>2494</v>
      </c>
      <c r="C667" s="1" t="str">
        <f t="shared" si="476"/>
        <v>DECOR4237S7/C1</v>
      </c>
      <c r="E667" s="1" t="str">
        <f>"39"</f>
        <v>39</v>
      </c>
      <c r="F667" s="1" t="str">
        <f t="shared" si="456"/>
        <v>BONIS SPA</v>
      </c>
      <c r="G667" s="1" t="str">
        <f t="shared" si="451"/>
        <v>STOCK SCAFFALE MP</v>
      </c>
      <c r="H667" s="1" t="str">
        <f t="shared" si="477"/>
        <v>BLK</v>
      </c>
      <c r="K667" s="1">
        <v>3</v>
      </c>
      <c r="L667" s="1" t="str">
        <f t="shared" si="457"/>
        <v>01</v>
      </c>
      <c r="M667" s="1" t="str">
        <f t="shared" si="452"/>
        <v>408</v>
      </c>
      <c r="N667" s="1" t="str">
        <f t="shared" si="478"/>
        <v>013</v>
      </c>
      <c r="O667" s="1" t="str">
        <f t="shared" si="458"/>
        <v>00</v>
      </c>
      <c r="P667" s="1" t="str">
        <f t="shared" si="459"/>
        <v>S</v>
      </c>
      <c r="Q667" s="1" t="str">
        <f t="shared" si="460"/>
        <v>P</v>
      </c>
      <c r="R667" s="1" t="str">
        <f t="shared" si="461"/>
        <v>01</v>
      </c>
      <c r="S667" s="1" t="str">
        <f t="shared" si="453"/>
        <v>04</v>
      </c>
      <c r="T667" s="1" t="str">
        <f t="shared" si="462"/>
        <v>False</v>
      </c>
      <c r="U667" s="1" t="str">
        <f t="shared" si="463"/>
        <v>True</v>
      </c>
      <c r="V667" s="1" t="str">
        <f>"U0032724"</f>
        <v>U0032724</v>
      </c>
      <c r="W667" s="1">
        <v>1</v>
      </c>
      <c r="Y667" s="1">
        <v>0</v>
      </c>
      <c r="Z667" s="1">
        <v>0</v>
      </c>
      <c r="AB667" s="1" t="str">
        <f t="shared" si="479"/>
        <v>SMU</v>
      </c>
      <c r="AI667" s="1" t="str">
        <f t="shared" si="480"/>
        <v>F11</v>
      </c>
      <c r="AJ667" s="1" t="str">
        <f t="shared" si="464"/>
        <v>WOMAN</v>
      </c>
      <c r="AK667" s="1" t="str">
        <f t="shared" si="465"/>
        <v>PA</v>
      </c>
      <c r="AP667" s="1" t="str">
        <f t="shared" si="466"/>
        <v>False</v>
      </c>
      <c r="AR667" s="1" t="str">
        <f t="shared" si="481"/>
        <v>DECOR</v>
      </c>
      <c r="AY667" s="1" t="str">
        <f t="shared" si="467"/>
        <v>PF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 t="str">
        <f t="shared" si="482"/>
        <v>R GOMMA CANVAS</v>
      </c>
      <c r="BF667" s="1" t="str">
        <f t="shared" si="468"/>
        <v>Bonis SpA</v>
      </c>
    </row>
    <row r="668" spans="2:58" x14ac:dyDescent="0.25">
      <c r="B668" s="1">
        <v>2494</v>
      </c>
      <c r="C668" s="1" t="str">
        <f t="shared" si="476"/>
        <v>DECOR4237S7/C1</v>
      </c>
      <c r="E668" s="1" t="str">
        <f>"38"</f>
        <v>38</v>
      </c>
      <c r="F668" s="1" t="str">
        <f t="shared" si="456"/>
        <v>BONIS SPA</v>
      </c>
      <c r="G668" s="1" t="str">
        <f t="shared" si="451"/>
        <v>STOCK SCAFFALE MP</v>
      </c>
      <c r="H668" s="1" t="str">
        <f t="shared" si="477"/>
        <v>BLK</v>
      </c>
      <c r="K668" s="1">
        <v>3</v>
      </c>
      <c r="L668" s="1" t="str">
        <f t="shared" si="457"/>
        <v>01</v>
      </c>
      <c r="M668" s="1" t="str">
        <f t="shared" si="452"/>
        <v>408</v>
      </c>
      <c r="N668" s="1" t="str">
        <f t="shared" si="478"/>
        <v>013</v>
      </c>
      <c r="O668" s="1" t="str">
        <f t="shared" si="458"/>
        <v>00</v>
      </c>
      <c r="P668" s="1" t="str">
        <f t="shared" si="459"/>
        <v>S</v>
      </c>
      <c r="Q668" s="1" t="str">
        <f t="shared" si="460"/>
        <v>P</v>
      </c>
      <c r="R668" s="1" t="str">
        <f t="shared" si="461"/>
        <v>01</v>
      </c>
      <c r="S668" s="1" t="str">
        <f t="shared" si="453"/>
        <v>04</v>
      </c>
      <c r="T668" s="1" t="str">
        <f t="shared" si="462"/>
        <v>False</v>
      </c>
      <c r="U668" s="1" t="str">
        <f t="shared" si="463"/>
        <v>True</v>
      </c>
      <c r="V668" s="1" t="str">
        <f>"U0032724"</f>
        <v>U0032724</v>
      </c>
      <c r="W668" s="1">
        <v>1</v>
      </c>
      <c r="Y668" s="1">
        <v>0</v>
      </c>
      <c r="Z668" s="1">
        <v>0</v>
      </c>
      <c r="AB668" s="1" t="str">
        <f t="shared" si="479"/>
        <v>SMU</v>
      </c>
      <c r="AI668" s="1" t="str">
        <f t="shared" si="480"/>
        <v>F11</v>
      </c>
      <c r="AJ668" s="1" t="str">
        <f t="shared" si="464"/>
        <v>WOMAN</v>
      </c>
      <c r="AK668" s="1" t="str">
        <f t="shared" si="465"/>
        <v>PA</v>
      </c>
      <c r="AP668" s="1" t="str">
        <f t="shared" si="466"/>
        <v>False</v>
      </c>
      <c r="AR668" s="1" t="str">
        <f t="shared" si="481"/>
        <v>DECOR</v>
      </c>
      <c r="AY668" s="1" t="str">
        <f t="shared" si="467"/>
        <v>PF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 t="str">
        <f t="shared" si="482"/>
        <v>R GOMMA CANVAS</v>
      </c>
      <c r="BF668" s="1" t="str">
        <f t="shared" si="468"/>
        <v>Bonis SpA</v>
      </c>
    </row>
    <row r="669" spans="2:58" x14ac:dyDescent="0.25">
      <c r="B669" s="1">
        <v>2494</v>
      </c>
      <c r="C669" s="1" t="str">
        <f t="shared" si="476"/>
        <v>DECOR4237S7/C1</v>
      </c>
      <c r="E669" s="1" t="str">
        <f>"38"</f>
        <v>38</v>
      </c>
      <c r="F669" s="1" t="str">
        <f t="shared" si="456"/>
        <v>BONIS SPA</v>
      </c>
      <c r="G669" s="1" t="str">
        <f t="shared" si="451"/>
        <v>STOCK SCAFFALE MP</v>
      </c>
      <c r="H669" s="1" t="str">
        <f t="shared" si="477"/>
        <v>BLK</v>
      </c>
      <c r="K669" s="1">
        <v>3</v>
      </c>
      <c r="L669" s="1" t="str">
        <f t="shared" si="457"/>
        <v>01</v>
      </c>
      <c r="M669" s="1" t="str">
        <f t="shared" si="452"/>
        <v>408</v>
      </c>
      <c r="N669" s="1" t="str">
        <f t="shared" si="478"/>
        <v>013</v>
      </c>
      <c r="O669" s="1" t="str">
        <f t="shared" si="458"/>
        <v>00</v>
      </c>
      <c r="P669" s="1" t="str">
        <f t="shared" si="459"/>
        <v>S</v>
      </c>
      <c r="Q669" s="1" t="str">
        <f t="shared" si="460"/>
        <v>P</v>
      </c>
      <c r="R669" s="1" t="str">
        <f t="shared" si="461"/>
        <v>01</v>
      </c>
      <c r="S669" s="1" t="str">
        <f t="shared" si="453"/>
        <v>04</v>
      </c>
      <c r="T669" s="1" t="str">
        <f t="shared" si="462"/>
        <v>False</v>
      </c>
      <c r="U669" s="1" t="str">
        <f t="shared" si="463"/>
        <v>True</v>
      </c>
      <c r="V669" s="1" t="str">
        <f>"U0032723"</f>
        <v>U0032723</v>
      </c>
      <c r="W669" s="1">
        <v>1</v>
      </c>
      <c r="Y669" s="1">
        <v>0</v>
      </c>
      <c r="Z669" s="1">
        <v>0</v>
      </c>
      <c r="AB669" s="1" t="str">
        <f t="shared" si="479"/>
        <v>SMU</v>
      </c>
      <c r="AI669" s="1" t="str">
        <f t="shared" si="480"/>
        <v>F11</v>
      </c>
      <c r="AJ669" s="1" t="str">
        <f t="shared" si="464"/>
        <v>WOMAN</v>
      </c>
      <c r="AK669" s="1" t="str">
        <f t="shared" si="465"/>
        <v>PA</v>
      </c>
      <c r="AP669" s="1" t="str">
        <f t="shared" si="466"/>
        <v>False</v>
      </c>
      <c r="AR669" s="1" t="str">
        <f t="shared" si="481"/>
        <v>DECOR</v>
      </c>
      <c r="AY669" s="1" t="str">
        <f t="shared" si="467"/>
        <v>PF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 t="str">
        <f t="shared" si="482"/>
        <v>R GOMMA CANVAS</v>
      </c>
      <c r="BF669" s="1" t="str">
        <f t="shared" si="468"/>
        <v>Bonis SpA</v>
      </c>
    </row>
    <row r="670" spans="2:58" x14ac:dyDescent="0.25">
      <c r="B670" s="1">
        <v>2494</v>
      </c>
      <c r="C670" s="1" t="str">
        <f t="shared" si="476"/>
        <v>DECOR4237S7/C1</v>
      </c>
      <c r="E670" s="1" t="str">
        <f>"39"</f>
        <v>39</v>
      </c>
      <c r="F670" s="1" t="str">
        <f t="shared" si="456"/>
        <v>BONIS SPA</v>
      </c>
      <c r="G670" s="1" t="str">
        <f t="shared" si="451"/>
        <v>STOCK SCAFFALE MP</v>
      </c>
      <c r="H670" s="1" t="str">
        <f t="shared" si="477"/>
        <v>BLK</v>
      </c>
      <c r="K670" s="1">
        <v>4</v>
      </c>
      <c r="L670" s="1" t="str">
        <f t="shared" si="457"/>
        <v>01</v>
      </c>
      <c r="M670" s="1" t="str">
        <f t="shared" si="452"/>
        <v>408</v>
      </c>
      <c r="N670" s="1" t="str">
        <f t="shared" si="478"/>
        <v>013</v>
      </c>
      <c r="O670" s="1" t="str">
        <f t="shared" si="458"/>
        <v>00</v>
      </c>
      <c r="P670" s="1" t="str">
        <f t="shared" si="459"/>
        <v>S</v>
      </c>
      <c r="Q670" s="1" t="str">
        <f t="shared" si="460"/>
        <v>P</v>
      </c>
      <c r="R670" s="1" t="str">
        <f t="shared" si="461"/>
        <v>01</v>
      </c>
      <c r="S670" s="1" t="str">
        <f t="shared" si="453"/>
        <v>04</v>
      </c>
      <c r="T670" s="1" t="str">
        <f t="shared" si="462"/>
        <v>False</v>
      </c>
      <c r="U670" s="1" t="str">
        <f t="shared" si="463"/>
        <v>True</v>
      </c>
      <c r="V670" s="1" t="str">
        <f>"U0032723"</f>
        <v>U0032723</v>
      </c>
      <c r="W670" s="1">
        <v>1</v>
      </c>
      <c r="Y670" s="1">
        <v>0</v>
      </c>
      <c r="Z670" s="1">
        <v>0</v>
      </c>
      <c r="AB670" s="1" t="str">
        <f t="shared" si="479"/>
        <v>SMU</v>
      </c>
      <c r="AI670" s="1" t="str">
        <f t="shared" si="480"/>
        <v>F11</v>
      </c>
      <c r="AJ670" s="1" t="str">
        <f t="shared" si="464"/>
        <v>WOMAN</v>
      </c>
      <c r="AK670" s="1" t="str">
        <f t="shared" si="465"/>
        <v>PA</v>
      </c>
      <c r="AP670" s="1" t="str">
        <f t="shared" si="466"/>
        <v>False</v>
      </c>
      <c r="AR670" s="1" t="str">
        <f t="shared" si="481"/>
        <v>DECOR</v>
      </c>
      <c r="AY670" s="1" t="str">
        <f t="shared" si="467"/>
        <v>PF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 t="str">
        <f t="shared" si="482"/>
        <v>R GOMMA CANVAS</v>
      </c>
      <c r="BF670" s="1" t="str">
        <f t="shared" si="468"/>
        <v>Bonis SpA</v>
      </c>
    </row>
    <row r="671" spans="2:58" x14ac:dyDescent="0.25">
      <c r="B671" s="1">
        <v>2494</v>
      </c>
      <c r="C671" s="1" t="str">
        <f t="shared" si="476"/>
        <v>DECOR4237S7/C1</v>
      </c>
      <c r="E671" s="1" t="str">
        <f>"41"</f>
        <v>41</v>
      </c>
      <c r="F671" s="1" t="str">
        <f t="shared" si="456"/>
        <v>BONIS SPA</v>
      </c>
      <c r="G671" s="1" t="str">
        <f t="shared" si="451"/>
        <v>STOCK SCAFFALE MP</v>
      </c>
      <c r="H671" s="1" t="str">
        <f t="shared" si="477"/>
        <v>BLK</v>
      </c>
      <c r="K671" s="1">
        <v>1</v>
      </c>
      <c r="L671" s="1" t="str">
        <f t="shared" si="457"/>
        <v>01</v>
      </c>
      <c r="M671" s="1" t="str">
        <f t="shared" si="452"/>
        <v>408</v>
      </c>
      <c r="N671" s="1" t="str">
        <f t="shared" si="478"/>
        <v>013</v>
      </c>
      <c r="O671" s="1" t="str">
        <f t="shared" si="458"/>
        <v>00</v>
      </c>
      <c r="P671" s="1" t="str">
        <f t="shared" si="459"/>
        <v>S</v>
      </c>
      <c r="Q671" s="1" t="str">
        <f t="shared" si="460"/>
        <v>P</v>
      </c>
      <c r="R671" s="1" t="str">
        <f t="shared" si="461"/>
        <v>01</v>
      </c>
      <c r="S671" s="1" t="str">
        <f t="shared" si="453"/>
        <v>04</v>
      </c>
      <c r="T671" s="1" t="str">
        <f t="shared" si="462"/>
        <v>False</v>
      </c>
      <c r="U671" s="1" t="str">
        <f t="shared" si="463"/>
        <v>True</v>
      </c>
      <c r="V671" s="1" t="str">
        <f>"U0032723"</f>
        <v>U0032723</v>
      </c>
      <c r="W671" s="1">
        <v>1</v>
      </c>
      <c r="Y671" s="1">
        <v>0</v>
      </c>
      <c r="Z671" s="1">
        <v>0</v>
      </c>
      <c r="AB671" s="1" t="str">
        <f t="shared" si="479"/>
        <v>SMU</v>
      </c>
      <c r="AI671" s="1" t="str">
        <f t="shared" si="480"/>
        <v>F11</v>
      </c>
      <c r="AJ671" s="1" t="str">
        <f t="shared" si="464"/>
        <v>WOMAN</v>
      </c>
      <c r="AK671" s="1" t="str">
        <f t="shared" si="465"/>
        <v>PA</v>
      </c>
      <c r="AP671" s="1" t="str">
        <f t="shared" si="466"/>
        <v>False</v>
      </c>
      <c r="AR671" s="1" t="str">
        <f t="shared" si="481"/>
        <v>DECOR</v>
      </c>
      <c r="AY671" s="1" t="str">
        <f t="shared" si="467"/>
        <v>PF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 t="str">
        <f t="shared" si="482"/>
        <v>R GOMMA CANVAS</v>
      </c>
      <c r="BF671" s="1" t="str">
        <f t="shared" si="468"/>
        <v>Bonis SpA</v>
      </c>
    </row>
    <row r="672" spans="2:58" x14ac:dyDescent="0.25">
      <c r="B672" s="1">
        <v>2494</v>
      </c>
      <c r="C672" s="1" t="str">
        <f t="shared" si="476"/>
        <v>DECOR4237S7/C1</v>
      </c>
      <c r="E672" s="1" t="str">
        <f>"40"</f>
        <v>40</v>
      </c>
      <c r="F672" s="1" t="str">
        <f t="shared" si="456"/>
        <v>BONIS SPA</v>
      </c>
      <c r="G672" s="1" t="str">
        <f t="shared" si="451"/>
        <v>STOCK SCAFFALE MP</v>
      </c>
      <c r="H672" s="1" t="str">
        <f t="shared" si="477"/>
        <v>BLK</v>
      </c>
      <c r="K672" s="1">
        <v>2</v>
      </c>
      <c r="L672" s="1" t="str">
        <f t="shared" si="457"/>
        <v>01</v>
      </c>
      <c r="M672" s="1" t="str">
        <f t="shared" si="452"/>
        <v>408</v>
      </c>
      <c r="N672" s="1" t="str">
        <f t="shared" si="478"/>
        <v>013</v>
      </c>
      <c r="O672" s="1" t="str">
        <f t="shared" si="458"/>
        <v>00</v>
      </c>
      <c r="P672" s="1" t="str">
        <f t="shared" si="459"/>
        <v>S</v>
      </c>
      <c r="Q672" s="1" t="str">
        <f t="shared" si="460"/>
        <v>P</v>
      </c>
      <c r="R672" s="1" t="str">
        <f t="shared" si="461"/>
        <v>01</v>
      </c>
      <c r="S672" s="1" t="str">
        <f t="shared" si="453"/>
        <v>04</v>
      </c>
      <c r="T672" s="1" t="str">
        <f t="shared" si="462"/>
        <v>False</v>
      </c>
      <c r="U672" s="1" t="str">
        <f t="shared" si="463"/>
        <v>True</v>
      </c>
      <c r="V672" s="1" t="str">
        <f>"U0032723"</f>
        <v>U0032723</v>
      </c>
      <c r="W672" s="1">
        <v>1</v>
      </c>
      <c r="Y672" s="1">
        <v>0</v>
      </c>
      <c r="Z672" s="1">
        <v>0</v>
      </c>
      <c r="AB672" s="1" t="str">
        <f t="shared" si="479"/>
        <v>SMU</v>
      </c>
      <c r="AI672" s="1" t="str">
        <f t="shared" si="480"/>
        <v>F11</v>
      </c>
      <c r="AJ672" s="1" t="str">
        <f t="shared" si="464"/>
        <v>WOMAN</v>
      </c>
      <c r="AK672" s="1" t="str">
        <f t="shared" si="465"/>
        <v>PA</v>
      </c>
      <c r="AP672" s="1" t="str">
        <f t="shared" si="466"/>
        <v>False</v>
      </c>
      <c r="AR672" s="1" t="str">
        <f t="shared" si="481"/>
        <v>DECOR</v>
      </c>
      <c r="AY672" s="1" t="str">
        <f t="shared" si="467"/>
        <v>PF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 t="str">
        <f t="shared" si="482"/>
        <v>R GOMMA CANVAS</v>
      </c>
      <c r="BF672" s="1" t="str">
        <f t="shared" si="468"/>
        <v>Bonis SpA</v>
      </c>
    </row>
    <row r="673" spans="2:58" x14ac:dyDescent="0.25">
      <c r="B673" s="1">
        <v>2494</v>
      </c>
      <c r="C673" s="1" t="str">
        <f t="shared" si="476"/>
        <v>DECOR4237S7/C1</v>
      </c>
      <c r="E673" s="1" t="str">
        <f>"37"</f>
        <v>37</v>
      </c>
      <c r="F673" s="1" t="str">
        <f t="shared" si="456"/>
        <v>BONIS SPA</v>
      </c>
      <c r="G673" s="1" t="str">
        <f t="shared" si="451"/>
        <v>STOCK SCAFFALE MP</v>
      </c>
      <c r="H673" s="1" t="str">
        <f t="shared" si="477"/>
        <v>BLK</v>
      </c>
      <c r="K673" s="1">
        <v>2</v>
      </c>
      <c r="L673" s="1" t="str">
        <f t="shared" si="457"/>
        <v>01</v>
      </c>
      <c r="M673" s="1" t="str">
        <f t="shared" si="452"/>
        <v>408</v>
      </c>
      <c r="N673" s="1" t="str">
        <f t="shared" si="478"/>
        <v>013</v>
      </c>
      <c r="O673" s="1" t="str">
        <f t="shared" si="458"/>
        <v>00</v>
      </c>
      <c r="P673" s="1" t="str">
        <f t="shared" si="459"/>
        <v>S</v>
      </c>
      <c r="Q673" s="1" t="str">
        <f t="shared" si="460"/>
        <v>P</v>
      </c>
      <c r="R673" s="1" t="str">
        <f t="shared" si="461"/>
        <v>01</v>
      </c>
      <c r="S673" s="1" t="str">
        <f t="shared" si="453"/>
        <v>04</v>
      </c>
      <c r="T673" s="1" t="str">
        <f t="shared" si="462"/>
        <v>False</v>
      </c>
      <c r="U673" s="1" t="str">
        <f t="shared" si="463"/>
        <v>True</v>
      </c>
      <c r="V673" s="1" t="str">
        <f>"U0032723"</f>
        <v>U0032723</v>
      </c>
      <c r="W673" s="1">
        <v>1</v>
      </c>
      <c r="Y673" s="1">
        <v>0</v>
      </c>
      <c r="Z673" s="1">
        <v>0</v>
      </c>
      <c r="AB673" s="1" t="str">
        <f t="shared" si="479"/>
        <v>SMU</v>
      </c>
      <c r="AI673" s="1" t="str">
        <f t="shared" si="480"/>
        <v>F11</v>
      </c>
      <c r="AJ673" s="1" t="str">
        <f t="shared" si="464"/>
        <v>WOMAN</v>
      </c>
      <c r="AK673" s="1" t="str">
        <f t="shared" si="465"/>
        <v>PA</v>
      </c>
      <c r="AP673" s="1" t="str">
        <f t="shared" si="466"/>
        <v>False</v>
      </c>
      <c r="AR673" s="1" t="str">
        <f t="shared" si="481"/>
        <v>DECOR</v>
      </c>
      <c r="AY673" s="1" t="str">
        <f t="shared" si="467"/>
        <v>PF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 t="str">
        <f t="shared" si="482"/>
        <v>R GOMMA CANVAS</v>
      </c>
      <c r="BF673" s="1" t="str">
        <f t="shared" si="468"/>
        <v>Bonis SpA</v>
      </c>
    </row>
    <row r="674" spans="2:58" x14ac:dyDescent="0.25">
      <c r="B674" s="1">
        <v>2494</v>
      </c>
      <c r="C674" s="1" t="str">
        <f t="shared" si="476"/>
        <v>DECOR4237S7/C1</v>
      </c>
      <c r="E674" s="1" t="str">
        <f>"37"</f>
        <v>37</v>
      </c>
      <c r="F674" s="1" t="str">
        <f t="shared" si="456"/>
        <v>BONIS SPA</v>
      </c>
      <c r="G674" s="1" t="str">
        <f t="shared" si="451"/>
        <v>STOCK SCAFFALE MP</v>
      </c>
      <c r="H674" s="1" t="str">
        <f t="shared" si="477"/>
        <v>BLK</v>
      </c>
      <c r="K674" s="1">
        <v>2</v>
      </c>
      <c r="L674" s="1" t="str">
        <f t="shared" si="457"/>
        <v>01</v>
      </c>
      <c r="M674" s="1" t="str">
        <f t="shared" si="452"/>
        <v>408</v>
      </c>
      <c r="N674" s="1" t="str">
        <f t="shared" si="478"/>
        <v>013</v>
      </c>
      <c r="O674" s="1" t="str">
        <f t="shared" si="458"/>
        <v>00</v>
      </c>
      <c r="P674" s="1" t="str">
        <f t="shared" si="459"/>
        <v>S</v>
      </c>
      <c r="Q674" s="1" t="str">
        <f t="shared" si="460"/>
        <v>P</v>
      </c>
      <c r="R674" s="1" t="str">
        <f t="shared" si="461"/>
        <v>01</v>
      </c>
      <c r="S674" s="1" t="str">
        <f t="shared" si="453"/>
        <v>04</v>
      </c>
      <c r="T674" s="1" t="str">
        <f t="shared" si="462"/>
        <v>False</v>
      </c>
      <c r="U674" s="1" t="str">
        <f t="shared" si="463"/>
        <v>True</v>
      </c>
      <c r="V674" s="1" t="str">
        <f>"U0032722"</f>
        <v>U0032722</v>
      </c>
      <c r="W674" s="1">
        <v>1</v>
      </c>
      <c r="Y674" s="1">
        <v>0</v>
      </c>
      <c r="Z674" s="1">
        <v>0</v>
      </c>
      <c r="AB674" s="1" t="str">
        <f t="shared" si="479"/>
        <v>SMU</v>
      </c>
      <c r="AI674" s="1" t="str">
        <f t="shared" si="480"/>
        <v>F11</v>
      </c>
      <c r="AJ674" s="1" t="str">
        <f t="shared" ref="AJ674:AJ705" si="483">"WOMAN"</f>
        <v>WOMAN</v>
      </c>
      <c r="AK674" s="1" t="str">
        <f t="shared" si="465"/>
        <v>PA</v>
      </c>
      <c r="AP674" s="1" t="str">
        <f t="shared" si="466"/>
        <v>False</v>
      </c>
      <c r="AR674" s="1" t="str">
        <f t="shared" si="481"/>
        <v>DECOR</v>
      </c>
      <c r="AY674" s="1" t="str">
        <f t="shared" si="467"/>
        <v>PF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 t="str">
        <f t="shared" si="482"/>
        <v>R GOMMA CANVAS</v>
      </c>
      <c r="BF674" s="1" t="str">
        <f t="shared" si="468"/>
        <v>Bonis SpA</v>
      </c>
    </row>
    <row r="675" spans="2:58" x14ac:dyDescent="0.25">
      <c r="B675" s="1">
        <v>2494</v>
      </c>
      <c r="C675" s="1" t="str">
        <f t="shared" si="476"/>
        <v>DECOR4237S7/C1</v>
      </c>
      <c r="E675" s="1" t="str">
        <f>"40"</f>
        <v>40</v>
      </c>
      <c r="F675" s="1" t="str">
        <f t="shared" si="456"/>
        <v>BONIS SPA</v>
      </c>
      <c r="G675" s="1" t="str">
        <f t="shared" si="451"/>
        <v>STOCK SCAFFALE MP</v>
      </c>
      <c r="H675" s="1" t="str">
        <f t="shared" si="477"/>
        <v>BLK</v>
      </c>
      <c r="K675" s="1">
        <v>3</v>
      </c>
      <c r="L675" s="1" t="str">
        <f t="shared" si="457"/>
        <v>01</v>
      </c>
      <c r="M675" s="1" t="str">
        <f t="shared" si="452"/>
        <v>408</v>
      </c>
      <c r="N675" s="1" t="str">
        <f t="shared" si="478"/>
        <v>013</v>
      </c>
      <c r="O675" s="1" t="str">
        <f t="shared" si="458"/>
        <v>00</v>
      </c>
      <c r="P675" s="1" t="str">
        <f t="shared" si="459"/>
        <v>S</v>
      </c>
      <c r="Q675" s="1" t="str">
        <f t="shared" si="460"/>
        <v>P</v>
      </c>
      <c r="R675" s="1" t="str">
        <f t="shared" si="461"/>
        <v>01</v>
      </c>
      <c r="S675" s="1" t="str">
        <f t="shared" si="453"/>
        <v>04</v>
      </c>
      <c r="T675" s="1" t="str">
        <f t="shared" si="462"/>
        <v>False</v>
      </c>
      <c r="U675" s="1" t="str">
        <f t="shared" si="463"/>
        <v>True</v>
      </c>
      <c r="V675" s="1" t="str">
        <f>"U0032722"</f>
        <v>U0032722</v>
      </c>
      <c r="W675" s="1">
        <v>1</v>
      </c>
      <c r="Y675" s="1">
        <v>0</v>
      </c>
      <c r="Z675" s="1">
        <v>0</v>
      </c>
      <c r="AB675" s="1" t="str">
        <f t="shared" si="479"/>
        <v>SMU</v>
      </c>
      <c r="AI675" s="1" t="str">
        <f t="shared" si="480"/>
        <v>F11</v>
      </c>
      <c r="AJ675" s="1" t="str">
        <f t="shared" si="483"/>
        <v>WOMAN</v>
      </c>
      <c r="AK675" s="1" t="str">
        <f t="shared" si="465"/>
        <v>PA</v>
      </c>
      <c r="AP675" s="1" t="str">
        <f t="shared" si="466"/>
        <v>False</v>
      </c>
      <c r="AR675" s="1" t="str">
        <f t="shared" si="481"/>
        <v>DECOR</v>
      </c>
      <c r="AY675" s="1" t="str">
        <f t="shared" si="467"/>
        <v>PF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 t="str">
        <f t="shared" si="482"/>
        <v>R GOMMA CANVAS</v>
      </c>
      <c r="BF675" s="1" t="str">
        <f t="shared" si="468"/>
        <v>Bonis SpA</v>
      </c>
    </row>
    <row r="676" spans="2:58" x14ac:dyDescent="0.25">
      <c r="B676" s="1">
        <v>2494</v>
      </c>
      <c r="C676" s="1" t="str">
        <f t="shared" si="476"/>
        <v>DECOR4237S7/C1</v>
      </c>
      <c r="E676" s="1" t="str">
        <f>"41"</f>
        <v>41</v>
      </c>
      <c r="F676" s="1" t="str">
        <f t="shared" si="456"/>
        <v>BONIS SPA</v>
      </c>
      <c r="G676" s="1" t="str">
        <f t="shared" si="451"/>
        <v>STOCK SCAFFALE MP</v>
      </c>
      <c r="H676" s="1" t="str">
        <f t="shared" si="477"/>
        <v>BLK</v>
      </c>
      <c r="K676" s="1">
        <v>1</v>
      </c>
      <c r="L676" s="1" t="str">
        <f t="shared" si="457"/>
        <v>01</v>
      </c>
      <c r="M676" s="1" t="str">
        <f t="shared" si="452"/>
        <v>408</v>
      </c>
      <c r="N676" s="1" t="str">
        <f t="shared" si="478"/>
        <v>013</v>
      </c>
      <c r="O676" s="1" t="str">
        <f t="shared" si="458"/>
        <v>00</v>
      </c>
      <c r="P676" s="1" t="str">
        <f t="shared" si="459"/>
        <v>S</v>
      </c>
      <c r="Q676" s="1" t="str">
        <f t="shared" si="460"/>
        <v>P</v>
      </c>
      <c r="R676" s="1" t="str">
        <f t="shared" si="461"/>
        <v>01</v>
      </c>
      <c r="S676" s="1" t="str">
        <f t="shared" si="453"/>
        <v>04</v>
      </c>
      <c r="T676" s="1" t="str">
        <f t="shared" si="462"/>
        <v>False</v>
      </c>
      <c r="U676" s="1" t="str">
        <f t="shared" si="463"/>
        <v>True</v>
      </c>
      <c r="V676" s="1" t="str">
        <f>"U0032722"</f>
        <v>U0032722</v>
      </c>
      <c r="W676" s="1">
        <v>1</v>
      </c>
      <c r="Y676" s="1">
        <v>0</v>
      </c>
      <c r="Z676" s="1">
        <v>0</v>
      </c>
      <c r="AB676" s="1" t="str">
        <f t="shared" si="479"/>
        <v>SMU</v>
      </c>
      <c r="AI676" s="1" t="str">
        <f t="shared" si="480"/>
        <v>F11</v>
      </c>
      <c r="AJ676" s="1" t="str">
        <f t="shared" si="483"/>
        <v>WOMAN</v>
      </c>
      <c r="AK676" s="1" t="str">
        <f t="shared" si="465"/>
        <v>PA</v>
      </c>
      <c r="AP676" s="1" t="str">
        <f t="shared" si="466"/>
        <v>False</v>
      </c>
      <c r="AR676" s="1" t="str">
        <f t="shared" si="481"/>
        <v>DECOR</v>
      </c>
      <c r="AY676" s="1" t="str">
        <f t="shared" si="467"/>
        <v>PF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 t="str">
        <f t="shared" si="482"/>
        <v>R GOMMA CANVAS</v>
      </c>
      <c r="BF676" s="1" t="str">
        <f t="shared" si="468"/>
        <v>Bonis SpA</v>
      </c>
    </row>
    <row r="677" spans="2:58" x14ac:dyDescent="0.25">
      <c r="B677" s="1">
        <v>2494</v>
      </c>
      <c r="C677" s="1" t="str">
        <f t="shared" si="476"/>
        <v>DECOR4237S7/C1</v>
      </c>
      <c r="E677" s="1" t="str">
        <f>"39"</f>
        <v>39</v>
      </c>
      <c r="F677" s="1" t="str">
        <f t="shared" si="456"/>
        <v>BONIS SPA</v>
      </c>
      <c r="G677" s="1" t="str">
        <f t="shared" si="451"/>
        <v>STOCK SCAFFALE MP</v>
      </c>
      <c r="H677" s="1" t="str">
        <f t="shared" si="477"/>
        <v>BLK</v>
      </c>
      <c r="K677" s="1">
        <v>3</v>
      </c>
      <c r="L677" s="1" t="str">
        <f t="shared" si="457"/>
        <v>01</v>
      </c>
      <c r="M677" s="1" t="str">
        <f t="shared" si="452"/>
        <v>408</v>
      </c>
      <c r="N677" s="1" t="str">
        <f t="shared" si="478"/>
        <v>013</v>
      </c>
      <c r="O677" s="1" t="str">
        <f t="shared" si="458"/>
        <v>00</v>
      </c>
      <c r="P677" s="1" t="str">
        <f t="shared" si="459"/>
        <v>S</v>
      </c>
      <c r="Q677" s="1" t="str">
        <f t="shared" si="460"/>
        <v>P</v>
      </c>
      <c r="R677" s="1" t="str">
        <f t="shared" si="461"/>
        <v>01</v>
      </c>
      <c r="S677" s="1" t="str">
        <f t="shared" si="453"/>
        <v>04</v>
      </c>
      <c r="T677" s="1" t="str">
        <f t="shared" si="462"/>
        <v>False</v>
      </c>
      <c r="U677" s="1" t="str">
        <f t="shared" si="463"/>
        <v>True</v>
      </c>
      <c r="V677" s="1" t="str">
        <f>"U0032722"</f>
        <v>U0032722</v>
      </c>
      <c r="W677" s="1">
        <v>1</v>
      </c>
      <c r="Y677" s="1">
        <v>0</v>
      </c>
      <c r="Z677" s="1">
        <v>0</v>
      </c>
      <c r="AB677" s="1" t="str">
        <f t="shared" si="479"/>
        <v>SMU</v>
      </c>
      <c r="AI677" s="1" t="str">
        <f t="shared" si="480"/>
        <v>F11</v>
      </c>
      <c r="AJ677" s="1" t="str">
        <f t="shared" si="483"/>
        <v>WOMAN</v>
      </c>
      <c r="AK677" s="1" t="str">
        <f t="shared" si="465"/>
        <v>PA</v>
      </c>
      <c r="AP677" s="1" t="str">
        <f t="shared" si="466"/>
        <v>False</v>
      </c>
      <c r="AR677" s="1" t="str">
        <f t="shared" si="481"/>
        <v>DECOR</v>
      </c>
      <c r="AY677" s="1" t="str">
        <f t="shared" si="467"/>
        <v>PF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 t="str">
        <f t="shared" si="482"/>
        <v>R GOMMA CANVAS</v>
      </c>
      <c r="BF677" s="1" t="str">
        <f t="shared" si="468"/>
        <v>Bonis SpA</v>
      </c>
    </row>
    <row r="678" spans="2:58" x14ac:dyDescent="0.25">
      <c r="B678" s="1">
        <v>2494</v>
      </c>
      <c r="C678" s="1" t="str">
        <f t="shared" si="476"/>
        <v>DECOR4237S7/C1</v>
      </c>
      <c r="E678" s="1" t="str">
        <f>"38"</f>
        <v>38</v>
      </c>
      <c r="F678" s="1" t="str">
        <f t="shared" si="456"/>
        <v>BONIS SPA</v>
      </c>
      <c r="G678" s="1" t="str">
        <f t="shared" si="451"/>
        <v>STOCK SCAFFALE MP</v>
      </c>
      <c r="H678" s="1" t="str">
        <f t="shared" si="477"/>
        <v>BLK</v>
      </c>
      <c r="K678" s="1">
        <v>3</v>
      </c>
      <c r="L678" s="1" t="str">
        <f t="shared" si="457"/>
        <v>01</v>
      </c>
      <c r="M678" s="1" t="str">
        <f t="shared" si="452"/>
        <v>408</v>
      </c>
      <c r="N678" s="1" t="str">
        <f t="shared" si="478"/>
        <v>013</v>
      </c>
      <c r="O678" s="1" t="str">
        <f t="shared" si="458"/>
        <v>00</v>
      </c>
      <c r="P678" s="1" t="str">
        <f t="shared" si="459"/>
        <v>S</v>
      </c>
      <c r="Q678" s="1" t="str">
        <f t="shared" si="460"/>
        <v>P</v>
      </c>
      <c r="R678" s="1" t="str">
        <f t="shared" si="461"/>
        <v>01</v>
      </c>
      <c r="S678" s="1" t="str">
        <f t="shared" si="453"/>
        <v>04</v>
      </c>
      <c r="T678" s="1" t="str">
        <f t="shared" si="462"/>
        <v>False</v>
      </c>
      <c r="U678" s="1" t="str">
        <f t="shared" si="463"/>
        <v>True</v>
      </c>
      <c r="V678" s="1" t="str">
        <f>"U0032722"</f>
        <v>U0032722</v>
      </c>
      <c r="W678" s="1">
        <v>1</v>
      </c>
      <c r="Y678" s="1">
        <v>0</v>
      </c>
      <c r="Z678" s="1">
        <v>0</v>
      </c>
      <c r="AB678" s="1" t="str">
        <f t="shared" si="479"/>
        <v>SMU</v>
      </c>
      <c r="AI678" s="1" t="str">
        <f t="shared" si="480"/>
        <v>F11</v>
      </c>
      <c r="AJ678" s="1" t="str">
        <f t="shared" si="483"/>
        <v>WOMAN</v>
      </c>
      <c r="AK678" s="1" t="str">
        <f t="shared" si="465"/>
        <v>PA</v>
      </c>
      <c r="AP678" s="1" t="str">
        <f t="shared" si="466"/>
        <v>False</v>
      </c>
      <c r="AR678" s="1" t="str">
        <f t="shared" si="481"/>
        <v>DECOR</v>
      </c>
      <c r="AY678" s="1" t="str">
        <f t="shared" si="467"/>
        <v>PF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 t="str">
        <f t="shared" si="482"/>
        <v>R GOMMA CANVAS</v>
      </c>
      <c r="BF678" s="1" t="str">
        <f t="shared" si="468"/>
        <v>Bonis SpA</v>
      </c>
    </row>
    <row r="679" spans="2:58" x14ac:dyDescent="0.25">
      <c r="B679" s="1">
        <v>2494</v>
      </c>
      <c r="C679" s="1" t="str">
        <f t="shared" si="476"/>
        <v>DECOR4237S7/C1</v>
      </c>
      <c r="E679" s="1" t="str">
        <f>"38"</f>
        <v>38</v>
      </c>
      <c r="F679" s="1" t="str">
        <f t="shared" si="456"/>
        <v>BONIS SPA</v>
      </c>
      <c r="G679" s="1" t="str">
        <f t="shared" si="451"/>
        <v>STOCK SCAFFALE MP</v>
      </c>
      <c r="H679" s="1" t="str">
        <f t="shared" si="477"/>
        <v>BLK</v>
      </c>
      <c r="K679" s="1">
        <v>3</v>
      </c>
      <c r="L679" s="1" t="str">
        <f t="shared" si="457"/>
        <v>01</v>
      </c>
      <c r="M679" s="1" t="str">
        <f t="shared" si="452"/>
        <v>408</v>
      </c>
      <c r="N679" s="1" t="str">
        <f t="shared" si="478"/>
        <v>013</v>
      </c>
      <c r="O679" s="1" t="str">
        <f t="shared" si="458"/>
        <v>00</v>
      </c>
      <c r="P679" s="1" t="str">
        <f t="shared" si="459"/>
        <v>S</v>
      </c>
      <c r="Q679" s="1" t="str">
        <f t="shared" si="460"/>
        <v>P</v>
      </c>
      <c r="R679" s="1" t="str">
        <f t="shared" si="461"/>
        <v>01</v>
      </c>
      <c r="S679" s="1" t="str">
        <f t="shared" si="453"/>
        <v>04</v>
      </c>
      <c r="T679" s="1" t="str">
        <f t="shared" si="462"/>
        <v>False</v>
      </c>
      <c r="U679" s="1" t="str">
        <f t="shared" si="463"/>
        <v>True</v>
      </c>
      <c r="V679" s="1" t="str">
        <f>"U0032721"</f>
        <v>U0032721</v>
      </c>
      <c r="W679" s="1">
        <v>1</v>
      </c>
      <c r="Y679" s="1">
        <v>0</v>
      </c>
      <c r="Z679" s="1">
        <v>0</v>
      </c>
      <c r="AB679" s="1" t="str">
        <f t="shared" si="479"/>
        <v>SMU</v>
      </c>
      <c r="AI679" s="1" t="str">
        <f t="shared" si="480"/>
        <v>F11</v>
      </c>
      <c r="AJ679" s="1" t="str">
        <f t="shared" si="483"/>
        <v>WOMAN</v>
      </c>
      <c r="AK679" s="1" t="str">
        <f t="shared" si="465"/>
        <v>PA</v>
      </c>
      <c r="AP679" s="1" t="str">
        <f t="shared" si="466"/>
        <v>False</v>
      </c>
      <c r="AR679" s="1" t="str">
        <f t="shared" si="481"/>
        <v>DECOR</v>
      </c>
      <c r="AY679" s="1" t="str">
        <f t="shared" si="467"/>
        <v>PF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 t="str">
        <f t="shared" si="482"/>
        <v>R GOMMA CANVAS</v>
      </c>
      <c r="BF679" s="1" t="str">
        <f t="shared" si="468"/>
        <v>Bonis SpA</v>
      </c>
    </row>
    <row r="680" spans="2:58" x14ac:dyDescent="0.25">
      <c r="B680" s="1">
        <v>2494</v>
      </c>
      <c r="C680" s="1" t="str">
        <f t="shared" si="476"/>
        <v>DECOR4237S7/C1</v>
      </c>
      <c r="E680" s="1" t="str">
        <f>"39"</f>
        <v>39</v>
      </c>
      <c r="F680" s="1" t="str">
        <f t="shared" si="456"/>
        <v>BONIS SPA</v>
      </c>
      <c r="G680" s="1" t="str">
        <f t="shared" si="451"/>
        <v>STOCK SCAFFALE MP</v>
      </c>
      <c r="H680" s="1" t="str">
        <f t="shared" si="477"/>
        <v>BLK</v>
      </c>
      <c r="K680" s="1">
        <v>4</v>
      </c>
      <c r="L680" s="1" t="str">
        <f t="shared" si="457"/>
        <v>01</v>
      </c>
      <c r="M680" s="1" t="str">
        <f t="shared" si="452"/>
        <v>408</v>
      </c>
      <c r="N680" s="1" t="str">
        <f t="shared" si="478"/>
        <v>013</v>
      </c>
      <c r="O680" s="1" t="str">
        <f t="shared" si="458"/>
        <v>00</v>
      </c>
      <c r="P680" s="1" t="str">
        <f t="shared" si="459"/>
        <v>S</v>
      </c>
      <c r="Q680" s="1" t="str">
        <f t="shared" si="460"/>
        <v>P</v>
      </c>
      <c r="R680" s="1" t="str">
        <f t="shared" si="461"/>
        <v>01</v>
      </c>
      <c r="S680" s="1" t="str">
        <f t="shared" si="453"/>
        <v>04</v>
      </c>
      <c r="T680" s="1" t="str">
        <f t="shared" si="462"/>
        <v>False</v>
      </c>
      <c r="U680" s="1" t="str">
        <f t="shared" si="463"/>
        <v>True</v>
      </c>
      <c r="V680" s="1" t="str">
        <f>"U0032721"</f>
        <v>U0032721</v>
      </c>
      <c r="W680" s="1">
        <v>1</v>
      </c>
      <c r="Y680" s="1">
        <v>0</v>
      </c>
      <c r="Z680" s="1">
        <v>0</v>
      </c>
      <c r="AB680" s="1" t="str">
        <f t="shared" si="479"/>
        <v>SMU</v>
      </c>
      <c r="AI680" s="1" t="str">
        <f t="shared" si="480"/>
        <v>F11</v>
      </c>
      <c r="AJ680" s="1" t="str">
        <f t="shared" si="483"/>
        <v>WOMAN</v>
      </c>
      <c r="AK680" s="1" t="str">
        <f t="shared" si="465"/>
        <v>PA</v>
      </c>
      <c r="AP680" s="1" t="str">
        <f t="shared" si="466"/>
        <v>False</v>
      </c>
      <c r="AR680" s="1" t="str">
        <f t="shared" si="481"/>
        <v>DECOR</v>
      </c>
      <c r="AY680" s="1" t="str">
        <f t="shared" si="467"/>
        <v>PF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 t="str">
        <f t="shared" si="482"/>
        <v>R GOMMA CANVAS</v>
      </c>
      <c r="BF680" s="1" t="str">
        <f t="shared" si="468"/>
        <v>Bonis SpA</v>
      </c>
    </row>
    <row r="681" spans="2:58" x14ac:dyDescent="0.25">
      <c r="B681" s="1">
        <v>2494</v>
      </c>
      <c r="C681" s="1" t="str">
        <f t="shared" si="476"/>
        <v>DECOR4237S7/C1</v>
      </c>
      <c r="E681" s="1" t="str">
        <f>"37"</f>
        <v>37</v>
      </c>
      <c r="F681" s="1" t="str">
        <f t="shared" si="456"/>
        <v>BONIS SPA</v>
      </c>
      <c r="G681" s="1" t="str">
        <f t="shared" si="451"/>
        <v>STOCK SCAFFALE MP</v>
      </c>
      <c r="H681" s="1" t="str">
        <f t="shared" si="477"/>
        <v>BLK</v>
      </c>
      <c r="K681" s="1">
        <v>2</v>
      </c>
      <c r="L681" s="1" t="str">
        <f t="shared" si="457"/>
        <v>01</v>
      </c>
      <c r="M681" s="1" t="str">
        <f t="shared" si="452"/>
        <v>408</v>
      </c>
      <c r="N681" s="1" t="str">
        <f t="shared" si="478"/>
        <v>013</v>
      </c>
      <c r="O681" s="1" t="str">
        <f t="shared" si="458"/>
        <v>00</v>
      </c>
      <c r="P681" s="1" t="str">
        <f t="shared" si="459"/>
        <v>S</v>
      </c>
      <c r="Q681" s="1" t="str">
        <f t="shared" si="460"/>
        <v>P</v>
      </c>
      <c r="R681" s="1" t="str">
        <f t="shared" si="461"/>
        <v>01</v>
      </c>
      <c r="S681" s="1" t="str">
        <f t="shared" si="453"/>
        <v>04</v>
      </c>
      <c r="T681" s="1" t="str">
        <f t="shared" si="462"/>
        <v>False</v>
      </c>
      <c r="U681" s="1" t="str">
        <f t="shared" si="463"/>
        <v>True</v>
      </c>
      <c r="V681" s="1" t="str">
        <f>"U0032721"</f>
        <v>U0032721</v>
      </c>
      <c r="W681" s="1">
        <v>1</v>
      </c>
      <c r="Y681" s="1">
        <v>0</v>
      </c>
      <c r="Z681" s="1">
        <v>0</v>
      </c>
      <c r="AB681" s="1" t="str">
        <f t="shared" si="479"/>
        <v>SMU</v>
      </c>
      <c r="AI681" s="1" t="str">
        <f t="shared" si="480"/>
        <v>F11</v>
      </c>
      <c r="AJ681" s="1" t="str">
        <f t="shared" si="483"/>
        <v>WOMAN</v>
      </c>
      <c r="AK681" s="1" t="str">
        <f t="shared" si="465"/>
        <v>PA</v>
      </c>
      <c r="AP681" s="1" t="str">
        <f t="shared" si="466"/>
        <v>False</v>
      </c>
      <c r="AR681" s="1" t="str">
        <f t="shared" si="481"/>
        <v>DECOR</v>
      </c>
      <c r="AY681" s="1" t="str">
        <f t="shared" si="467"/>
        <v>PF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 t="str">
        <f t="shared" si="482"/>
        <v>R GOMMA CANVAS</v>
      </c>
      <c r="BF681" s="1" t="str">
        <f t="shared" si="468"/>
        <v>Bonis SpA</v>
      </c>
    </row>
    <row r="682" spans="2:58" x14ac:dyDescent="0.25">
      <c r="B682" s="1">
        <v>2494</v>
      </c>
      <c r="C682" s="1" t="str">
        <f t="shared" si="476"/>
        <v>DECOR4237S7/C1</v>
      </c>
      <c r="E682" s="1" t="str">
        <f>"40"</f>
        <v>40</v>
      </c>
      <c r="F682" s="1" t="str">
        <f t="shared" si="456"/>
        <v>BONIS SPA</v>
      </c>
      <c r="G682" s="1" t="str">
        <f t="shared" si="451"/>
        <v>STOCK SCAFFALE MP</v>
      </c>
      <c r="H682" s="1" t="str">
        <f t="shared" si="477"/>
        <v>BLK</v>
      </c>
      <c r="K682" s="1">
        <v>2</v>
      </c>
      <c r="L682" s="1" t="str">
        <f t="shared" si="457"/>
        <v>01</v>
      </c>
      <c r="M682" s="1" t="str">
        <f t="shared" si="452"/>
        <v>408</v>
      </c>
      <c r="N682" s="1" t="str">
        <f t="shared" si="478"/>
        <v>013</v>
      </c>
      <c r="O682" s="1" t="str">
        <f t="shared" si="458"/>
        <v>00</v>
      </c>
      <c r="P682" s="1" t="str">
        <f t="shared" si="459"/>
        <v>S</v>
      </c>
      <c r="Q682" s="1" t="str">
        <f t="shared" si="460"/>
        <v>P</v>
      </c>
      <c r="R682" s="1" t="str">
        <f t="shared" si="461"/>
        <v>01</v>
      </c>
      <c r="S682" s="1" t="str">
        <f t="shared" si="453"/>
        <v>04</v>
      </c>
      <c r="T682" s="1" t="str">
        <f t="shared" si="462"/>
        <v>False</v>
      </c>
      <c r="U682" s="1" t="str">
        <f t="shared" si="463"/>
        <v>True</v>
      </c>
      <c r="V682" s="1" t="str">
        <f>"U0032721"</f>
        <v>U0032721</v>
      </c>
      <c r="W682" s="1">
        <v>1</v>
      </c>
      <c r="Y682" s="1">
        <v>0</v>
      </c>
      <c r="Z682" s="1">
        <v>0</v>
      </c>
      <c r="AB682" s="1" t="str">
        <f t="shared" si="479"/>
        <v>SMU</v>
      </c>
      <c r="AI682" s="1" t="str">
        <f t="shared" si="480"/>
        <v>F11</v>
      </c>
      <c r="AJ682" s="1" t="str">
        <f t="shared" si="483"/>
        <v>WOMAN</v>
      </c>
      <c r="AK682" s="1" t="str">
        <f t="shared" si="465"/>
        <v>PA</v>
      </c>
      <c r="AP682" s="1" t="str">
        <f t="shared" si="466"/>
        <v>False</v>
      </c>
      <c r="AR682" s="1" t="str">
        <f t="shared" si="481"/>
        <v>DECOR</v>
      </c>
      <c r="AY682" s="1" t="str">
        <f t="shared" si="467"/>
        <v>PF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 t="str">
        <f t="shared" si="482"/>
        <v>R GOMMA CANVAS</v>
      </c>
      <c r="BF682" s="1" t="str">
        <f t="shared" si="468"/>
        <v>Bonis SpA</v>
      </c>
    </row>
    <row r="683" spans="2:58" x14ac:dyDescent="0.25">
      <c r="B683" s="1">
        <v>2494</v>
      </c>
      <c r="C683" s="1" t="str">
        <f t="shared" si="476"/>
        <v>DECOR4237S7/C1</v>
      </c>
      <c r="E683" s="1" t="str">
        <f>"41"</f>
        <v>41</v>
      </c>
      <c r="F683" s="1" t="str">
        <f t="shared" si="456"/>
        <v>BONIS SPA</v>
      </c>
      <c r="G683" s="1" t="str">
        <f t="shared" si="451"/>
        <v>STOCK SCAFFALE MP</v>
      </c>
      <c r="H683" s="1" t="str">
        <f t="shared" si="477"/>
        <v>BLK</v>
      </c>
      <c r="K683" s="1">
        <v>1</v>
      </c>
      <c r="L683" s="1" t="str">
        <f t="shared" si="457"/>
        <v>01</v>
      </c>
      <c r="M683" s="1" t="str">
        <f t="shared" si="452"/>
        <v>408</v>
      </c>
      <c r="N683" s="1" t="str">
        <f t="shared" si="478"/>
        <v>013</v>
      </c>
      <c r="O683" s="1" t="str">
        <f t="shared" si="458"/>
        <v>00</v>
      </c>
      <c r="P683" s="1" t="str">
        <f t="shared" si="459"/>
        <v>S</v>
      </c>
      <c r="Q683" s="1" t="str">
        <f t="shared" si="460"/>
        <v>P</v>
      </c>
      <c r="R683" s="1" t="str">
        <f t="shared" si="461"/>
        <v>01</v>
      </c>
      <c r="S683" s="1" t="str">
        <f t="shared" si="453"/>
        <v>04</v>
      </c>
      <c r="T683" s="1" t="str">
        <f t="shared" si="462"/>
        <v>False</v>
      </c>
      <c r="U683" s="1" t="str">
        <f t="shared" si="463"/>
        <v>True</v>
      </c>
      <c r="V683" s="1" t="str">
        <f>"U0032721"</f>
        <v>U0032721</v>
      </c>
      <c r="W683" s="1">
        <v>1</v>
      </c>
      <c r="Y683" s="1">
        <v>0</v>
      </c>
      <c r="Z683" s="1">
        <v>0</v>
      </c>
      <c r="AB683" s="1" t="str">
        <f t="shared" si="479"/>
        <v>SMU</v>
      </c>
      <c r="AI683" s="1" t="str">
        <f t="shared" si="480"/>
        <v>F11</v>
      </c>
      <c r="AJ683" s="1" t="str">
        <f t="shared" si="483"/>
        <v>WOMAN</v>
      </c>
      <c r="AK683" s="1" t="str">
        <f t="shared" si="465"/>
        <v>PA</v>
      </c>
      <c r="AP683" s="1" t="str">
        <f t="shared" si="466"/>
        <v>False</v>
      </c>
      <c r="AR683" s="1" t="str">
        <f t="shared" si="481"/>
        <v>DECOR</v>
      </c>
      <c r="AY683" s="1" t="str">
        <f t="shared" si="467"/>
        <v>PF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 t="str">
        <f t="shared" si="482"/>
        <v>R GOMMA CANVAS</v>
      </c>
      <c r="BF683" s="1" t="str">
        <f t="shared" si="468"/>
        <v>Bonis SpA</v>
      </c>
    </row>
    <row r="684" spans="2:58" x14ac:dyDescent="0.25">
      <c r="B684" s="1">
        <v>2494</v>
      </c>
      <c r="C684" s="1" t="str">
        <f t="shared" si="476"/>
        <v>DECOR4237S7/C1</v>
      </c>
      <c r="E684" s="1" t="str">
        <f>"39"</f>
        <v>39</v>
      </c>
      <c r="F684" s="1" t="str">
        <f t="shared" si="456"/>
        <v>BONIS SPA</v>
      </c>
      <c r="G684" s="1" t="str">
        <f t="shared" si="451"/>
        <v>STOCK SCAFFALE MP</v>
      </c>
      <c r="H684" s="1" t="str">
        <f t="shared" ref="H684:H703" si="484">"DKBL"</f>
        <v>DKBL</v>
      </c>
      <c r="K684" s="1">
        <v>2</v>
      </c>
      <c r="L684" s="1" t="str">
        <f t="shared" si="457"/>
        <v>01</v>
      </c>
      <c r="M684" s="1" t="str">
        <f t="shared" si="452"/>
        <v>408</v>
      </c>
      <c r="N684" s="1" t="str">
        <f t="shared" si="478"/>
        <v>013</v>
      </c>
      <c r="O684" s="1" t="str">
        <f t="shared" si="458"/>
        <v>00</v>
      </c>
      <c r="P684" s="1" t="str">
        <f t="shared" si="459"/>
        <v>S</v>
      </c>
      <c r="Q684" s="1" t="str">
        <f t="shared" si="460"/>
        <v>P</v>
      </c>
      <c r="R684" s="1" t="str">
        <f t="shared" si="461"/>
        <v>01</v>
      </c>
      <c r="S684" s="1" t="str">
        <f t="shared" si="453"/>
        <v>04</v>
      </c>
      <c r="T684" s="1" t="str">
        <f t="shared" si="462"/>
        <v>False</v>
      </c>
      <c r="U684" s="1" t="str">
        <f t="shared" si="463"/>
        <v>True</v>
      </c>
      <c r="V684" s="1" t="str">
        <f>"U0032720"</f>
        <v>U0032720</v>
      </c>
      <c r="W684" s="1">
        <v>1</v>
      </c>
      <c r="Y684" s="1">
        <v>0</v>
      </c>
      <c r="Z684" s="1">
        <v>0</v>
      </c>
      <c r="AB684" s="1" t="str">
        <f t="shared" si="479"/>
        <v>SMU</v>
      </c>
      <c r="AI684" s="1" t="str">
        <f t="shared" si="480"/>
        <v>F11</v>
      </c>
      <c r="AJ684" s="1" t="str">
        <f t="shared" si="483"/>
        <v>WOMAN</v>
      </c>
      <c r="AK684" s="1" t="str">
        <f t="shared" si="465"/>
        <v>PA</v>
      </c>
      <c r="AP684" s="1" t="str">
        <f t="shared" si="466"/>
        <v>False</v>
      </c>
      <c r="AR684" s="1" t="str">
        <f t="shared" si="481"/>
        <v>DECOR</v>
      </c>
      <c r="AY684" s="1" t="str">
        <f t="shared" si="467"/>
        <v>PF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 t="str">
        <f t="shared" si="482"/>
        <v>R GOMMA CANVAS</v>
      </c>
      <c r="BF684" s="1" t="str">
        <f t="shared" si="468"/>
        <v>Bonis SpA</v>
      </c>
    </row>
    <row r="685" spans="2:58" x14ac:dyDescent="0.25">
      <c r="B685" s="1">
        <v>2494</v>
      </c>
      <c r="C685" s="1" t="str">
        <f t="shared" si="476"/>
        <v>DECOR4237S7/C1</v>
      </c>
      <c r="E685" s="1" t="str">
        <f>"40"</f>
        <v>40</v>
      </c>
      <c r="F685" s="1" t="str">
        <f t="shared" si="456"/>
        <v>BONIS SPA</v>
      </c>
      <c r="G685" s="1" t="str">
        <f t="shared" si="451"/>
        <v>STOCK SCAFFALE MP</v>
      </c>
      <c r="H685" s="1" t="str">
        <f t="shared" si="484"/>
        <v>DKBL</v>
      </c>
      <c r="K685" s="1">
        <v>3</v>
      </c>
      <c r="L685" s="1" t="str">
        <f t="shared" si="457"/>
        <v>01</v>
      </c>
      <c r="M685" s="1" t="str">
        <f t="shared" si="452"/>
        <v>408</v>
      </c>
      <c r="N685" s="1" t="str">
        <f t="shared" si="478"/>
        <v>013</v>
      </c>
      <c r="O685" s="1" t="str">
        <f t="shared" si="458"/>
        <v>00</v>
      </c>
      <c r="P685" s="1" t="str">
        <f t="shared" si="459"/>
        <v>S</v>
      </c>
      <c r="Q685" s="1" t="str">
        <f t="shared" si="460"/>
        <v>P</v>
      </c>
      <c r="R685" s="1" t="str">
        <f t="shared" si="461"/>
        <v>01</v>
      </c>
      <c r="S685" s="1" t="str">
        <f t="shared" si="453"/>
        <v>04</v>
      </c>
      <c r="T685" s="1" t="str">
        <f t="shared" si="462"/>
        <v>False</v>
      </c>
      <c r="U685" s="1" t="str">
        <f t="shared" si="463"/>
        <v>True</v>
      </c>
      <c r="V685" s="1" t="str">
        <f>"U0032720"</f>
        <v>U0032720</v>
      </c>
      <c r="W685" s="1">
        <v>1</v>
      </c>
      <c r="Y685" s="1">
        <v>0</v>
      </c>
      <c r="Z685" s="1">
        <v>0</v>
      </c>
      <c r="AB685" s="1" t="str">
        <f t="shared" si="479"/>
        <v>SMU</v>
      </c>
      <c r="AI685" s="1" t="str">
        <f t="shared" si="480"/>
        <v>F11</v>
      </c>
      <c r="AJ685" s="1" t="str">
        <f t="shared" si="483"/>
        <v>WOMAN</v>
      </c>
      <c r="AK685" s="1" t="str">
        <f t="shared" si="465"/>
        <v>PA</v>
      </c>
      <c r="AP685" s="1" t="str">
        <f t="shared" si="466"/>
        <v>False</v>
      </c>
      <c r="AR685" s="1" t="str">
        <f t="shared" si="481"/>
        <v>DECOR</v>
      </c>
      <c r="AY685" s="1" t="str">
        <f t="shared" si="467"/>
        <v>PF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 t="str">
        <f t="shared" si="482"/>
        <v>R GOMMA CANVAS</v>
      </c>
      <c r="BF685" s="1" t="str">
        <f t="shared" si="468"/>
        <v>Bonis SpA</v>
      </c>
    </row>
    <row r="686" spans="2:58" x14ac:dyDescent="0.25">
      <c r="B686" s="1">
        <v>2494</v>
      </c>
      <c r="C686" s="1" t="str">
        <f t="shared" si="476"/>
        <v>DECOR4237S7/C1</v>
      </c>
      <c r="E686" s="1" t="str">
        <f>"38"</f>
        <v>38</v>
      </c>
      <c r="F686" s="1" t="str">
        <f t="shared" si="456"/>
        <v>BONIS SPA</v>
      </c>
      <c r="G686" s="1" t="str">
        <f t="shared" si="451"/>
        <v>STOCK SCAFFALE MP</v>
      </c>
      <c r="H686" s="1" t="str">
        <f t="shared" si="484"/>
        <v>DKBL</v>
      </c>
      <c r="K686" s="1">
        <v>2</v>
      </c>
      <c r="L686" s="1" t="str">
        <f t="shared" si="457"/>
        <v>01</v>
      </c>
      <c r="M686" s="1" t="str">
        <f t="shared" si="452"/>
        <v>408</v>
      </c>
      <c r="N686" s="1" t="str">
        <f t="shared" si="478"/>
        <v>013</v>
      </c>
      <c r="O686" s="1" t="str">
        <f t="shared" si="458"/>
        <v>00</v>
      </c>
      <c r="P686" s="1" t="str">
        <f t="shared" si="459"/>
        <v>S</v>
      </c>
      <c r="Q686" s="1" t="str">
        <f t="shared" si="460"/>
        <v>P</v>
      </c>
      <c r="R686" s="1" t="str">
        <f t="shared" si="461"/>
        <v>01</v>
      </c>
      <c r="S686" s="1" t="str">
        <f t="shared" si="453"/>
        <v>04</v>
      </c>
      <c r="T686" s="1" t="str">
        <f t="shared" si="462"/>
        <v>False</v>
      </c>
      <c r="U686" s="1" t="str">
        <f t="shared" si="463"/>
        <v>True</v>
      </c>
      <c r="V686" s="1" t="str">
        <f>"U0032720"</f>
        <v>U0032720</v>
      </c>
      <c r="W686" s="1">
        <v>1</v>
      </c>
      <c r="Y686" s="1">
        <v>0</v>
      </c>
      <c r="Z686" s="1">
        <v>0</v>
      </c>
      <c r="AB686" s="1" t="str">
        <f t="shared" si="479"/>
        <v>SMU</v>
      </c>
      <c r="AI686" s="1" t="str">
        <f t="shared" si="480"/>
        <v>F11</v>
      </c>
      <c r="AJ686" s="1" t="str">
        <f t="shared" si="483"/>
        <v>WOMAN</v>
      </c>
      <c r="AK686" s="1" t="str">
        <f t="shared" si="465"/>
        <v>PA</v>
      </c>
      <c r="AP686" s="1" t="str">
        <f t="shared" si="466"/>
        <v>False</v>
      </c>
      <c r="AR686" s="1" t="str">
        <f t="shared" si="481"/>
        <v>DECOR</v>
      </c>
      <c r="AY686" s="1" t="str">
        <f t="shared" si="467"/>
        <v>PF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 t="str">
        <f t="shared" si="482"/>
        <v>R GOMMA CANVAS</v>
      </c>
      <c r="BF686" s="1" t="str">
        <f t="shared" si="468"/>
        <v>Bonis SpA</v>
      </c>
    </row>
    <row r="687" spans="2:58" x14ac:dyDescent="0.25">
      <c r="B687" s="1">
        <v>2494</v>
      </c>
      <c r="C687" s="1" t="str">
        <f t="shared" si="476"/>
        <v>DECOR4237S7/C1</v>
      </c>
      <c r="E687" s="1" t="str">
        <f>"41"</f>
        <v>41</v>
      </c>
      <c r="F687" s="1" t="str">
        <f t="shared" si="456"/>
        <v>BONIS SPA</v>
      </c>
      <c r="G687" s="1" t="str">
        <f t="shared" si="451"/>
        <v>STOCK SCAFFALE MP</v>
      </c>
      <c r="H687" s="1" t="str">
        <f t="shared" si="484"/>
        <v>DKBL</v>
      </c>
      <c r="K687" s="1">
        <v>2</v>
      </c>
      <c r="L687" s="1" t="str">
        <f t="shared" si="457"/>
        <v>01</v>
      </c>
      <c r="M687" s="1" t="str">
        <f t="shared" si="452"/>
        <v>408</v>
      </c>
      <c r="N687" s="1" t="str">
        <f t="shared" si="478"/>
        <v>013</v>
      </c>
      <c r="O687" s="1" t="str">
        <f t="shared" si="458"/>
        <v>00</v>
      </c>
      <c r="P687" s="1" t="str">
        <f t="shared" si="459"/>
        <v>S</v>
      </c>
      <c r="Q687" s="1" t="str">
        <f t="shared" si="460"/>
        <v>P</v>
      </c>
      <c r="R687" s="1" t="str">
        <f t="shared" si="461"/>
        <v>01</v>
      </c>
      <c r="S687" s="1" t="str">
        <f t="shared" si="453"/>
        <v>04</v>
      </c>
      <c r="T687" s="1" t="str">
        <f t="shared" si="462"/>
        <v>False</v>
      </c>
      <c r="U687" s="1" t="str">
        <f t="shared" si="463"/>
        <v>True</v>
      </c>
      <c r="V687" s="1" t="str">
        <f>"U0032720"</f>
        <v>U0032720</v>
      </c>
      <c r="W687" s="1">
        <v>1</v>
      </c>
      <c r="Y687" s="1">
        <v>0</v>
      </c>
      <c r="Z687" s="1">
        <v>0</v>
      </c>
      <c r="AB687" s="1" t="str">
        <f t="shared" si="479"/>
        <v>SMU</v>
      </c>
      <c r="AI687" s="1" t="str">
        <f t="shared" si="480"/>
        <v>F11</v>
      </c>
      <c r="AJ687" s="1" t="str">
        <f t="shared" si="483"/>
        <v>WOMAN</v>
      </c>
      <c r="AK687" s="1" t="str">
        <f t="shared" si="465"/>
        <v>PA</v>
      </c>
      <c r="AP687" s="1" t="str">
        <f t="shared" si="466"/>
        <v>False</v>
      </c>
      <c r="AR687" s="1" t="str">
        <f t="shared" si="481"/>
        <v>DECOR</v>
      </c>
      <c r="AY687" s="1" t="str">
        <f t="shared" si="467"/>
        <v>PF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 t="str">
        <f t="shared" si="482"/>
        <v>R GOMMA CANVAS</v>
      </c>
      <c r="BF687" s="1" t="str">
        <f t="shared" si="468"/>
        <v>Bonis SpA</v>
      </c>
    </row>
    <row r="688" spans="2:58" x14ac:dyDescent="0.25">
      <c r="B688" s="1">
        <v>2494</v>
      </c>
      <c r="C688" s="1" t="str">
        <f t="shared" si="476"/>
        <v>DECOR4237S7/C1</v>
      </c>
      <c r="E688" s="1" t="str">
        <f>"40"</f>
        <v>40</v>
      </c>
      <c r="F688" s="1" t="str">
        <f t="shared" si="456"/>
        <v>BONIS SPA</v>
      </c>
      <c r="G688" s="1" t="str">
        <f t="shared" ref="G688:G751" si="485">"STOCK SCAFFALE MP"</f>
        <v>STOCK SCAFFALE MP</v>
      </c>
      <c r="H688" s="1" t="str">
        <f t="shared" si="484"/>
        <v>DKBL</v>
      </c>
      <c r="K688" s="1">
        <v>3</v>
      </c>
      <c r="L688" s="1" t="str">
        <f t="shared" si="457"/>
        <v>01</v>
      </c>
      <c r="M688" s="1" t="str">
        <f t="shared" ref="M688:M751" si="486">"408"</f>
        <v>408</v>
      </c>
      <c r="N688" s="1" t="str">
        <f t="shared" si="478"/>
        <v>013</v>
      </c>
      <c r="O688" s="1" t="str">
        <f t="shared" si="458"/>
        <v>00</v>
      </c>
      <c r="P688" s="1" t="str">
        <f t="shared" si="459"/>
        <v>S</v>
      </c>
      <c r="Q688" s="1" t="str">
        <f t="shared" si="460"/>
        <v>P</v>
      </c>
      <c r="R688" s="1" t="str">
        <f t="shared" si="461"/>
        <v>01</v>
      </c>
      <c r="S688" s="1" t="str">
        <f t="shared" ref="S688:S751" si="487">"04"</f>
        <v>04</v>
      </c>
      <c r="T688" s="1" t="str">
        <f t="shared" si="462"/>
        <v>False</v>
      </c>
      <c r="U688" s="1" t="str">
        <f t="shared" si="463"/>
        <v>True</v>
      </c>
      <c r="V688" s="1" t="str">
        <f>"U0032719"</f>
        <v>U0032719</v>
      </c>
      <c r="W688" s="1">
        <v>1</v>
      </c>
      <c r="Y688" s="1">
        <v>0</v>
      </c>
      <c r="Z688" s="1">
        <v>0</v>
      </c>
      <c r="AB688" s="1" t="str">
        <f t="shared" si="479"/>
        <v>SMU</v>
      </c>
      <c r="AI688" s="1" t="str">
        <f t="shared" si="480"/>
        <v>F11</v>
      </c>
      <c r="AJ688" s="1" t="str">
        <f t="shared" si="483"/>
        <v>WOMAN</v>
      </c>
      <c r="AK688" s="1" t="str">
        <f t="shared" si="465"/>
        <v>PA</v>
      </c>
      <c r="AP688" s="1" t="str">
        <f t="shared" si="466"/>
        <v>False</v>
      </c>
      <c r="AR688" s="1" t="str">
        <f t="shared" si="481"/>
        <v>DECOR</v>
      </c>
      <c r="AY688" s="1" t="str">
        <f t="shared" si="467"/>
        <v>PF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 t="str">
        <f t="shared" si="482"/>
        <v>R GOMMA CANVAS</v>
      </c>
      <c r="BF688" s="1" t="str">
        <f t="shared" si="468"/>
        <v>Bonis SpA</v>
      </c>
    </row>
    <row r="689" spans="2:58" x14ac:dyDescent="0.25">
      <c r="B689" s="1">
        <v>2494</v>
      </c>
      <c r="C689" s="1" t="str">
        <f t="shared" si="476"/>
        <v>DECOR4237S7/C1</v>
      </c>
      <c r="E689" s="1" t="str">
        <f>"38"</f>
        <v>38</v>
      </c>
      <c r="F689" s="1" t="str">
        <f t="shared" si="456"/>
        <v>BONIS SPA</v>
      </c>
      <c r="G689" s="1" t="str">
        <f t="shared" si="485"/>
        <v>STOCK SCAFFALE MP</v>
      </c>
      <c r="H689" s="1" t="str">
        <f t="shared" si="484"/>
        <v>DKBL</v>
      </c>
      <c r="K689" s="1">
        <v>4</v>
      </c>
      <c r="L689" s="1" t="str">
        <f t="shared" si="457"/>
        <v>01</v>
      </c>
      <c r="M689" s="1" t="str">
        <f t="shared" si="486"/>
        <v>408</v>
      </c>
      <c r="N689" s="1" t="str">
        <f t="shared" si="478"/>
        <v>013</v>
      </c>
      <c r="O689" s="1" t="str">
        <f t="shared" si="458"/>
        <v>00</v>
      </c>
      <c r="P689" s="1" t="str">
        <f t="shared" si="459"/>
        <v>S</v>
      </c>
      <c r="Q689" s="1" t="str">
        <f t="shared" si="460"/>
        <v>P</v>
      </c>
      <c r="R689" s="1" t="str">
        <f t="shared" si="461"/>
        <v>01</v>
      </c>
      <c r="S689" s="1" t="str">
        <f t="shared" si="487"/>
        <v>04</v>
      </c>
      <c r="T689" s="1" t="str">
        <f t="shared" si="462"/>
        <v>False</v>
      </c>
      <c r="U689" s="1" t="str">
        <f t="shared" si="463"/>
        <v>True</v>
      </c>
      <c r="V689" s="1" t="str">
        <f>"U0032719"</f>
        <v>U0032719</v>
      </c>
      <c r="W689" s="1">
        <v>1</v>
      </c>
      <c r="Y689" s="1">
        <v>0</v>
      </c>
      <c r="Z689" s="1">
        <v>0</v>
      </c>
      <c r="AB689" s="1" t="str">
        <f t="shared" si="479"/>
        <v>SMU</v>
      </c>
      <c r="AI689" s="1" t="str">
        <f t="shared" si="480"/>
        <v>F11</v>
      </c>
      <c r="AJ689" s="1" t="str">
        <f t="shared" si="483"/>
        <v>WOMAN</v>
      </c>
      <c r="AK689" s="1" t="str">
        <f t="shared" si="465"/>
        <v>PA</v>
      </c>
      <c r="AP689" s="1" t="str">
        <f t="shared" si="466"/>
        <v>False</v>
      </c>
      <c r="AR689" s="1" t="str">
        <f t="shared" si="481"/>
        <v>DECOR</v>
      </c>
      <c r="AY689" s="1" t="str">
        <f t="shared" si="467"/>
        <v>PF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 t="str">
        <f t="shared" si="482"/>
        <v>R GOMMA CANVAS</v>
      </c>
      <c r="BF689" s="1" t="str">
        <f t="shared" si="468"/>
        <v>Bonis SpA</v>
      </c>
    </row>
    <row r="690" spans="2:58" x14ac:dyDescent="0.25">
      <c r="B690" s="1">
        <v>2494</v>
      </c>
      <c r="C690" s="1" t="str">
        <f t="shared" si="476"/>
        <v>DECOR4237S7/C1</v>
      </c>
      <c r="E690" s="1" t="str">
        <f>"39"</f>
        <v>39</v>
      </c>
      <c r="F690" s="1" t="str">
        <f t="shared" si="456"/>
        <v>BONIS SPA</v>
      </c>
      <c r="G690" s="1" t="str">
        <f t="shared" si="485"/>
        <v>STOCK SCAFFALE MP</v>
      </c>
      <c r="H690" s="1" t="str">
        <f t="shared" si="484"/>
        <v>DKBL</v>
      </c>
      <c r="K690" s="1">
        <v>4</v>
      </c>
      <c r="L690" s="1" t="str">
        <f t="shared" si="457"/>
        <v>01</v>
      </c>
      <c r="M690" s="1" t="str">
        <f t="shared" si="486"/>
        <v>408</v>
      </c>
      <c r="N690" s="1" t="str">
        <f t="shared" si="478"/>
        <v>013</v>
      </c>
      <c r="O690" s="1" t="str">
        <f t="shared" si="458"/>
        <v>00</v>
      </c>
      <c r="P690" s="1" t="str">
        <f t="shared" si="459"/>
        <v>S</v>
      </c>
      <c r="Q690" s="1" t="str">
        <f t="shared" si="460"/>
        <v>P</v>
      </c>
      <c r="R690" s="1" t="str">
        <f t="shared" si="461"/>
        <v>01</v>
      </c>
      <c r="S690" s="1" t="str">
        <f t="shared" si="487"/>
        <v>04</v>
      </c>
      <c r="T690" s="1" t="str">
        <f t="shared" si="462"/>
        <v>False</v>
      </c>
      <c r="U690" s="1" t="str">
        <f t="shared" si="463"/>
        <v>True</v>
      </c>
      <c r="V690" s="1" t="str">
        <f>"U0032719"</f>
        <v>U0032719</v>
      </c>
      <c r="W690" s="1">
        <v>1</v>
      </c>
      <c r="Y690" s="1">
        <v>0</v>
      </c>
      <c r="Z690" s="1">
        <v>0</v>
      </c>
      <c r="AB690" s="1" t="str">
        <f t="shared" si="479"/>
        <v>SMU</v>
      </c>
      <c r="AI690" s="1" t="str">
        <f t="shared" si="480"/>
        <v>F11</v>
      </c>
      <c r="AJ690" s="1" t="str">
        <f t="shared" si="483"/>
        <v>WOMAN</v>
      </c>
      <c r="AK690" s="1" t="str">
        <f t="shared" si="465"/>
        <v>PA</v>
      </c>
      <c r="AP690" s="1" t="str">
        <f t="shared" si="466"/>
        <v>False</v>
      </c>
      <c r="AR690" s="1" t="str">
        <f t="shared" si="481"/>
        <v>DECOR</v>
      </c>
      <c r="AY690" s="1" t="str">
        <f t="shared" si="467"/>
        <v>PF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 t="str">
        <f t="shared" si="482"/>
        <v>R GOMMA CANVAS</v>
      </c>
      <c r="BF690" s="1" t="str">
        <f t="shared" si="468"/>
        <v>Bonis SpA</v>
      </c>
    </row>
    <row r="691" spans="2:58" x14ac:dyDescent="0.25">
      <c r="B691" s="1">
        <v>2494</v>
      </c>
      <c r="C691" s="1" t="str">
        <f t="shared" si="476"/>
        <v>DECOR4237S7/C1</v>
      </c>
      <c r="E691" s="1" t="str">
        <f>"41"</f>
        <v>41</v>
      </c>
      <c r="F691" s="1" t="str">
        <f t="shared" si="456"/>
        <v>BONIS SPA</v>
      </c>
      <c r="G691" s="1" t="str">
        <f t="shared" si="485"/>
        <v>STOCK SCAFFALE MP</v>
      </c>
      <c r="H691" s="1" t="str">
        <f t="shared" si="484"/>
        <v>DKBL</v>
      </c>
      <c r="K691" s="1">
        <v>1</v>
      </c>
      <c r="L691" s="1" t="str">
        <f t="shared" si="457"/>
        <v>01</v>
      </c>
      <c r="M691" s="1" t="str">
        <f t="shared" si="486"/>
        <v>408</v>
      </c>
      <c r="N691" s="1" t="str">
        <f t="shared" si="478"/>
        <v>013</v>
      </c>
      <c r="O691" s="1" t="str">
        <f t="shared" si="458"/>
        <v>00</v>
      </c>
      <c r="P691" s="1" t="str">
        <f t="shared" si="459"/>
        <v>S</v>
      </c>
      <c r="Q691" s="1" t="str">
        <f t="shared" si="460"/>
        <v>P</v>
      </c>
      <c r="R691" s="1" t="str">
        <f t="shared" si="461"/>
        <v>01</v>
      </c>
      <c r="S691" s="1" t="str">
        <f t="shared" si="487"/>
        <v>04</v>
      </c>
      <c r="T691" s="1" t="str">
        <f t="shared" si="462"/>
        <v>False</v>
      </c>
      <c r="U691" s="1" t="str">
        <f t="shared" si="463"/>
        <v>True</v>
      </c>
      <c r="V691" s="1" t="str">
        <f>"U0032719"</f>
        <v>U0032719</v>
      </c>
      <c r="W691" s="1">
        <v>1</v>
      </c>
      <c r="Y691" s="1">
        <v>0</v>
      </c>
      <c r="Z691" s="1">
        <v>0</v>
      </c>
      <c r="AB691" s="1" t="str">
        <f t="shared" si="479"/>
        <v>SMU</v>
      </c>
      <c r="AI691" s="1" t="str">
        <f t="shared" si="480"/>
        <v>F11</v>
      </c>
      <c r="AJ691" s="1" t="str">
        <f t="shared" si="483"/>
        <v>WOMAN</v>
      </c>
      <c r="AK691" s="1" t="str">
        <f t="shared" si="465"/>
        <v>PA</v>
      </c>
      <c r="AP691" s="1" t="str">
        <f t="shared" si="466"/>
        <v>False</v>
      </c>
      <c r="AR691" s="1" t="str">
        <f t="shared" si="481"/>
        <v>DECOR</v>
      </c>
      <c r="AY691" s="1" t="str">
        <f t="shared" si="467"/>
        <v>PF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 t="str">
        <f t="shared" si="482"/>
        <v>R GOMMA CANVAS</v>
      </c>
      <c r="BF691" s="1" t="str">
        <f t="shared" si="468"/>
        <v>Bonis SpA</v>
      </c>
    </row>
    <row r="692" spans="2:58" x14ac:dyDescent="0.25">
      <c r="B692" s="1">
        <v>2494</v>
      </c>
      <c r="C692" s="1" t="str">
        <f t="shared" ref="C692:C723" si="488">"DECOR4237S7/C1"</f>
        <v>DECOR4237S7/C1</v>
      </c>
      <c r="E692" s="1" t="str">
        <f>"41"</f>
        <v>41</v>
      </c>
      <c r="F692" s="1" t="str">
        <f t="shared" si="456"/>
        <v>BONIS SPA</v>
      </c>
      <c r="G692" s="1" t="str">
        <f t="shared" si="485"/>
        <v>STOCK SCAFFALE MP</v>
      </c>
      <c r="H692" s="1" t="str">
        <f t="shared" si="484"/>
        <v>DKBL</v>
      </c>
      <c r="K692" s="1">
        <v>2</v>
      </c>
      <c r="L692" s="1" t="str">
        <f t="shared" si="457"/>
        <v>01</v>
      </c>
      <c r="M692" s="1" t="str">
        <f t="shared" si="486"/>
        <v>408</v>
      </c>
      <c r="N692" s="1" t="str">
        <f t="shared" ref="N692:N723" si="489">"013"</f>
        <v>013</v>
      </c>
      <c r="O692" s="1" t="str">
        <f t="shared" si="458"/>
        <v>00</v>
      </c>
      <c r="P692" s="1" t="str">
        <f t="shared" si="459"/>
        <v>S</v>
      </c>
      <c r="Q692" s="1" t="str">
        <f t="shared" si="460"/>
        <v>P</v>
      </c>
      <c r="R692" s="1" t="str">
        <f t="shared" si="461"/>
        <v>01</v>
      </c>
      <c r="S692" s="1" t="str">
        <f t="shared" si="487"/>
        <v>04</v>
      </c>
      <c r="T692" s="1" t="str">
        <f t="shared" si="462"/>
        <v>False</v>
      </c>
      <c r="U692" s="1" t="str">
        <f t="shared" si="463"/>
        <v>True</v>
      </c>
      <c r="V692" s="1" t="str">
        <f>"U0032718"</f>
        <v>U0032718</v>
      </c>
      <c r="W692" s="1">
        <v>1</v>
      </c>
      <c r="Y692" s="1">
        <v>0</v>
      </c>
      <c r="Z692" s="1">
        <v>0</v>
      </c>
      <c r="AB692" s="1" t="str">
        <f t="shared" ref="AB692:AB723" si="490">"SMU"</f>
        <v>SMU</v>
      </c>
      <c r="AI692" s="1" t="str">
        <f t="shared" ref="AI692:AI723" si="491">"F11"</f>
        <v>F11</v>
      </c>
      <c r="AJ692" s="1" t="str">
        <f t="shared" si="483"/>
        <v>WOMAN</v>
      </c>
      <c r="AK692" s="1" t="str">
        <f t="shared" si="465"/>
        <v>PA</v>
      </c>
      <c r="AP692" s="1" t="str">
        <f t="shared" si="466"/>
        <v>False</v>
      </c>
      <c r="AR692" s="1" t="str">
        <f t="shared" ref="AR692:AR723" si="492">"DECOR"</f>
        <v>DECOR</v>
      </c>
      <c r="AY692" s="1" t="str">
        <f t="shared" si="467"/>
        <v>PF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 t="str">
        <f t="shared" ref="BE692:BE723" si="493">"R GOMMA CANVAS"</f>
        <v>R GOMMA CANVAS</v>
      </c>
      <c r="BF692" s="1" t="str">
        <f t="shared" si="468"/>
        <v>Bonis SpA</v>
      </c>
    </row>
    <row r="693" spans="2:58" x14ac:dyDescent="0.25">
      <c r="B693" s="1">
        <v>2494</v>
      </c>
      <c r="C693" s="1" t="str">
        <f t="shared" si="488"/>
        <v>DECOR4237S7/C1</v>
      </c>
      <c r="E693" s="1" t="str">
        <f>"40"</f>
        <v>40</v>
      </c>
      <c r="F693" s="1" t="str">
        <f t="shared" si="456"/>
        <v>BONIS SPA</v>
      </c>
      <c r="G693" s="1" t="str">
        <f t="shared" si="485"/>
        <v>STOCK SCAFFALE MP</v>
      </c>
      <c r="H693" s="1" t="str">
        <f t="shared" si="484"/>
        <v>DKBL</v>
      </c>
      <c r="K693" s="1">
        <v>2</v>
      </c>
      <c r="L693" s="1" t="str">
        <f t="shared" si="457"/>
        <v>01</v>
      </c>
      <c r="M693" s="1" t="str">
        <f t="shared" si="486"/>
        <v>408</v>
      </c>
      <c r="N693" s="1" t="str">
        <f t="shared" si="489"/>
        <v>013</v>
      </c>
      <c r="O693" s="1" t="str">
        <f t="shared" si="458"/>
        <v>00</v>
      </c>
      <c r="P693" s="1" t="str">
        <f t="shared" si="459"/>
        <v>S</v>
      </c>
      <c r="Q693" s="1" t="str">
        <f t="shared" si="460"/>
        <v>P</v>
      </c>
      <c r="R693" s="1" t="str">
        <f t="shared" si="461"/>
        <v>01</v>
      </c>
      <c r="S693" s="1" t="str">
        <f t="shared" si="487"/>
        <v>04</v>
      </c>
      <c r="T693" s="1" t="str">
        <f t="shared" si="462"/>
        <v>False</v>
      </c>
      <c r="U693" s="1" t="str">
        <f t="shared" si="463"/>
        <v>True</v>
      </c>
      <c r="V693" s="1" t="str">
        <f>"U0032718"</f>
        <v>U0032718</v>
      </c>
      <c r="W693" s="1">
        <v>1</v>
      </c>
      <c r="Y693" s="1">
        <v>0</v>
      </c>
      <c r="Z693" s="1">
        <v>0</v>
      </c>
      <c r="AB693" s="1" t="str">
        <f t="shared" si="490"/>
        <v>SMU</v>
      </c>
      <c r="AI693" s="1" t="str">
        <f t="shared" si="491"/>
        <v>F11</v>
      </c>
      <c r="AJ693" s="1" t="str">
        <f t="shared" si="483"/>
        <v>WOMAN</v>
      </c>
      <c r="AK693" s="1" t="str">
        <f t="shared" si="465"/>
        <v>PA</v>
      </c>
      <c r="AP693" s="1" t="str">
        <f t="shared" si="466"/>
        <v>False</v>
      </c>
      <c r="AR693" s="1" t="str">
        <f t="shared" si="492"/>
        <v>DECOR</v>
      </c>
      <c r="AY693" s="1" t="str">
        <f t="shared" si="467"/>
        <v>PF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 t="str">
        <f t="shared" si="493"/>
        <v>R GOMMA CANVAS</v>
      </c>
      <c r="BF693" s="1" t="str">
        <f t="shared" si="468"/>
        <v>Bonis SpA</v>
      </c>
    </row>
    <row r="694" spans="2:58" x14ac:dyDescent="0.25">
      <c r="B694" s="1">
        <v>2494</v>
      </c>
      <c r="C694" s="1" t="str">
        <f t="shared" si="488"/>
        <v>DECOR4237S7/C1</v>
      </c>
      <c r="E694" s="1" t="str">
        <f>"39"</f>
        <v>39</v>
      </c>
      <c r="F694" s="1" t="str">
        <f t="shared" si="456"/>
        <v>BONIS SPA</v>
      </c>
      <c r="G694" s="1" t="str">
        <f t="shared" si="485"/>
        <v>STOCK SCAFFALE MP</v>
      </c>
      <c r="H694" s="1" t="str">
        <f t="shared" si="484"/>
        <v>DKBL</v>
      </c>
      <c r="K694" s="1">
        <v>5</v>
      </c>
      <c r="L694" s="1" t="str">
        <f t="shared" si="457"/>
        <v>01</v>
      </c>
      <c r="M694" s="1" t="str">
        <f t="shared" si="486"/>
        <v>408</v>
      </c>
      <c r="N694" s="1" t="str">
        <f t="shared" si="489"/>
        <v>013</v>
      </c>
      <c r="O694" s="1" t="str">
        <f t="shared" si="458"/>
        <v>00</v>
      </c>
      <c r="P694" s="1" t="str">
        <f t="shared" si="459"/>
        <v>S</v>
      </c>
      <c r="Q694" s="1" t="str">
        <f t="shared" si="460"/>
        <v>P</v>
      </c>
      <c r="R694" s="1" t="str">
        <f t="shared" si="461"/>
        <v>01</v>
      </c>
      <c r="S694" s="1" t="str">
        <f t="shared" si="487"/>
        <v>04</v>
      </c>
      <c r="T694" s="1" t="str">
        <f t="shared" si="462"/>
        <v>False</v>
      </c>
      <c r="U694" s="1" t="str">
        <f t="shared" si="463"/>
        <v>True</v>
      </c>
      <c r="V694" s="1" t="str">
        <f>"U0032718"</f>
        <v>U0032718</v>
      </c>
      <c r="W694" s="1">
        <v>1</v>
      </c>
      <c r="Y694" s="1">
        <v>0</v>
      </c>
      <c r="Z694" s="1">
        <v>0</v>
      </c>
      <c r="AB694" s="1" t="str">
        <f t="shared" si="490"/>
        <v>SMU</v>
      </c>
      <c r="AI694" s="1" t="str">
        <f t="shared" si="491"/>
        <v>F11</v>
      </c>
      <c r="AJ694" s="1" t="str">
        <f t="shared" si="483"/>
        <v>WOMAN</v>
      </c>
      <c r="AK694" s="1" t="str">
        <f t="shared" si="465"/>
        <v>PA</v>
      </c>
      <c r="AP694" s="1" t="str">
        <f t="shared" si="466"/>
        <v>False</v>
      </c>
      <c r="AR694" s="1" t="str">
        <f t="shared" si="492"/>
        <v>DECOR</v>
      </c>
      <c r="AY694" s="1" t="str">
        <f t="shared" si="467"/>
        <v>PF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 t="str">
        <f t="shared" si="493"/>
        <v>R GOMMA CANVAS</v>
      </c>
      <c r="BF694" s="1" t="str">
        <f t="shared" si="468"/>
        <v>Bonis SpA</v>
      </c>
    </row>
    <row r="695" spans="2:58" x14ac:dyDescent="0.25">
      <c r="B695" s="1">
        <v>2494</v>
      </c>
      <c r="C695" s="1" t="str">
        <f t="shared" si="488"/>
        <v>DECOR4237S7/C1</v>
      </c>
      <c r="E695" s="1" t="str">
        <f>"38"</f>
        <v>38</v>
      </c>
      <c r="F695" s="1" t="str">
        <f t="shared" si="456"/>
        <v>BONIS SPA</v>
      </c>
      <c r="G695" s="1" t="str">
        <f t="shared" si="485"/>
        <v>STOCK SCAFFALE MP</v>
      </c>
      <c r="H695" s="1" t="str">
        <f t="shared" si="484"/>
        <v>DKBL</v>
      </c>
      <c r="K695" s="1">
        <v>3</v>
      </c>
      <c r="L695" s="1" t="str">
        <f t="shared" si="457"/>
        <v>01</v>
      </c>
      <c r="M695" s="1" t="str">
        <f t="shared" si="486"/>
        <v>408</v>
      </c>
      <c r="N695" s="1" t="str">
        <f t="shared" si="489"/>
        <v>013</v>
      </c>
      <c r="O695" s="1" t="str">
        <f t="shared" si="458"/>
        <v>00</v>
      </c>
      <c r="P695" s="1" t="str">
        <f t="shared" si="459"/>
        <v>S</v>
      </c>
      <c r="Q695" s="1" t="str">
        <f t="shared" si="460"/>
        <v>P</v>
      </c>
      <c r="R695" s="1" t="str">
        <f t="shared" si="461"/>
        <v>01</v>
      </c>
      <c r="S695" s="1" t="str">
        <f t="shared" si="487"/>
        <v>04</v>
      </c>
      <c r="T695" s="1" t="str">
        <f t="shared" si="462"/>
        <v>False</v>
      </c>
      <c r="U695" s="1" t="str">
        <f t="shared" si="463"/>
        <v>True</v>
      </c>
      <c r="V695" s="1" t="str">
        <f>"U0032718"</f>
        <v>U0032718</v>
      </c>
      <c r="W695" s="1">
        <v>1</v>
      </c>
      <c r="Y695" s="1">
        <v>0</v>
      </c>
      <c r="Z695" s="1">
        <v>0</v>
      </c>
      <c r="AB695" s="1" t="str">
        <f t="shared" si="490"/>
        <v>SMU</v>
      </c>
      <c r="AI695" s="1" t="str">
        <f t="shared" si="491"/>
        <v>F11</v>
      </c>
      <c r="AJ695" s="1" t="str">
        <f t="shared" si="483"/>
        <v>WOMAN</v>
      </c>
      <c r="AK695" s="1" t="str">
        <f t="shared" si="465"/>
        <v>PA</v>
      </c>
      <c r="AP695" s="1" t="str">
        <f t="shared" si="466"/>
        <v>False</v>
      </c>
      <c r="AR695" s="1" t="str">
        <f t="shared" si="492"/>
        <v>DECOR</v>
      </c>
      <c r="AY695" s="1" t="str">
        <f t="shared" si="467"/>
        <v>PF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 t="str">
        <f t="shared" si="493"/>
        <v>R GOMMA CANVAS</v>
      </c>
      <c r="BF695" s="1" t="str">
        <f t="shared" si="468"/>
        <v>Bonis SpA</v>
      </c>
    </row>
    <row r="696" spans="2:58" x14ac:dyDescent="0.25">
      <c r="B696" s="1">
        <v>2494</v>
      </c>
      <c r="C696" s="1" t="str">
        <f t="shared" si="488"/>
        <v>DECOR4237S7/C1</v>
      </c>
      <c r="E696" s="1" t="str">
        <f>"38"</f>
        <v>38</v>
      </c>
      <c r="F696" s="1" t="str">
        <f t="shared" si="456"/>
        <v>BONIS SPA</v>
      </c>
      <c r="G696" s="1" t="str">
        <f t="shared" si="485"/>
        <v>STOCK SCAFFALE MP</v>
      </c>
      <c r="H696" s="1" t="str">
        <f t="shared" si="484"/>
        <v>DKBL</v>
      </c>
      <c r="K696" s="1">
        <v>3</v>
      </c>
      <c r="L696" s="1" t="str">
        <f t="shared" si="457"/>
        <v>01</v>
      </c>
      <c r="M696" s="1" t="str">
        <f t="shared" si="486"/>
        <v>408</v>
      </c>
      <c r="N696" s="1" t="str">
        <f t="shared" si="489"/>
        <v>013</v>
      </c>
      <c r="O696" s="1" t="str">
        <f t="shared" si="458"/>
        <v>00</v>
      </c>
      <c r="P696" s="1" t="str">
        <f t="shared" si="459"/>
        <v>S</v>
      </c>
      <c r="Q696" s="1" t="str">
        <f t="shared" si="460"/>
        <v>P</v>
      </c>
      <c r="R696" s="1" t="str">
        <f t="shared" si="461"/>
        <v>01</v>
      </c>
      <c r="S696" s="1" t="str">
        <f t="shared" si="487"/>
        <v>04</v>
      </c>
      <c r="T696" s="1" t="str">
        <f t="shared" si="462"/>
        <v>False</v>
      </c>
      <c r="U696" s="1" t="str">
        <f t="shared" si="463"/>
        <v>True</v>
      </c>
      <c r="V696" s="1" t="str">
        <f>"U0032717"</f>
        <v>U0032717</v>
      </c>
      <c r="W696" s="1">
        <v>1</v>
      </c>
      <c r="Y696" s="1">
        <v>0</v>
      </c>
      <c r="Z696" s="1">
        <v>0</v>
      </c>
      <c r="AB696" s="1" t="str">
        <f t="shared" si="490"/>
        <v>SMU</v>
      </c>
      <c r="AI696" s="1" t="str">
        <f t="shared" si="491"/>
        <v>F11</v>
      </c>
      <c r="AJ696" s="1" t="str">
        <f t="shared" si="483"/>
        <v>WOMAN</v>
      </c>
      <c r="AK696" s="1" t="str">
        <f t="shared" si="465"/>
        <v>PA</v>
      </c>
      <c r="AP696" s="1" t="str">
        <f t="shared" si="466"/>
        <v>False</v>
      </c>
      <c r="AR696" s="1" t="str">
        <f t="shared" si="492"/>
        <v>DECOR</v>
      </c>
      <c r="AY696" s="1" t="str">
        <f t="shared" si="467"/>
        <v>PF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 t="str">
        <f t="shared" si="493"/>
        <v>R GOMMA CANVAS</v>
      </c>
      <c r="BF696" s="1" t="str">
        <f t="shared" si="468"/>
        <v>Bonis SpA</v>
      </c>
    </row>
    <row r="697" spans="2:58" x14ac:dyDescent="0.25">
      <c r="B697" s="1">
        <v>2494</v>
      </c>
      <c r="C697" s="1" t="str">
        <f t="shared" si="488"/>
        <v>DECOR4237S7/C1</v>
      </c>
      <c r="E697" s="1" t="str">
        <f>"41"</f>
        <v>41</v>
      </c>
      <c r="F697" s="1" t="str">
        <f t="shared" si="456"/>
        <v>BONIS SPA</v>
      </c>
      <c r="G697" s="1" t="str">
        <f t="shared" si="485"/>
        <v>STOCK SCAFFALE MP</v>
      </c>
      <c r="H697" s="1" t="str">
        <f t="shared" si="484"/>
        <v>DKBL</v>
      </c>
      <c r="K697" s="1">
        <v>1</v>
      </c>
      <c r="L697" s="1" t="str">
        <f t="shared" si="457"/>
        <v>01</v>
      </c>
      <c r="M697" s="1" t="str">
        <f t="shared" si="486"/>
        <v>408</v>
      </c>
      <c r="N697" s="1" t="str">
        <f t="shared" si="489"/>
        <v>013</v>
      </c>
      <c r="O697" s="1" t="str">
        <f t="shared" si="458"/>
        <v>00</v>
      </c>
      <c r="P697" s="1" t="str">
        <f t="shared" si="459"/>
        <v>S</v>
      </c>
      <c r="Q697" s="1" t="str">
        <f t="shared" si="460"/>
        <v>P</v>
      </c>
      <c r="R697" s="1" t="str">
        <f t="shared" si="461"/>
        <v>01</v>
      </c>
      <c r="S697" s="1" t="str">
        <f t="shared" si="487"/>
        <v>04</v>
      </c>
      <c r="T697" s="1" t="str">
        <f t="shared" si="462"/>
        <v>False</v>
      </c>
      <c r="U697" s="1" t="str">
        <f t="shared" si="463"/>
        <v>True</v>
      </c>
      <c r="V697" s="1" t="str">
        <f>"U0032717"</f>
        <v>U0032717</v>
      </c>
      <c r="W697" s="1">
        <v>1</v>
      </c>
      <c r="Y697" s="1">
        <v>0</v>
      </c>
      <c r="Z697" s="1">
        <v>0</v>
      </c>
      <c r="AB697" s="1" t="str">
        <f t="shared" si="490"/>
        <v>SMU</v>
      </c>
      <c r="AI697" s="1" t="str">
        <f t="shared" si="491"/>
        <v>F11</v>
      </c>
      <c r="AJ697" s="1" t="str">
        <f t="shared" si="483"/>
        <v>WOMAN</v>
      </c>
      <c r="AK697" s="1" t="str">
        <f t="shared" si="465"/>
        <v>PA</v>
      </c>
      <c r="AP697" s="1" t="str">
        <f t="shared" si="466"/>
        <v>False</v>
      </c>
      <c r="AR697" s="1" t="str">
        <f t="shared" si="492"/>
        <v>DECOR</v>
      </c>
      <c r="AY697" s="1" t="str">
        <f t="shared" si="467"/>
        <v>PF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 t="str">
        <f t="shared" si="493"/>
        <v>R GOMMA CANVAS</v>
      </c>
      <c r="BF697" s="1" t="str">
        <f t="shared" si="468"/>
        <v>Bonis SpA</v>
      </c>
    </row>
    <row r="698" spans="2:58" x14ac:dyDescent="0.25">
      <c r="B698" s="1">
        <v>2494</v>
      </c>
      <c r="C698" s="1" t="str">
        <f t="shared" si="488"/>
        <v>DECOR4237S7/C1</v>
      </c>
      <c r="E698" s="1" t="str">
        <f>"40"</f>
        <v>40</v>
      </c>
      <c r="F698" s="1" t="str">
        <f t="shared" si="456"/>
        <v>BONIS SPA</v>
      </c>
      <c r="G698" s="1" t="str">
        <f t="shared" si="485"/>
        <v>STOCK SCAFFALE MP</v>
      </c>
      <c r="H698" s="1" t="str">
        <f t="shared" si="484"/>
        <v>DKBL</v>
      </c>
      <c r="K698" s="1">
        <v>3</v>
      </c>
      <c r="L698" s="1" t="str">
        <f t="shared" si="457"/>
        <v>01</v>
      </c>
      <c r="M698" s="1" t="str">
        <f t="shared" si="486"/>
        <v>408</v>
      </c>
      <c r="N698" s="1" t="str">
        <f t="shared" si="489"/>
        <v>013</v>
      </c>
      <c r="O698" s="1" t="str">
        <f t="shared" si="458"/>
        <v>00</v>
      </c>
      <c r="P698" s="1" t="str">
        <f t="shared" si="459"/>
        <v>S</v>
      </c>
      <c r="Q698" s="1" t="str">
        <f t="shared" si="460"/>
        <v>P</v>
      </c>
      <c r="R698" s="1" t="str">
        <f t="shared" si="461"/>
        <v>01</v>
      </c>
      <c r="S698" s="1" t="str">
        <f t="shared" si="487"/>
        <v>04</v>
      </c>
      <c r="T698" s="1" t="str">
        <f t="shared" si="462"/>
        <v>False</v>
      </c>
      <c r="U698" s="1" t="str">
        <f t="shared" si="463"/>
        <v>True</v>
      </c>
      <c r="V698" s="1" t="str">
        <f>"U0032717"</f>
        <v>U0032717</v>
      </c>
      <c r="W698" s="1">
        <v>1</v>
      </c>
      <c r="Y698" s="1">
        <v>0</v>
      </c>
      <c r="Z698" s="1">
        <v>0</v>
      </c>
      <c r="AB698" s="1" t="str">
        <f t="shared" si="490"/>
        <v>SMU</v>
      </c>
      <c r="AI698" s="1" t="str">
        <f t="shared" si="491"/>
        <v>F11</v>
      </c>
      <c r="AJ698" s="1" t="str">
        <f t="shared" si="483"/>
        <v>WOMAN</v>
      </c>
      <c r="AK698" s="1" t="str">
        <f t="shared" si="465"/>
        <v>PA</v>
      </c>
      <c r="AP698" s="1" t="str">
        <f t="shared" si="466"/>
        <v>False</v>
      </c>
      <c r="AR698" s="1" t="str">
        <f t="shared" si="492"/>
        <v>DECOR</v>
      </c>
      <c r="AY698" s="1" t="str">
        <f t="shared" si="467"/>
        <v>PF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 t="str">
        <f t="shared" si="493"/>
        <v>R GOMMA CANVAS</v>
      </c>
      <c r="BF698" s="1" t="str">
        <f t="shared" si="468"/>
        <v>Bonis SpA</v>
      </c>
    </row>
    <row r="699" spans="2:58" x14ac:dyDescent="0.25">
      <c r="B699" s="1">
        <v>2494</v>
      </c>
      <c r="C699" s="1" t="str">
        <f t="shared" si="488"/>
        <v>DECOR4237S7/C1</v>
      </c>
      <c r="E699" s="1" t="str">
        <f>"39"</f>
        <v>39</v>
      </c>
      <c r="F699" s="1" t="str">
        <f t="shared" si="456"/>
        <v>BONIS SPA</v>
      </c>
      <c r="G699" s="1" t="str">
        <f t="shared" si="485"/>
        <v>STOCK SCAFFALE MP</v>
      </c>
      <c r="H699" s="1" t="str">
        <f t="shared" si="484"/>
        <v>DKBL</v>
      </c>
      <c r="K699" s="1">
        <v>5</v>
      </c>
      <c r="L699" s="1" t="str">
        <f t="shared" si="457"/>
        <v>01</v>
      </c>
      <c r="M699" s="1" t="str">
        <f t="shared" si="486"/>
        <v>408</v>
      </c>
      <c r="N699" s="1" t="str">
        <f t="shared" si="489"/>
        <v>013</v>
      </c>
      <c r="O699" s="1" t="str">
        <f t="shared" si="458"/>
        <v>00</v>
      </c>
      <c r="P699" s="1" t="str">
        <f t="shared" si="459"/>
        <v>S</v>
      </c>
      <c r="Q699" s="1" t="str">
        <f t="shared" si="460"/>
        <v>P</v>
      </c>
      <c r="R699" s="1" t="str">
        <f t="shared" si="461"/>
        <v>01</v>
      </c>
      <c r="S699" s="1" t="str">
        <f t="shared" si="487"/>
        <v>04</v>
      </c>
      <c r="T699" s="1" t="str">
        <f t="shared" si="462"/>
        <v>False</v>
      </c>
      <c r="U699" s="1" t="str">
        <f t="shared" si="463"/>
        <v>True</v>
      </c>
      <c r="V699" s="1" t="str">
        <f>"U0032717"</f>
        <v>U0032717</v>
      </c>
      <c r="W699" s="1">
        <v>1</v>
      </c>
      <c r="Y699" s="1">
        <v>0</v>
      </c>
      <c r="Z699" s="1">
        <v>0</v>
      </c>
      <c r="AB699" s="1" t="str">
        <f t="shared" si="490"/>
        <v>SMU</v>
      </c>
      <c r="AI699" s="1" t="str">
        <f t="shared" si="491"/>
        <v>F11</v>
      </c>
      <c r="AJ699" s="1" t="str">
        <f t="shared" si="483"/>
        <v>WOMAN</v>
      </c>
      <c r="AK699" s="1" t="str">
        <f t="shared" si="465"/>
        <v>PA</v>
      </c>
      <c r="AP699" s="1" t="str">
        <f t="shared" si="466"/>
        <v>False</v>
      </c>
      <c r="AR699" s="1" t="str">
        <f t="shared" si="492"/>
        <v>DECOR</v>
      </c>
      <c r="AY699" s="1" t="str">
        <f t="shared" si="467"/>
        <v>PF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 t="str">
        <f t="shared" si="493"/>
        <v>R GOMMA CANVAS</v>
      </c>
      <c r="BF699" s="1" t="str">
        <f t="shared" si="468"/>
        <v>Bonis SpA</v>
      </c>
    </row>
    <row r="700" spans="2:58" x14ac:dyDescent="0.25">
      <c r="B700" s="1">
        <v>2494</v>
      </c>
      <c r="C700" s="1" t="str">
        <f t="shared" si="488"/>
        <v>DECOR4237S7/C1</v>
      </c>
      <c r="E700" s="1" t="str">
        <f>"39"</f>
        <v>39</v>
      </c>
      <c r="F700" s="1" t="str">
        <f t="shared" si="456"/>
        <v>BONIS SPA</v>
      </c>
      <c r="G700" s="1" t="str">
        <f t="shared" si="485"/>
        <v>STOCK SCAFFALE MP</v>
      </c>
      <c r="H700" s="1" t="str">
        <f t="shared" si="484"/>
        <v>DKBL</v>
      </c>
      <c r="K700" s="1">
        <v>3</v>
      </c>
      <c r="L700" s="1" t="str">
        <f t="shared" si="457"/>
        <v>01</v>
      </c>
      <c r="M700" s="1" t="str">
        <f t="shared" si="486"/>
        <v>408</v>
      </c>
      <c r="N700" s="1" t="str">
        <f t="shared" si="489"/>
        <v>013</v>
      </c>
      <c r="O700" s="1" t="str">
        <f t="shared" si="458"/>
        <v>00</v>
      </c>
      <c r="P700" s="1" t="str">
        <f t="shared" si="459"/>
        <v>S</v>
      </c>
      <c r="Q700" s="1" t="str">
        <f t="shared" si="460"/>
        <v>P</v>
      </c>
      <c r="R700" s="1" t="str">
        <f t="shared" si="461"/>
        <v>01</v>
      </c>
      <c r="S700" s="1" t="str">
        <f t="shared" si="487"/>
        <v>04</v>
      </c>
      <c r="T700" s="1" t="str">
        <f t="shared" si="462"/>
        <v>False</v>
      </c>
      <c r="U700" s="1" t="str">
        <f t="shared" si="463"/>
        <v>True</v>
      </c>
      <c r="V700" s="1" t="str">
        <f t="shared" ref="V700:V705" si="494">"U0032716"</f>
        <v>U0032716</v>
      </c>
      <c r="W700" s="1">
        <v>1</v>
      </c>
      <c r="Y700" s="1">
        <v>0</v>
      </c>
      <c r="Z700" s="1">
        <v>0</v>
      </c>
      <c r="AB700" s="1" t="str">
        <f t="shared" si="490"/>
        <v>SMU</v>
      </c>
      <c r="AI700" s="1" t="str">
        <f t="shared" si="491"/>
        <v>F11</v>
      </c>
      <c r="AJ700" s="1" t="str">
        <f t="shared" si="483"/>
        <v>WOMAN</v>
      </c>
      <c r="AK700" s="1" t="str">
        <f t="shared" si="465"/>
        <v>PA</v>
      </c>
      <c r="AP700" s="1" t="str">
        <f t="shared" si="466"/>
        <v>False</v>
      </c>
      <c r="AR700" s="1" t="str">
        <f t="shared" si="492"/>
        <v>DECOR</v>
      </c>
      <c r="AY700" s="1" t="str">
        <f t="shared" si="467"/>
        <v>PF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 t="str">
        <f t="shared" si="493"/>
        <v>R GOMMA CANVAS</v>
      </c>
      <c r="BF700" s="1" t="str">
        <f t="shared" si="468"/>
        <v>Bonis SpA</v>
      </c>
    </row>
    <row r="701" spans="2:58" x14ac:dyDescent="0.25">
      <c r="B701" s="1">
        <v>2494</v>
      </c>
      <c r="C701" s="1" t="str">
        <f t="shared" si="488"/>
        <v>DECOR4237S7/C1</v>
      </c>
      <c r="E701" s="1" t="str">
        <f>"38"</f>
        <v>38</v>
      </c>
      <c r="F701" s="1" t="str">
        <f t="shared" si="456"/>
        <v>BONIS SPA</v>
      </c>
      <c r="G701" s="1" t="str">
        <f t="shared" si="485"/>
        <v>STOCK SCAFFALE MP</v>
      </c>
      <c r="H701" s="1" t="str">
        <f t="shared" si="484"/>
        <v>DKBL</v>
      </c>
      <c r="K701" s="1">
        <v>3</v>
      </c>
      <c r="L701" s="1" t="str">
        <f t="shared" si="457"/>
        <v>01</v>
      </c>
      <c r="M701" s="1" t="str">
        <f t="shared" si="486"/>
        <v>408</v>
      </c>
      <c r="N701" s="1" t="str">
        <f t="shared" si="489"/>
        <v>013</v>
      </c>
      <c r="O701" s="1" t="str">
        <f t="shared" si="458"/>
        <v>00</v>
      </c>
      <c r="P701" s="1" t="str">
        <f t="shared" si="459"/>
        <v>S</v>
      </c>
      <c r="Q701" s="1" t="str">
        <f t="shared" si="460"/>
        <v>P</v>
      </c>
      <c r="R701" s="1" t="str">
        <f t="shared" si="461"/>
        <v>01</v>
      </c>
      <c r="S701" s="1" t="str">
        <f t="shared" si="487"/>
        <v>04</v>
      </c>
      <c r="T701" s="1" t="str">
        <f t="shared" si="462"/>
        <v>False</v>
      </c>
      <c r="U701" s="1" t="str">
        <f t="shared" si="463"/>
        <v>True</v>
      </c>
      <c r="V701" s="1" t="str">
        <f t="shared" si="494"/>
        <v>U0032716</v>
      </c>
      <c r="W701" s="1">
        <v>1</v>
      </c>
      <c r="Y701" s="1">
        <v>0</v>
      </c>
      <c r="Z701" s="1">
        <v>0</v>
      </c>
      <c r="AB701" s="1" t="str">
        <f t="shared" si="490"/>
        <v>SMU</v>
      </c>
      <c r="AI701" s="1" t="str">
        <f t="shared" si="491"/>
        <v>F11</v>
      </c>
      <c r="AJ701" s="1" t="str">
        <f t="shared" si="483"/>
        <v>WOMAN</v>
      </c>
      <c r="AK701" s="1" t="str">
        <f t="shared" si="465"/>
        <v>PA</v>
      </c>
      <c r="AP701" s="1" t="str">
        <f t="shared" si="466"/>
        <v>False</v>
      </c>
      <c r="AR701" s="1" t="str">
        <f t="shared" si="492"/>
        <v>DECOR</v>
      </c>
      <c r="AY701" s="1" t="str">
        <f t="shared" si="467"/>
        <v>PF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 t="str">
        <f t="shared" si="493"/>
        <v>R GOMMA CANVAS</v>
      </c>
      <c r="BF701" s="1" t="str">
        <f t="shared" si="468"/>
        <v>Bonis SpA</v>
      </c>
    </row>
    <row r="702" spans="2:58" x14ac:dyDescent="0.25">
      <c r="B702" s="1">
        <v>2494</v>
      </c>
      <c r="C702" s="1" t="str">
        <f t="shared" si="488"/>
        <v>DECOR4237S7/C1</v>
      </c>
      <c r="E702" s="1" t="str">
        <f>"41"</f>
        <v>41</v>
      </c>
      <c r="F702" s="1" t="str">
        <f t="shared" si="456"/>
        <v>BONIS SPA</v>
      </c>
      <c r="G702" s="1" t="str">
        <f t="shared" si="485"/>
        <v>STOCK SCAFFALE MP</v>
      </c>
      <c r="H702" s="1" t="str">
        <f t="shared" si="484"/>
        <v>DKBL</v>
      </c>
      <c r="K702" s="1">
        <v>2</v>
      </c>
      <c r="L702" s="1" t="str">
        <f t="shared" si="457"/>
        <v>01</v>
      </c>
      <c r="M702" s="1" t="str">
        <f t="shared" si="486"/>
        <v>408</v>
      </c>
      <c r="N702" s="1" t="str">
        <f t="shared" si="489"/>
        <v>013</v>
      </c>
      <c r="O702" s="1" t="str">
        <f t="shared" si="458"/>
        <v>00</v>
      </c>
      <c r="P702" s="1" t="str">
        <f t="shared" si="459"/>
        <v>S</v>
      </c>
      <c r="Q702" s="1" t="str">
        <f t="shared" si="460"/>
        <v>P</v>
      </c>
      <c r="R702" s="1" t="str">
        <f t="shared" si="461"/>
        <v>01</v>
      </c>
      <c r="S702" s="1" t="str">
        <f t="shared" si="487"/>
        <v>04</v>
      </c>
      <c r="T702" s="1" t="str">
        <f t="shared" si="462"/>
        <v>False</v>
      </c>
      <c r="U702" s="1" t="str">
        <f t="shared" si="463"/>
        <v>True</v>
      </c>
      <c r="V702" s="1" t="str">
        <f t="shared" si="494"/>
        <v>U0032716</v>
      </c>
      <c r="W702" s="1">
        <v>1</v>
      </c>
      <c r="Y702" s="1">
        <v>0</v>
      </c>
      <c r="Z702" s="1">
        <v>0</v>
      </c>
      <c r="AB702" s="1" t="str">
        <f t="shared" si="490"/>
        <v>SMU</v>
      </c>
      <c r="AI702" s="1" t="str">
        <f t="shared" si="491"/>
        <v>F11</v>
      </c>
      <c r="AJ702" s="1" t="str">
        <f t="shared" si="483"/>
        <v>WOMAN</v>
      </c>
      <c r="AK702" s="1" t="str">
        <f t="shared" si="465"/>
        <v>PA</v>
      </c>
      <c r="AP702" s="1" t="str">
        <f t="shared" si="466"/>
        <v>False</v>
      </c>
      <c r="AR702" s="1" t="str">
        <f t="shared" si="492"/>
        <v>DECOR</v>
      </c>
      <c r="AY702" s="1" t="str">
        <f t="shared" si="467"/>
        <v>PF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 t="str">
        <f t="shared" si="493"/>
        <v>R GOMMA CANVAS</v>
      </c>
      <c r="BF702" s="1" t="str">
        <f t="shared" si="468"/>
        <v>Bonis SpA</v>
      </c>
    </row>
    <row r="703" spans="2:58" x14ac:dyDescent="0.25">
      <c r="B703" s="1">
        <v>2494</v>
      </c>
      <c r="C703" s="1" t="str">
        <f t="shared" si="488"/>
        <v>DECOR4237S7/C1</v>
      </c>
      <c r="E703" s="1" t="str">
        <f>"40"</f>
        <v>40</v>
      </c>
      <c r="F703" s="1" t="str">
        <f t="shared" si="456"/>
        <v>BONIS SPA</v>
      </c>
      <c r="G703" s="1" t="str">
        <f t="shared" si="485"/>
        <v>STOCK SCAFFALE MP</v>
      </c>
      <c r="H703" s="1" t="str">
        <f t="shared" si="484"/>
        <v>DKBL</v>
      </c>
      <c r="K703" s="1">
        <v>2</v>
      </c>
      <c r="L703" s="1" t="str">
        <f t="shared" si="457"/>
        <v>01</v>
      </c>
      <c r="M703" s="1" t="str">
        <f t="shared" si="486"/>
        <v>408</v>
      </c>
      <c r="N703" s="1" t="str">
        <f t="shared" si="489"/>
        <v>013</v>
      </c>
      <c r="O703" s="1" t="str">
        <f t="shared" si="458"/>
        <v>00</v>
      </c>
      <c r="P703" s="1" t="str">
        <f t="shared" si="459"/>
        <v>S</v>
      </c>
      <c r="Q703" s="1" t="str">
        <f t="shared" si="460"/>
        <v>P</v>
      </c>
      <c r="R703" s="1" t="str">
        <f t="shared" si="461"/>
        <v>01</v>
      </c>
      <c r="S703" s="1" t="str">
        <f t="shared" si="487"/>
        <v>04</v>
      </c>
      <c r="T703" s="1" t="str">
        <f t="shared" si="462"/>
        <v>False</v>
      </c>
      <c r="U703" s="1" t="str">
        <f t="shared" si="463"/>
        <v>True</v>
      </c>
      <c r="V703" s="1" t="str">
        <f t="shared" si="494"/>
        <v>U0032716</v>
      </c>
      <c r="W703" s="1">
        <v>1</v>
      </c>
      <c r="Y703" s="1">
        <v>0</v>
      </c>
      <c r="Z703" s="1">
        <v>0</v>
      </c>
      <c r="AB703" s="1" t="str">
        <f t="shared" si="490"/>
        <v>SMU</v>
      </c>
      <c r="AI703" s="1" t="str">
        <f t="shared" si="491"/>
        <v>F11</v>
      </c>
      <c r="AJ703" s="1" t="str">
        <f t="shared" si="483"/>
        <v>WOMAN</v>
      </c>
      <c r="AK703" s="1" t="str">
        <f t="shared" si="465"/>
        <v>PA</v>
      </c>
      <c r="AP703" s="1" t="str">
        <f t="shared" si="466"/>
        <v>False</v>
      </c>
      <c r="AR703" s="1" t="str">
        <f t="shared" si="492"/>
        <v>DECOR</v>
      </c>
      <c r="AY703" s="1" t="str">
        <f t="shared" si="467"/>
        <v>PF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 t="str">
        <f t="shared" si="493"/>
        <v>R GOMMA CANVAS</v>
      </c>
      <c r="BF703" s="1" t="str">
        <f t="shared" si="468"/>
        <v>Bonis SpA</v>
      </c>
    </row>
    <row r="704" spans="2:58" x14ac:dyDescent="0.25">
      <c r="B704" s="1">
        <v>2494</v>
      </c>
      <c r="C704" s="1" t="str">
        <f t="shared" si="488"/>
        <v>DECOR4237S7/C1</v>
      </c>
      <c r="E704" s="1" t="str">
        <f>"40"</f>
        <v>40</v>
      </c>
      <c r="F704" s="1" t="str">
        <f t="shared" si="456"/>
        <v>BONIS SPA</v>
      </c>
      <c r="G704" s="1" t="str">
        <f t="shared" si="485"/>
        <v>STOCK SCAFFALE MP</v>
      </c>
      <c r="H704" s="1" t="str">
        <f>"BLK"</f>
        <v>BLK</v>
      </c>
      <c r="K704" s="1">
        <v>1</v>
      </c>
      <c r="L704" s="1" t="str">
        <f t="shared" si="457"/>
        <v>01</v>
      </c>
      <c r="M704" s="1" t="str">
        <f t="shared" si="486"/>
        <v>408</v>
      </c>
      <c r="N704" s="1" t="str">
        <f t="shared" si="489"/>
        <v>013</v>
      </c>
      <c r="O704" s="1" t="str">
        <f t="shared" si="458"/>
        <v>00</v>
      </c>
      <c r="P704" s="1" t="str">
        <f t="shared" si="459"/>
        <v>S</v>
      </c>
      <c r="Q704" s="1" t="str">
        <f t="shared" si="460"/>
        <v>P</v>
      </c>
      <c r="R704" s="1" t="str">
        <f t="shared" si="461"/>
        <v>01</v>
      </c>
      <c r="S704" s="1" t="str">
        <f t="shared" si="487"/>
        <v>04</v>
      </c>
      <c r="T704" s="1" t="str">
        <f t="shared" si="462"/>
        <v>False</v>
      </c>
      <c r="U704" s="1" t="str">
        <f t="shared" si="463"/>
        <v>True</v>
      </c>
      <c r="V704" s="1" t="str">
        <f t="shared" si="494"/>
        <v>U0032716</v>
      </c>
      <c r="W704" s="1">
        <v>1</v>
      </c>
      <c r="Y704" s="1">
        <v>0</v>
      </c>
      <c r="Z704" s="1">
        <v>0</v>
      </c>
      <c r="AB704" s="1" t="str">
        <f t="shared" si="490"/>
        <v>SMU</v>
      </c>
      <c r="AI704" s="1" t="str">
        <f t="shared" si="491"/>
        <v>F11</v>
      </c>
      <c r="AJ704" s="1" t="str">
        <f t="shared" si="483"/>
        <v>WOMAN</v>
      </c>
      <c r="AK704" s="1" t="str">
        <f t="shared" si="465"/>
        <v>PA</v>
      </c>
      <c r="AP704" s="1" t="str">
        <f t="shared" si="466"/>
        <v>False</v>
      </c>
      <c r="AR704" s="1" t="str">
        <f t="shared" si="492"/>
        <v>DECOR</v>
      </c>
      <c r="AY704" s="1" t="str">
        <f t="shared" si="467"/>
        <v>PF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 t="str">
        <f t="shared" si="493"/>
        <v>R GOMMA CANVAS</v>
      </c>
      <c r="BF704" s="1" t="str">
        <f t="shared" si="468"/>
        <v>Bonis SpA</v>
      </c>
    </row>
    <row r="705" spans="2:58" x14ac:dyDescent="0.25">
      <c r="B705" s="1">
        <v>2494</v>
      </c>
      <c r="C705" s="1" t="str">
        <f t="shared" si="488"/>
        <v>DECOR4237S7/C1</v>
      </c>
      <c r="E705" s="1" t="str">
        <f>"37"</f>
        <v>37</v>
      </c>
      <c r="F705" s="1" t="str">
        <f t="shared" si="456"/>
        <v>BONIS SPA</v>
      </c>
      <c r="G705" s="1" t="str">
        <f t="shared" si="485"/>
        <v>STOCK SCAFFALE MP</v>
      </c>
      <c r="H705" s="1" t="str">
        <f>"DKBL"</f>
        <v>DKBL</v>
      </c>
      <c r="K705" s="1">
        <v>1</v>
      </c>
      <c r="L705" s="1" t="str">
        <f t="shared" si="457"/>
        <v>01</v>
      </c>
      <c r="M705" s="1" t="str">
        <f t="shared" si="486"/>
        <v>408</v>
      </c>
      <c r="N705" s="1" t="str">
        <f t="shared" si="489"/>
        <v>013</v>
      </c>
      <c r="O705" s="1" t="str">
        <f t="shared" si="458"/>
        <v>00</v>
      </c>
      <c r="P705" s="1" t="str">
        <f t="shared" si="459"/>
        <v>S</v>
      </c>
      <c r="Q705" s="1" t="str">
        <f t="shared" si="460"/>
        <v>P</v>
      </c>
      <c r="R705" s="1" t="str">
        <f t="shared" si="461"/>
        <v>01</v>
      </c>
      <c r="S705" s="1" t="str">
        <f t="shared" si="487"/>
        <v>04</v>
      </c>
      <c r="T705" s="1" t="str">
        <f t="shared" si="462"/>
        <v>False</v>
      </c>
      <c r="U705" s="1" t="str">
        <f t="shared" si="463"/>
        <v>True</v>
      </c>
      <c r="V705" s="1" t="str">
        <f t="shared" si="494"/>
        <v>U0032716</v>
      </c>
      <c r="W705" s="1">
        <v>1</v>
      </c>
      <c r="Y705" s="1">
        <v>0</v>
      </c>
      <c r="Z705" s="1">
        <v>0</v>
      </c>
      <c r="AB705" s="1" t="str">
        <f t="shared" si="490"/>
        <v>SMU</v>
      </c>
      <c r="AI705" s="1" t="str">
        <f t="shared" si="491"/>
        <v>F11</v>
      </c>
      <c r="AJ705" s="1" t="str">
        <f t="shared" si="483"/>
        <v>WOMAN</v>
      </c>
      <c r="AK705" s="1" t="str">
        <f t="shared" si="465"/>
        <v>PA</v>
      </c>
      <c r="AP705" s="1" t="str">
        <f t="shared" si="466"/>
        <v>False</v>
      </c>
      <c r="AR705" s="1" t="str">
        <f t="shared" si="492"/>
        <v>DECOR</v>
      </c>
      <c r="AY705" s="1" t="str">
        <f t="shared" si="467"/>
        <v>PF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 t="str">
        <f t="shared" si="493"/>
        <v>R GOMMA CANVAS</v>
      </c>
      <c r="BF705" s="1" t="str">
        <f t="shared" si="468"/>
        <v>Bonis SpA</v>
      </c>
    </row>
    <row r="706" spans="2:58" x14ac:dyDescent="0.25">
      <c r="B706" s="1">
        <v>2494</v>
      </c>
      <c r="C706" s="1" t="str">
        <f t="shared" si="488"/>
        <v>DECOR4237S7/C1</v>
      </c>
      <c r="E706" s="1" t="str">
        <f>"39"</f>
        <v>39</v>
      </c>
      <c r="F706" s="1" t="str">
        <f t="shared" ref="F706:F769" si="495">"BONIS SPA"</f>
        <v>BONIS SPA</v>
      </c>
      <c r="G706" s="1" t="str">
        <f t="shared" si="485"/>
        <v>STOCK SCAFFALE MP</v>
      </c>
      <c r="H706" s="1" t="str">
        <f t="shared" ref="H706:H737" si="496">"GREY"</f>
        <v>GREY</v>
      </c>
      <c r="K706" s="1">
        <v>3</v>
      </c>
      <c r="L706" s="1" t="str">
        <f t="shared" ref="L706:L769" si="497">"01"</f>
        <v>01</v>
      </c>
      <c r="M706" s="1" t="str">
        <f t="shared" si="486"/>
        <v>408</v>
      </c>
      <c r="N706" s="1" t="str">
        <f t="shared" si="489"/>
        <v>013</v>
      </c>
      <c r="O706" s="1" t="str">
        <f t="shared" ref="O706:O769" si="498">"00"</f>
        <v>00</v>
      </c>
      <c r="P706" s="1" t="str">
        <f t="shared" ref="P706:P769" si="499">"S"</f>
        <v>S</v>
      </c>
      <c r="Q706" s="1" t="str">
        <f t="shared" ref="Q706:Q769" si="500">"P"</f>
        <v>P</v>
      </c>
      <c r="R706" s="1" t="str">
        <f t="shared" ref="R706:R769" si="501">"01"</f>
        <v>01</v>
      </c>
      <c r="S706" s="1" t="str">
        <f t="shared" si="487"/>
        <v>04</v>
      </c>
      <c r="T706" s="1" t="str">
        <f t="shared" ref="T706:T769" si="502">"False"</f>
        <v>False</v>
      </c>
      <c r="U706" s="1" t="str">
        <f t="shared" ref="U706:U769" si="503">"True"</f>
        <v>True</v>
      </c>
      <c r="V706" s="1" t="str">
        <f>"U0032715"</f>
        <v>U0032715</v>
      </c>
      <c r="W706" s="1">
        <v>1</v>
      </c>
      <c r="Y706" s="1">
        <v>0</v>
      </c>
      <c r="Z706" s="1">
        <v>0</v>
      </c>
      <c r="AB706" s="1" t="str">
        <f t="shared" si="490"/>
        <v>SMU</v>
      </c>
      <c r="AI706" s="1" t="str">
        <f t="shared" si="491"/>
        <v>F11</v>
      </c>
      <c r="AJ706" s="1" t="str">
        <f t="shared" ref="AJ706:AJ737" si="504">"WOMAN"</f>
        <v>WOMAN</v>
      </c>
      <c r="AK706" s="1" t="str">
        <f t="shared" ref="AK706:AK769" si="505">"PA"</f>
        <v>PA</v>
      </c>
      <c r="AP706" s="1" t="str">
        <f t="shared" ref="AP706:AP769" si="506">"False"</f>
        <v>False</v>
      </c>
      <c r="AR706" s="1" t="str">
        <f t="shared" si="492"/>
        <v>DECOR</v>
      </c>
      <c r="AY706" s="1" t="str">
        <f t="shared" ref="AY706:AY769" si="507">"PF"</f>
        <v>PF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 t="str">
        <f t="shared" si="493"/>
        <v>R GOMMA CANVAS</v>
      </c>
      <c r="BF706" s="1" t="str">
        <f t="shared" ref="BF706:BF769" si="508">"Bonis SpA"</f>
        <v>Bonis SpA</v>
      </c>
    </row>
    <row r="707" spans="2:58" x14ac:dyDescent="0.25">
      <c r="B707" s="1">
        <v>2494</v>
      </c>
      <c r="C707" s="1" t="str">
        <f t="shared" si="488"/>
        <v>DECOR4237S7/C1</v>
      </c>
      <c r="E707" s="1" t="str">
        <f>"38"</f>
        <v>38</v>
      </c>
      <c r="F707" s="1" t="str">
        <f t="shared" si="495"/>
        <v>BONIS SPA</v>
      </c>
      <c r="G707" s="1" t="str">
        <f t="shared" si="485"/>
        <v>STOCK SCAFFALE MP</v>
      </c>
      <c r="H707" s="1" t="str">
        <f t="shared" si="496"/>
        <v>GREY</v>
      </c>
      <c r="K707" s="1">
        <v>3</v>
      </c>
      <c r="L707" s="1" t="str">
        <f t="shared" si="497"/>
        <v>01</v>
      </c>
      <c r="M707" s="1" t="str">
        <f t="shared" si="486"/>
        <v>408</v>
      </c>
      <c r="N707" s="1" t="str">
        <f t="shared" si="489"/>
        <v>013</v>
      </c>
      <c r="O707" s="1" t="str">
        <f t="shared" si="498"/>
        <v>00</v>
      </c>
      <c r="P707" s="1" t="str">
        <f t="shared" si="499"/>
        <v>S</v>
      </c>
      <c r="Q707" s="1" t="str">
        <f t="shared" si="500"/>
        <v>P</v>
      </c>
      <c r="R707" s="1" t="str">
        <f t="shared" si="501"/>
        <v>01</v>
      </c>
      <c r="S707" s="1" t="str">
        <f t="shared" si="487"/>
        <v>04</v>
      </c>
      <c r="T707" s="1" t="str">
        <f t="shared" si="502"/>
        <v>False</v>
      </c>
      <c r="U707" s="1" t="str">
        <f t="shared" si="503"/>
        <v>True</v>
      </c>
      <c r="V707" s="1" t="str">
        <f>"U0032715"</f>
        <v>U0032715</v>
      </c>
      <c r="W707" s="1">
        <v>1</v>
      </c>
      <c r="Y707" s="1">
        <v>0</v>
      </c>
      <c r="Z707" s="1">
        <v>0</v>
      </c>
      <c r="AB707" s="1" t="str">
        <f t="shared" si="490"/>
        <v>SMU</v>
      </c>
      <c r="AI707" s="1" t="str">
        <f t="shared" si="491"/>
        <v>F11</v>
      </c>
      <c r="AJ707" s="1" t="str">
        <f t="shared" si="504"/>
        <v>WOMAN</v>
      </c>
      <c r="AK707" s="1" t="str">
        <f t="shared" si="505"/>
        <v>PA</v>
      </c>
      <c r="AP707" s="1" t="str">
        <f t="shared" si="506"/>
        <v>False</v>
      </c>
      <c r="AR707" s="1" t="str">
        <f t="shared" si="492"/>
        <v>DECOR</v>
      </c>
      <c r="AY707" s="1" t="str">
        <f t="shared" si="507"/>
        <v>PF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 t="str">
        <f t="shared" si="493"/>
        <v>R GOMMA CANVAS</v>
      </c>
      <c r="BF707" s="1" t="str">
        <f t="shared" si="508"/>
        <v>Bonis SpA</v>
      </c>
    </row>
    <row r="708" spans="2:58" x14ac:dyDescent="0.25">
      <c r="B708" s="1">
        <v>2494</v>
      </c>
      <c r="C708" s="1" t="str">
        <f t="shared" si="488"/>
        <v>DECOR4237S7/C1</v>
      </c>
      <c r="E708" s="1" t="str">
        <f>"40"</f>
        <v>40</v>
      </c>
      <c r="F708" s="1" t="str">
        <f t="shared" si="495"/>
        <v>BONIS SPA</v>
      </c>
      <c r="G708" s="1" t="str">
        <f t="shared" si="485"/>
        <v>STOCK SCAFFALE MP</v>
      </c>
      <c r="H708" s="1" t="str">
        <f t="shared" si="496"/>
        <v>GREY</v>
      </c>
      <c r="K708" s="1">
        <v>2</v>
      </c>
      <c r="L708" s="1" t="str">
        <f t="shared" si="497"/>
        <v>01</v>
      </c>
      <c r="M708" s="1" t="str">
        <f t="shared" si="486"/>
        <v>408</v>
      </c>
      <c r="N708" s="1" t="str">
        <f t="shared" si="489"/>
        <v>013</v>
      </c>
      <c r="O708" s="1" t="str">
        <f t="shared" si="498"/>
        <v>00</v>
      </c>
      <c r="P708" s="1" t="str">
        <f t="shared" si="499"/>
        <v>S</v>
      </c>
      <c r="Q708" s="1" t="str">
        <f t="shared" si="500"/>
        <v>P</v>
      </c>
      <c r="R708" s="1" t="str">
        <f t="shared" si="501"/>
        <v>01</v>
      </c>
      <c r="S708" s="1" t="str">
        <f t="shared" si="487"/>
        <v>04</v>
      </c>
      <c r="T708" s="1" t="str">
        <f t="shared" si="502"/>
        <v>False</v>
      </c>
      <c r="U708" s="1" t="str">
        <f t="shared" si="503"/>
        <v>True</v>
      </c>
      <c r="V708" s="1" t="str">
        <f>"U0032715"</f>
        <v>U0032715</v>
      </c>
      <c r="W708" s="1">
        <v>1</v>
      </c>
      <c r="Y708" s="1">
        <v>0</v>
      </c>
      <c r="Z708" s="1">
        <v>0</v>
      </c>
      <c r="AB708" s="1" t="str">
        <f t="shared" si="490"/>
        <v>SMU</v>
      </c>
      <c r="AI708" s="1" t="str">
        <f t="shared" si="491"/>
        <v>F11</v>
      </c>
      <c r="AJ708" s="1" t="str">
        <f t="shared" si="504"/>
        <v>WOMAN</v>
      </c>
      <c r="AK708" s="1" t="str">
        <f t="shared" si="505"/>
        <v>PA</v>
      </c>
      <c r="AP708" s="1" t="str">
        <f t="shared" si="506"/>
        <v>False</v>
      </c>
      <c r="AR708" s="1" t="str">
        <f t="shared" si="492"/>
        <v>DECOR</v>
      </c>
      <c r="AY708" s="1" t="str">
        <f t="shared" si="507"/>
        <v>PF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 t="str">
        <f t="shared" si="493"/>
        <v>R GOMMA CANVAS</v>
      </c>
      <c r="BF708" s="1" t="str">
        <f t="shared" si="508"/>
        <v>Bonis SpA</v>
      </c>
    </row>
    <row r="709" spans="2:58" x14ac:dyDescent="0.25">
      <c r="B709" s="1">
        <v>2494</v>
      </c>
      <c r="C709" s="1" t="str">
        <f t="shared" si="488"/>
        <v>DECOR4237S7/C1</v>
      </c>
      <c r="E709" s="1" t="str">
        <f>"41"</f>
        <v>41</v>
      </c>
      <c r="F709" s="1" t="str">
        <f t="shared" si="495"/>
        <v>BONIS SPA</v>
      </c>
      <c r="G709" s="1" t="str">
        <f t="shared" si="485"/>
        <v>STOCK SCAFFALE MP</v>
      </c>
      <c r="H709" s="1" t="str">
        <f t="shared" si="496"/>
        <v>GREY</v>
      </c>
      <c r="K709" s="1">
        <v>2</v>
      </c>
      <c r="L709" s="1" t="str">
        <f t="shared" si="497"/>
        <v>01</v>
      </c>
      <c r="M709" s="1" t="str">
        <f t="shared" si="486"/>
        <v>408</v>
      </c>
      <c r="N709" s="1" t="str">
        <f t="shared" si="489"/>
        <v>013</v>
      </c>
      <c r="O709" s="1" t="str">
        <f t="shared" si="498"/>
        <v>00</v>
      </c>
      <c r="P709" s="1" t="str">
        <f t="shared" si="499"/>
        <v>S</v>
      </c>
      <c r="Q709" s="1" t="str">
        <f t="shared" si="500"/>
        <v>P</v>
      </c>
      <c r="R709" s="1" t="str">
        <f t="shared" si="501"/>
        <v>01</v>
      </c>
      <c r="S709" s="1" t="str">
        <f t="shared" si="487"/>
        <v>04</v>
      </c>
      <c r="T709" s="1" t="str">
        <f t="shared" si="502"/>
        <v>False</v>
      </c>
      <c r="U709" s="1" t="str">
        <f t="shared" si="503"/>
        <v>True</v>
      </c>
      <c r="V709" s="1" t="str">
        <f>"U0032715"</f>
        <v>U0032715</v>
      </c>
      <c r="W709" s="1">
        <v>1</v>
      </c>
      <c r="Y709" s="1">
        <v>0</v>
      </c>
      <c r="Z709" s="1">
        <v>0</v>
      </c>
      <c r="AB709" s="1" t="str">
        <f t="shared" si="490"/>
        <v>SMU</v>
      </c>
      <c r="AI709" s="1" t="str">
        <f t="shared" si="491"/>
        <v>F11</v>
      </c>
      <c r="AJ709" s="1" t="str">
        <f t="shared" si="504"/>
        <v>WOMAN</v>
      </c>
      <c r="AK709" s="1" t="str">
        <f t="shared" si="505"/>
        <v>PA</v>
      </c>
      <c r="AP709" s="1" t="str">
        <f t="shared" si="506"/>
        <v>False</v>
      </c>
      <c r="AR709" s="1" t="str">
        <f t="shared" si="492"/>
        <v>DECOR</v>
      </c>
      <c r="AY709" s="1" t="str">
        <f t="shared" si="507"/>
        <v>PF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 t="str">
        <f t="shared" si="493"/>
        <v>R GOMMA CANVAS</v>
      </c>
      <c r="BF709" s="1" t="str">
        <f t="shared" si="508"/>
        <v>Bonis SpA</v>
      </c>
    </row>
    <row r="710" spans="2:58" x14ac:dyDescent="0.25">
      <c r="B710" s="1">
        <v>2494</v>
      </c>
      <c r="C710" s="1" t="str">
        <f t="shared" si="488"/>
        <v>DECOR4237S7/C1</v>
      </c>
      <c r="E710" s="1" t="str">
        <f>"37"</f>
        <v>37</v>
      </c>
      <c r="F710" s="1" t="str">
        <f t="shared" si="495"/>
        <v>BONIS SPA</v>
      </c>
      <c r="G710" s="1" t="str">
        <f t="shared" si="485"/>
        <v>STOCK SCAFFALE MP</v>
      </c>
      <c r="H710" s="1" t="str">
        <f t="shared" si="496"/>
        <v>GREY</v>
      </c>
      <c r="K710" s="1">
        <v>1</v>
      </c>
      <c r="L710" s="1" t="str">
        <f t="shared" si="497"/>
        <v>01</v>
      </c>
      <c r="M710" s="1" t="str">
        <f t="shared" si="486"/>
        <v>408</v>
      </c>
      <c r="N710" s="1" t="str">
        <f t="shared" si="489"/>
        <v>013</v>
      </c>
      <c r="O710" s="1" t="str">
        <f t="shared" si="498"/>
        <v>00</v>
      </c>
      <c r="P710" s="1" t="str">
        <f t="shared" si="499"/>
        <v>S</v>
      </c>
      <c r="Q710" s="1" t="str">
        <f t="shared" si="500"/>
        <v>P</v>
      </c>
      <c r="R710" s="1" t="str">
        <f t="shared" si="501"/>
        <v>01</v>
      </c>
      <c r="S710" s="1" t="str">
        <f t="shared" si="487"/>
        <v>04</v>
      </c>
      <c r="T710" s="1" t="str">
        <f t="shared" si="502"/>
        <v>False</v>
      </c>
      <c r="U710" s="1" t="str">
        <f t="shared" si="503"/>
        <v>True</v>
      </c>
      <c r="V710" s="1" t="str">
        <f>"U0032715"</f>
        <v>U0032715</v>
      </c>
      <c r="W710" s="1">
        <v>1</v>
      </c>
      <c r="Y710" s="1">
        <v>0</v>
      </c>
      <c r="Z710" s="1">
        <v>0</v>
      </c>
      <c r="AB710" s="1" t="str">
        <f t="shared" si="490"/>
        <v>SMU</v>
      </c>
      <c r="AI710" s="1" t="str">
        <f t="shared" si="491"/>
        <v>F11</v>
      </c>
      <c r="AJ710" s="1" t="str">
        <f t="shared" si="504"/>
        <v>WOMAN</v>
      </c>
      <c r="AK710" s="1" t="str">
        <f t="shared" si="505"/>
        <v>PA</v>
      </c>
      <c r="AP710" s="1" t="str">
        <f t="shared" si="506"/>
        <v>False</v>
      </c>
      <c r="AR710" s="1" t="str">
        <f t="shared" si="492"/>
        <v>DECOR</v>
      </c>
      <c r="AY710" s="1" t="str">
        <f t="shared" si="507"/>
        <v>PF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 t="str">
        <f t="shared" si="493"/>
        <v>R GOMMA CANVAS</v>
      </c>
      <c r="BF710" s="1" t="str">
        <f t="shared" si="508"/>
        <v>Bonis SpA</v>
      </c>
    </row>
    <row r="711" spans="2:58" x14ac:dyDescent="0.25">
      <c r="B711" s="1">
        <v>2494</v>
      </c>
      <c r="C711" s="1" t="str">
        <f t="shared" si="488"/>
        <v>DECOR4237S7/C1</v>
      </c>
      <c r="E711" s="1" t="str">
        <f>"40"</f>
        <v>40</v>
      </c>
      <c r="F711" s="1" t="str">
        <f t="shared" si="495"/>
        <v>BONIS SPA</v>
      </c>
      <c r="G711" s="1" t="str">
        <f t="shared" si="485"/>
        <v>STOCK SCAFFALE MP</v>
      </c>
      <c r="H711" s="1" t="str">
        <f t="shared" si="496"/>
        <v>GREY</v>
      </c>
      <c r="K711" s="1">
        <v>3</v>
      </c>
      <c r="L711" s="1" t="str">
        <f t="shared" si="497"/>
        <v>01</v>
      </c>
      <c r="M711" s="1" t="str">
        <f t="shared" si="486"/>
        <v>408</v>
      </c>
      <c r="N711" s="1" t="str">
        <f t="shared" si="489"/>
        <v>013</v>
      </c>
      <c r="O711" s="1" t="str">
        <f t="shared" si="498"/>
        <v>00</v>
      </c>
      <c r="P711" s="1" t="str">
        <f t="shared" si="499"/>
        <v>S</v>
      </c>
      <c r="Q711" s="1" t="str">
        <f t="shared" si="500"/>
        <v>P</v>
      </c>
      <c r="R711" s="1" t="str">
        <f t="shared" si="501"/>
        <v>01</v>
      </c>
      <c r="S711" s="1" t="str">
        <f t="shared" si="487"/>
        <v>04</v>
      </c>
      <c r="T711" s="1" t="str">
        <f t="shared" si="502"/>
        <v>False</v>
      </c>
      <c r="U711" s="1" t="str">
        <f t="shared" si="503"/>
        <v>True</v>
      </c>
      <c r="V711" s="1" t="str">
        <f>"U0032714"</f>
        <v>U0032714</v>
      </c>
      <c r="W711" s="1">
        <v>1</v>
      </c>
      <c r="Y711" s="1">
        <v>0</v>
      </c>
      <c r="Z711" s="1">
        <v>0</v>
      </c>
      <c r="AB711" s="1" t="str">
        <f t="shared" si="490"/>
        <v>SMU</v>
      </c>
      <c r="AI711" s="1" t="str">
        <f t="shared" si="491"/>
        <v>F11</v>
      </c>
      <c r="AJ711" s="1" t="str">
        <f t="shared" si="504"/>
        <v>WOMAN</v>
      </c>
      <c r="AK711" s="1" t="str">
        <f t="shared" si="505"/>
        <v>PA</v>
      </c>
      <c r="AP711" s="1" t="str">
        <f t="shared" si="506"/>
        <v>False</v>
      </c>
      <c r="AR711" s="1" t="str">
        <f t="shared" si="492"/>
        <v>DECOR</v>
      </c>
      <c r="AY711" s="1" t="str">
        <f t="shared" si="507"/>
        <v>PF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 t="str">
        <f t="shared" si="493"/>
        <v>R GOMMA CANVAS</v>
      </c>
      <c r="BF711" s="1" t="str">
        <f t="shared" si="508"/>
        <v>Bonis SpA</v>
      </c>
    </row>
    <row r="712" spans="2:58" x14ac:dyDescent="0.25">
      <c r="B712" s="1">
        <v>2494</v>
      </c>
      <c r="C712" s="1" t="str">
        <f t="shared" si="488"/>
        <v>DECOR4237S7/C1</v>
      </c>
      <c r="E712" s="1" t="str">
        <f>"41"</f>
        <v>41</v>
      </c>
      <c r="F712" s="1" t="str">
        <f t="shared" si="495"/>
        <v>BONIS SPA</v>
      </c>
      <c r="G712" s="1" t="str">
        <f t="shared" si="485"/>
        <v>STOCK SCAFFALE MP</v>
      </c>
      <c r="H712" s="1" t="str">
        <f t="shared" si="496"/>
        <v>GREY</v>
      </c>
      <c r="K712" s="1">
        <v>1</v>
      </c>
      <c r="L712" s="1" t="str">
        <f t="shared" si="497"/>
        <v>01</v>
      </c>
      <c r="M712" s="1" t="str">
        <f t="shared" si="486"/>
        <v>408</v>
      </c>
      <c r="N712" s="1" t="str">
        <f t="shared" si="489"/>
        <v>013</v>
      </c>
      <c r="O712" s="1" t="str">
        <f t="shared" si="498"/>
        <v>00</v>
      </c>
      <c r="P712" s="1" t="str">
        <f t="shared" si="499"/>
        <v>S</v>
      </c>
      <c r="Q712" s="1" t="str">
        <f t="shared" si="500"/>
        <v>P</v>
      </c>
      <c r="R712" s="1" t="str">
        <f t="shared" si="501"/>
        <v>01</v>
      </c>
      <c r="S712" s="1" t="str">
        <f t="shared" si="487"/>
        <v>04</v>
      </c>
      <c r="T712" s="1" t="str">
        <f t="shared" si="502"/>
        <v>False</v>
      </c>
      <c r="U712" s="1" t="str">
        <f t="shared" si="503"/>
        <v>True</v>
      </c>
      <c r="V712" s="1" t="str">
        <f>"U0032714"</f>
        <v>U0032714</v>
      </c>
      <c r="W712" s="1">
        <v>1</v>
      </c>
      <c r="Y712" s="1">
        <v>0</v>
      </c>
      <c r="Z712" s="1">
        <v>0</v>
      </c>
      <c r="AB712" s="1" t="str">
        <f t="shared" si="490"/>
        <v>SMU</v>
      </c>
      <c r="AI712" s="1" t="str">
        <f t="shared" si="491"/>
        <v>F11</v>
      </c>
      <c r="AJ712" s="1" t="str">
        <f t="shared" si="504"/>
        <v>WOMAN</v>
      </c>
      <c r="AK712" s="1" t="str">
        <f t="shared" si="505"/>
        <v>PA</v>
      </c>
      <c r="AP712" s="1" t="str">
        <f t="shared" si="506"/>
        <v>False</v>
      </c>
      <c r="AR712" s="1" t="str">
        <f t="shared" si="492"/>
        <v>DECOR</v>
      </c>
      <c r="AY712" s="1" t="str">
        <f t="shared" si="507"/>
        <v>PF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 t="str">
        <f t="shared" si="493"/>
        <v>R GOMMA CANVAS</v>
      </c>
      <c r="BF712" s="1" t="str">
        <f t="shared" si="508"/>
        <v>Bonis SpA</v>
      </c>
    </row>
    <row r="713" spans="2:58" x14ac:dyDescent="0.25">
      <c r="B713" s="1">
        <v>2494</v>
      </c>
      <c r="C713" s="1" t="str">
        <f t="shared" si="488"/>
        <v>DECOR4237S7/C1</v>
      </c>
      <c r="E713" s="1" t="str">
        <f>"37"</f>
        <v>37</v>
      </c>
      <c r="F713" s="1" t="str">
        <f t="shared" si="495"/>
        <v>BONIS SPA</v>
      </c>
      <c r="G713" s="1" t="str">
        <f t="shared" si="485"/>
        <v>STOCK SCAFFALE MP</v>
      </c>
      <c r="H713" s="1" t="str">
        <f t="shared" si="496"/>
        <v>GREY</v>
      </c>
      <c r="K713" s="1">
        <v>2</v>
      </c>
      <c r="L713" s="1" t="str">
        <f t="shared" si="497"/>
        <v>01</v>
      </c>
      <c r="M713" s="1" t="str">
        <f t="shared" si="486"/>
        <v>408</v>
      </c>
      <c r="N713" s="1" t="str">
        <f t="shared" si="489"/>
        <v>013</v>
      </c>
      <c r="O713" s="1" t="str">
        <f t="shared" si="498"/>
        <v>00</v>
      </c>
      <c r="P713" s="1" t="str">
        <f t="shared" si="499"/>
        <v>S</v>
      </c>
      <c r="Q713" s="1" t="str">
        <f t="shared" si="500"/>
        <v>P</v>
      </c>
      <c r="R713" s="1" t="str">
        <f t="shared" si="501"/>
        <v>01</v>
      </c>
      <c r="S713" s="1" t="str">
        <f t="shared" si="487"/>
        <v>04</v>
      </c>
      <c r="T713" s="1" t="str">
        <f t="shared" si="502"/>
        <v>False</v>
      </c>
      <c r="U713" s="1" t="str">
        <f t="shared" si="503"/>
        <v>True</v>
      </c>
      <c r="V713" s="1" t="str">
        <f>"U0032714"</f>
        <v>U0032714</v>
      </c>
      <c r="W713" s="1">
        <v>1</v>
      </c>
      <c r="Y713" s="1">
        <v>0</v>
      </c>
      <c r="Z713" s="1">
        <v>0</v>
      </c>
      <c r="AB713" s="1" t="str">
        <f t="shared" si="490"/>
        <v>SMU</v>
      </c>
      <c r="AI713" s="1" t="str">
        <f t="shared" si="491"/>
        <v>F11</v>
      </c>
      <c r="AJ713" s="1" t="str">
        <f t="shared" si="504"/>
        <v>WOMAN</v>
      </c>
      <c r="AK713" s="1" t="str">
        <f t="shared" si="505"/>
        <v>PA</v>
      </c>
      <c r="AP713" s="1" t="str">
        <f t="shared" si="506"/>
        <v>False</v>
      </c>
      <c r="AR713" s="1" t="str">
        <f t="shared" si="492"/>
        <v>DECOR</v>
      </c>
      <c r="AY713" s="1" t="str">
        <f t="shared" si="507"/>
        <v>PF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 t="str">
        <f t="shared" si="493"/>
        <v>R GOMMA CANVAS</v>
      </c>
      <c r="BF713" s="1" t="str">
        <f t="shared" si="508"/>
        <v>Bonis SpA</v>
      </c>
    </row>
    <row r="714" spans="2:58" x14ac:dyDescent="0.25">
      <c r="B714" s="1">
        <v>2494</v>
      </c>
      <c r="C714" s="1" t="str">
        <f t="shared" si="488"/>
        <v>DECOR4237S7/C1</v>
      </c>
      <c r="E714" s="1" t="str">
        <f>"38"</f>
        <v>38</v>
      </c>
      <c r="F714" s="1" t="str">
        <f t="shared" si="495"/>
        <v>BONIS SPA</v>
      </c>
      <c r="G714" s="1" t="str">
        <f t="shared" si="485"/>
        <v>STOCK SCAFFALE MP</v>
      </c>
      <c r="H714" s="1" t="str">
        <f t="shared" si="496"/>
        <v>GREY</v>
      </c>
      <c r="K714" s="1">
        <v>3</v>
      </c>
      <c r="L714" s="1" t="str">
        <f t="shared" si="497"/>
        <v>01</v>
      </c>
      <c r="M714" s="1" t="str">
        <f t="shared" si="486"/>
        <v>408</v>
      </c>
      <c r="N714" s="1" t="str">
        <f t="shared" si="489"/>
        <v>013</v>
      </c>
      <c r="O714" s="1" t="str">
        <f t="shared" si="498"/>
        <v>00</v>
      </c>
      <c r="P714" s="1" t="str">
        <f t="shared" si="499"/>
        <v>S</v>
      </c>
      <c r="Q714" s="1" t="str">
        <f t="shared" si="500"/>
        <v>P</v>
      </c>
      <c r="R714" s="1" t="str">
        <f t="shared" si="501"/>
        <v>01</v>
      </c>
      <c r="S714" s="1" t="str">
        <f t="shared" si="487"/>
        <v>04</v>
      </c>
      <c r="T714" s="1" t="str">
        <f t="shared" si="502"/>
        <v>False</v>
      </c>
      <c r="U714" s="1" t="str">
        <f t="shared" si="503"/>
        <v>True</v>
      </c>
      <c r="V714" s="1" t="str">
        <f>"U0032714"</f>
        <v>U0032714</v>
      </c>
      <c r="W714" s="1">
        <v>1</v>
      </c>
      <c r="Y714" s="1">
        <v>0</v>
      </c>
      <c r="Z714" s="1">
        <v>0</v>
      </c>
      <c r="AB714" s="1" t="str">
        <f t="shared" si="490"/>
        <v>SMU</v>
      </c>
      <c r="AI714" s="1" t="str">
        <f t="shared" si="491"/>
        <v>F11</v>
      </c>
      <c r="AJ714" s="1" t="str">
        <f t="shared" si="504"/>
        <v>WOMAN</v>
      </c>
      <c r="AK714" s="1" t="str">
        <f t="shared" si="505"/>
        <v>PA</v>
      </c>
      <c r="AP714" s="1" t="str">
        <f t="shared" si="506"/>
        <v>False</v>
      </c>
      <c r="AR714" s="1" t="str">
        <f t="shared" si="492"/>
        <v>DECOR</v>
      </c>
      <c r="AY714" s="1" t="str">
        <f t="shared" si="507"/>
        <v>PF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 t="str">
        <f t="shared" si="493"/>
        <v>R GOMMA CANVAS</v>
      </c>
      <c r="BF714" s="1" t="str">
        <f t="shared" si="508"/>
        <v>Bonis SpA</v>
      </c>
    </row>
    <row r="715" spans="2:58" x14ac:dyDescent="0.25">
      <c r="B715" s="1">
        <v>2494</v>
      </c>
      <c r="C715" s="1" t="str">
        <f t="shared" si="488"/>
        <v>DECOR4237S7/C1</v>
      </c>
      <c r="E715" s="1" t="str">
        <f>"39"</f>
        <v>39</v>
      </c>
      <c r="F715" s="1" t="str">
        <f t="shared" si="495"/>
        <v>BONIS SPA</v>
      </c>
      <c r="G715" s="1" t="str">
        <f t="shared" si="485"/>
        <v>STOCK SCAFFALE MP</v>
      </c>
      <c r="H715" s="1" t="str">
        <f t="shared" si="496"/>
        <v>GREY</v>
      </c>
      <c r="K715" s="1">
        <v>3</v>
      </c>
      <c r="L715" s="1" t="str">
        <f t="shared" si="497"/>
        <v>01</v>
      </c>
      <c r="M715" s="1" t="str">
        <f t="shared" si="486"/>
        <v>408</v>
      </c>
      <c r="N715" s="1" t="str">
        <f t="shared" si="489"/>
        <v>013</v>
      </c>
      <c r="O715" s="1" t="str">
        <f t="shared" si="498"/>
        <v>00</v>
      </c>
      <c r="P715" s="1" t="str">
        <f t="shared" si="499"/>
        <v>S</v>
      </c>
      <c r="Q715" s="1" t="str">
        <f t="shared" si="500"/>
        <v>P</v>
      </c>
      <c r="R715" s="1" t="str">
        <f t="shared" si="501"/>
        <v>01</v>
      </c>
      <c r="S715" s="1" t="str">
        <f t="shared" si="487"/>
        <v>04</v>
      </c>
      <c r="T715" s="1" t="str">
        <f t="shared" si="502"/>
        <v>False</v>
      </c>
      <c r="U715" s="1" t="str">
        <f t="shared" si="503"/>
        <v>True</v>
      </c>
      <c r="V715" s="1" t="str">
        <f>"U0032714"</f>
        <v>U0032714</v>
      </c>
      <c r="W715" s="1">
        <v>1</v>
      </c>
      <c r="Y715" s="1">
        <v>0</v>
      </c>
      <c r="Z715" s="1">
        <v>0</v>
      </c>
      <c r="AB715" s="1" t="str">
        <f t="shared" si="490"/>
        <v>SMU</v>
      </c>
      <c r="AI715" s="1" t="str">
        <f t="shared" si="491"/>
        <v>F11</v>
      </c>
      <c r="AJ715" s="1" t="str">
        <f t="shared" si="504"/>
        <v>WOMAN</v>
      </c>
      <c r="AK715" s="1" t="str">
        <f t="shared" si="505"/>
        <v>PA</v>
      </c>
      <c r="AP715" s="1" t="str">
        <f t="shared" si="506"/>
        <v>False</v>
      </c>
      <c r="AR715" s="1" t="str">
        <f t="shared" si="492"/>
        <v>DECOR</v>
      </c>
      <c r="AY715" s="1" t="str">
        <f t="shared" si="507"/>
        <v>PF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 t="str">
        <f t="shared" si="493"/>
        <v>R GOMMA CANVAS</v>
      </c>
      <c r="BF715" s="1" t="str">
        <f t="shared" si="508"/>
        <v>Bonis SpA</v>
      </c>
    </row>
    <row r="716" spans="2:58" x14ac:dyDescent="0.25">
      <c r="B716" s="1">
        <v>2494</v>
      </c>
      <c r="C716" s="1" t="str">
        <f t="shared" si="488"/>
        <v>DECOR4237S7/C1</v>
      </c>
      <c r="E716" s="1" t="str">
        <f>"37"</f>
        <v>37</v>
      </c>
      <c r="F716" s="1" t="str">
        <f t="shared" si="495"/>
        <v>BONIS SPA</v>
      </c>
      <c r="G716" s="1" t="str">
        <f t="shared" si="485"/>
        <v>STOCK SCAFFALE MP</v>
      </c>
      <c r="H716" s="1" t="str">
        <f t="shared" si="496"/>
        <v>GREY</v>
      </c>
      <c r="K716" s="1">
        <v>2</v>
      </c>
      <c r="L716" s="1" t="str">
        <f t="shared" si="497"/>
        <v>01</v>
      </c>
      <c r="M716" s="1" t="str">
        <f t="shared" si="486"/>
        <v>408</v>
      </c>
      <c r="N716" s="1" t="str">
        <f t="shared" si="489"/>
        <v>013</v>
      </c>
      <c r="O716" s="1" t="str">
        <f t="shared" si="498"/>
        <v>00</v>
      </c>
      <c r="P716" s="1" t="str">
        <f t="shared" si="499"/>
        <v>S</v>
      </c>
      <c r="Q716" s="1" t="str">
        <f t="shared" si="500"/>
        <v>P</v>
      </c>
      <c r="R716" s="1" t="str">
        <f t="shared" si="501"/>
        <v>01</v>
      </c>
      <c r="S716" s="1" t="str">
        <f t="shared" si="487"/>
        <v>04</v>
      </c>
      <c r="T716" s="1" t="str">
        <f t="shared" si="502"/>
        <v>False</v>
      </c>
      <c r="U716" s="1" t="str">
        <f t="shared" si="503"/>
        <v>True</v>
      </c>
      <c r="V716" s="1" t="str">
        <f>"U0032713"</f>
        <v>U0032713</v>
      </c>
      <c r="W716" s="1">
        <v>1</v>
      </c>
      <c r="Y716" s="1">
        <v>0</v>
      </c>
      <c r="Z716" s="1">
        <v>0</v>
      </c>
      <c r="AB716" s="1" t="str">
        <f t="shared" si="490"/>
        <v>SMU</v>
      </c>
      <c r="AI716" s="1" t="str">
        <f t="shared" si="491"/>
        <v>F11</v>
      </c>
      <c r="AJ716" s="1" t="str">
        <f t="shared" si="504"/>
        <v>WOMAN</v>
      </c>
      <c r="AK716" s="1" t="str">
        <f t="shared" si="505"/>
        <v>PA</v>
      </c>
      <c r="AP716" s="1" t="str">
        <f t="shared" si="506"/>
        <v>False</v>
      </c>
      <c r="AR716" s="1" t="str">
        <f t="shared" si="492"/>
        <v>DECOR</v>
      </c>
      <c r="AY716" s="1" t="str">
        <f t="shared" si="507"/>
        <v>PF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 t="str">
        <f t="shared" si="493"/>
        <v>R GOMMA CANVAS</v>
      </c>
      <c r="BF716" s="1" t="str">
        <f t="shared" si="508"/>
        <v>Bonis SpA</v>
      </c>
    </row>
    <row r="717" spans="2:58" x14ac:dyDescent="0.25">
      <c r="B717" s="1">
        <v>2494</v>
      </c>
      <c r="C717" s="1" t="str">
        <f t="shared" si="488"/>
        <v>DECOR4237S7/C1</v>
      </c>
      <c r="E717" s="1" t="str">
        <f>"39"</f>
        <v>39</v>
      </c>
      <c r="F717" s="1" t="str">
        <f t="shared" si="495"/>
        <v>BONIS SPA</v>
      </c>
      <c r="G717" s="1" t="str">
        <f t="shared" si="485"/>
        <v>STOCK SCAFFALE MP</v>
      </c>
      <c r="H717" s="1" t="str">
        <f t="shared" si="496"/>
        <v>GREY</v>
      </c>
      <c r="K717" s="1">
        <v>5</v>
      </c>
      <c r="L717" s="1" t="str">
        <f t="shared" si="497"/>
        <v>01</v>
      </c>
      <c r="M717" s="1" t="str">
        <f t="shared" si="486"/>
        <v>408</v>
      </c>
      <c r="N717" s="1" t="str">
        <f t="shared" si="489"/>
        <v>013</v>
      </c>
      <c r="O717" s="1" t="str">
        <f t="shared" si="498"/>
        <v>00</v>
      </c>
      <c r="P717" s="1" t="str">
        <f t="shared" si="499"/>
        <v>S</v>
      </c>
      <c r="Q717" s="1" t="str">
        <f t="shared" si="500"/>
        <v>P</v>
      </c>
      <c r="R717" s="1" t="str">
        <f t="shared" si="501"/>
        <v>01</v>
      </c>
      <c r="S717" s="1" t="str">
        <f t="shared" si="487"/>
        <v>04</v>
      </c>
      <c r="T717" s="1" t="str">
        <f t="shared" si="502"/>
        <v>False</v>
      </c>
      <c r="U717" s="1" t="str">
        <f t="shared" si="503"/>
        <v>True</v>
      </c>
      <c r="V717" s="1" t="str">
        <f>"U0032713"</f>
        <v>U0032713</v>
      </c>
      <c r="W717" s="1">
        <v>1</v>
      </c>
      <c r="Y717" s="1">
        <v>0</v>
      </c>
      <c r="Z717" s="1">
        <v>0</v>
      </c>
      <c r="AB717" s="1" t="str">
        <f t="shared" si="490"/>
        <v>SMU</v>
      </c>
      <c r="AI717" s="1" t="str">
        <f t="shared" si="491"/>
        <v>F11</v>
      </c>
      <c r="AJ717" s="1" t="str">
        <f t="shared" si="504"/>
        <v>WOMAN</v>
      </c>
      <c r="AK717" s="1" t="str">
        <f t="shared" si="505"/>
        <v>PA</v>
      </c>
      <c r="AP717" s="1" t="str">
        <f t="shared" si="506"/>
        <v>False</v>
      </c>
      <c r="AR717" s="1" t="str">
        <f t="shared" si="492"/>
        <v>DECOR</v>
      </c>
      <c r="AY717" s="1" t="str">
        <f t="shared" si="507"/>
        <v>PF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 t="str">
        <f t="shared" si="493"/>
        <v>R GOMMA CANVAS</v>
      </c>
      <c r="BF717" s="1" t="str">
        <f t="shared" si="508"/>
        <v>Bonis SpA</v>
      </c>
    </row>
    <row r="718" spans="2:58" x14ac:dyDescent="0.25">
      <c r="B718" s="1">
        <v>2494</v>
      </c>
      <c r="C718" s="1" t="str">
        <f t="shared" si="488"/>
        <v>DECOR4237S7/C1</v>
      </c>
      <c r="E718" s="1" t="str">
        <f>"38"</f>
        <v>38</v>
      </c>
      <c r="F718" s="1" t="str">
        <f t="shared" si="495"/>
        <v>BONIS SPA</v>
      </c>
      <c r="G718" s="1" t="str">
        <f t="shared" si="485"/>
        <v>STOCK SCAFFALE MP</v>
      </c>
      <c r="H718" s="1" t="str">
        <f t="shared" si="496"/>
        <v>GREY</v>
      </c>
      <c r="K718" s="1">
        <v>2</v>
      </c>
      <c r="L718" s="1" t="str">
        <f t="shared" si="497"/>
        <v>01</v>
      </c>
      <c r="M718" s="1" t="str">
        <f t="shared" si="486"/>
        <v>408</v>
      </c>
      <c r="N718" s="1" t="str">
        <f t="shared" si="489"/>
        <v>013</v>
      </c>
      <c r="O718" s="1" t="str">
        <f t="shared" si="498"/>
        <v>00</v>
      </c>
      <c r="P718" s="1" t="str">
        <f t="shared" si="499"/>
        <v>S</v>
      </c>
      <c r="Q718" s="1" t="str">
        <f t="shared" si="500"/>
        <v>P</v>
      </c>
      <c r="R718" s="1" t="str">
        <f t="shared" si="501"/>
        <v>01</v>
      </c>
      <c r="S718" s="1" t="str">
        <f t="shared" si="487"/>
        <v>04</v>
      </c>
      <c r="T718" s="1" t="str">
        <f t="shared" si="502"/>
        <v>False</v>
      </c>
      <c r="U718" s="1" t="str">
        <f t="shared" si="503"/>
        <v>True</v>
      </c>
      <c r="V718" s="1" t="str">
        <f>"U0032713"</f>
        <v>U0032713</v>
      </c>
      <c r="W718" s="1">
        <v>1</v>
      </c>
      <c r="Y718" s="1">
        <v>0</v>
      </c>
      <c r="Z718" s="1">
        <v>0</v>
      </c>
      <c r="AB718" s="1" t="str">
        <f t="shared" si="490"/>
        <v>SMU</v>
      </c>
      <c r="AI718" s="1" t="str">
        <f t="shared" si="491"/>
        <v>F11</v>
      </c>
      <c r="AJ718" s="1" t="str">
        <f t="shared" si="504"/>
        <v>WOMAN</v>
      </c>
      <c r="AK718" s="1" t="str">
        <f t="shared" si="505"/>
        <v>PA</v>
      </c>
      <c r="AP718" s="1" t="str">
        <f t="shared" si="506"/>
        <v>False</v>
      </c>
      <c r="AR718" s="1" t="str">
        <f t="shared" si="492"/>
        <v>DECOR</v>
      </c>
      <c r="AY718" s="1" t="str">
        <f t="shared" si="507"/>
        <v>PF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 t="str">
        <f t="shared" si="493"/>
        <v>R GOMMA CANVAS</v>
      </c>
      <c r="BF718" s="1" t="str">
        <f t="shared" si="508"/>
        <v>Bonis SpA</v>
      </c>
    </row>
    <row r="719" spans="2:58" x14ac:dyDescent="0.25">
      <c r="B719" s="1">
        <v>2494</v>
      </c>
      <c r="C719" s="1" t="str">
        <f t="shared" si="488"/>
        <v>DECOR4237S7/C1</v>
      </c>
      <c r="E719" s="1" t="str">
        <f>"41"</f>
        <v>41</v>
      </c>
      <c r="F719" s="1" t="str">
        <f t="shared" si="495"/>
        <v>BONIS SPA</v>
      </c>
      <c r="G719" s="1" t="str">
        <f t="shared" si="485"/>
        <v>STOCK SCAFFALE MP</v>
      </c>
      <c r="H719" s="1" t="str">
        <f t="shared" si="496"/>
        <v>GREY</v>
      </c>
      <c r="K719" s="1">
        <v>1</v>
      </c>
      <c r="L719" s="1" t="str">
        <f t="shared" si="497"/>
        <v>01</v>
      </c>
      <c r="M719" s="1" t="str">
        <f t="shared" si="486"/>
        <v>408</v>
      </c>
      <c r="N719" s="1" t="str">
        <f t="shared" si="489"/>
        <v>013</v>
      </c>
      <c r="O719" s="1" t="str">
        <f t="shared" si="498"/>
        <v>00</v>
      </c>
      <c r="P719" s="1" t="str">
        <f t="shared" si="499"/>
        <v>S</v>
      </c>
      <c r="Q719" s="1" t="str">
        <f t="shared" si="500"/>
        <v>P</v>
      </c>
      <c r="R719" s="1" t="str">
        <f t="shared" si="501"/>
        <v>01</v>
      </c>
      <c r="S719" s="1" t="str">
        <f t="shared" si="487"/>
        <v>04</v>
      </c>
      <c r="T719" s="1" t="str">
        <f t="shared" si="502"/>
        <v>False</v>
      </c>
      <c r="U719" s="1" t="str">
        <f t="shared" si="503"/>
        <v>True</v>
      </c>
      <c r="V719" s="1" t="str">
        <f>"U0032713"</f>
        <v>U0032713</v>
      </c>
      <c r="W719" s="1">
        <v>1</v>
      </c>
      <c r="Y719" s="1">
        <v>0</v>
      </c>
      <c r="Z719" s="1">
        <v>0</v>
      </c>
      <c r="AB719" s="1" t="str">
        <f t="shared" si="490"/>
        <v>SMU</v>
      </c>
      <c r="AI719" s="1" t="str">
        <f t="shared" si="491"/>
        <v>F11</v>
      </c>
      <c r="AJ719" s="1" t="str">
        <f t="shared" si="504"/>
        <v>WOMAN</v>
      </c>
      <c r="AK719" s="1" t="str">
        <f t="shared" si="505"/>
        <v>PA</v>
      </c>
      <c r="AP719" s="1" t="str">
        <f t="shared" si="506"/>
        <v>False</v>
      </c>
      <c r="AR719" s="1" t="str">
        <f t="shared" si="492"/>
        <v>DECOR</v>
      </c>
      <c r="AY719" s="1" t="str">
        <f t="shared" si="507"/>
        <v>PF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 t="str">
        <f t="shared" si="493"/>
        <v>R GOMMA CANVAS</v>
      </c>
      <c r="BF719" s="1" t="str">
        <f t="shared" si="508"/>
        <v>Bonis SpA</v>
      </c>
    </row>
    <row r="720" spans="2:58" x14ac:dyDescent="0.25">
      <c r="B720" s="1">
        <v>2494</v>
      </c>
      <c r="C720" s="1" t="str">
        <f t="shared" si="488"/>
        <v>DECOR4237S7/C1</v>
      </c>
      <c r="E720" s="1" t="str">
        <f>"40"</f>
        <v>40</v>
      </c>
      <c r="F720" s="1" t="str">
        <f t="shared" si="495"/>
        <v>BONIS SPA</v>
      </c>
      <c r="G720" s="1" t="str">
        <f t="shared" si="485"/>
        <v>STOCK SCAFFALE MP</v>
      </c>
      <c r="H720" s="1" t="str">
        <f t="shared" si="496"/>
        <v>GREY</v>
      </c>
      <c r="K720" s="1">
        <v>2</v>
      </c>
      <c r="L720" s="1" t="str">
        <f t="shared" si="497"/>
        <v>01</v>
      </c>
      <c r="M720" s="1" t="str">
        <f t="shared" si="486"/>
        <v>408</v>
      </c>
      <c r="N720" s="1" t="str">
        <f t="shared" si="489"/>
        <v>013</v>
      </c>
      <c r="O720" s="1" t="str">
        <f t="shared" si="498"/>
        <v>00</v>
      </c>
      <c r="P720" s="1" t="str">
        <f t="shared" si="499"/>
        <v>S</v>
      </c>
      <c r="Q720" s="1" t="str">
        <f t="shared" si="500"/>
        <v>P</v>
      </c>
      <c r="R720" s="1" t="str">
        <f t="shared" si="501"/>
        <v>01</v>
      </c>
      <c r="S720" s="1" t="str">
        <f t="shared" si="487"/>
        <v>04</v>
      </c>
      <c r="T720" s="1" t="str">
        <f t="shared" si="502"/>
        <v>False</v>
      </c>
      <c r="U720" s="1" t="str">
        <f t="shared" si="503"/>
        <v>True</v>
      </c>
      <c r="V720" s="1" t="str">
        <f>"U0032713"</f>
        <v>U0032713</v>
      </c>
      <c r="W720" s="1">
        <v>1</v>
      </c>
      <c r="Y720" s="1">
        <v>0</v>
      </c>
      <c r="Z720" s="1">
        <v>0</v>
      </c>
      <c r="AB720" s="1" t="str">
        <f t="shared" si="490"/>
        <v>SMU</v>
      </c>
      <c r="AI720" s="1" t="str">
        <f t="shared" si="491"/>
        <v>F11</v>
      </c>
      <c r="AJ720" s="1" t="str">
        <f t="shared" si="504"/>
        <v>WOMAN</v>
      </c>
      <c r="AK720" s="1" t="str">
        <f t="shared" si="505"/>
        <v>PA</v>
      </c>
      <c r="AP720" s="1" t="str">
        <f t="shared" si="506"/>
        <v>False</v>
      </c>
      <c r="AR720" s="1" t="str">
        <f t="shared" si="492"/>
        <v>DECOR</v>
      </c>
      <c r="AY720" s="1" t="str">
        <f t="shared" si="507"/>
        <v>PF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 t="str">
        <f t="shared" si="493"/>
        <v>R GOMMA CANVAS</v>
      </c>
      <c r="BF720" s="1" t="str">
        <f t="shared" si="508"/>
        <v>Bonis SpA</v>
      </c>
    </row>
    <row r="721" spans="2:58" x14ac:dyDescent="0.25">
      <c r="B721" s="1">
        <v>2494</v>
      </c>
      <c r="C721" s="1" t="str">
        <f t="shared" si="488"/>
        <v>DECOR4237S7/C1</v>
      </c>
      <c r="E721" s="1" t="str">
        <f>"41"</f>
        <v>41</v>
      </c>
      <c r="F721" s="1" t="str">
        <f t="shared" si="495"/>
        <v>BONIS SPA</v>
      </c>
      <c r="G721" s="1" t="str">
        <f t="shared" si="485"/>
        <v>STOCK SCAFFALE MP</v>
      </c>
      <c r="H721" s="1" t="str">
        <f t="shared" si="496"/>
        <v>GREY</v>
      </c>
      <c r="K721" s="1">
        <v>1</v>
      </c>
      <c r="L721" s="1" t="str">
        <f t="shared" si="497"/>
        <v>01</v>
      </c>
      <c r="M721" s="1" t="str">
        <f t="shared" si="486"/>
        <v>408</v>
      </c>
      <c r="N721" s="1" t="str">
        <f t="shared" si="489"/>
        <v>013</v>
      </c>
      <c r="O721" s="1" t="str">
        <f t="shared" si="498"/>
        <v>00</v>
      </c>
      <c r="P721" s="1" t="str">
        <f t="shared" si="499"/>
        <v>S</v>
      </c>
      <c r="Q721" s="1" t="str">
        <f t="shared" si="500"/>
        <v>P</v>
      </c>
      <c r="R721" s="1" t="str">
        <f t="shared" si="501"/>
        <v>01</v>
      </c>
      <c r="S721" s="1" t="str">
        <f t="shared" si="487"/>
        <v>04</v>
      </c>
      <c r="T721" s="1" t="str">
        <f t="shared" si="502"/>
        <v>False</v>
      </c>
      <c r="U721" s="1" t="str">
        <f t="shared" si="503"/>
        <v>True</v>
      </c>
      <c r="V721" s="1" t="str">
        <f>"U0032712"</f>
        <v>U0032712</v>
      </c>
      <c r="W721" s="1">
        <v>1</v>
      </c>
      <c r="Y721" s="1">
        <v>0</v>
      </c>
      <c r="Z721" s="1">
        <v>0</v>
      </c>
      <c r="AB721" s="1" t="str">
        <f t="shared" si="490"/>
        <v>SMU</v>
      </c>
      <c r="AI721" s="1" t="str">
        <f t="shared" si="491"/>
        <v>F11</v>
      </c>
      <c r="AJ721" s="1" t="str">
        <f t="shared" si="504"/>
        <v>WOMAN</v>
      </c>
      <c r="AK721" s="1" t="str">
        <f t="shared" si="505"/>
        <v>PA</v>
      </c>
      <c r="AP721" s="1" t="str">
        <f t="shared" si="506"/>
        <v>False</v>
      </c>
      <c r="AR721" s="1" t="str">
        <f t="shared" si="492"/>
        <v>DECOR</v>
      </c>
      <c r="AY721" s="1" t="str">
        <f t="shared" si="507"/>
        <v>PF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 t="str">
        <f t="shared" si="493"/>
        <v>R GOMMA CANVAS</v>
      </c>
      <c r="BF721" s="1" t="str">
        <f t="shared" si="508"/>
        <v>Bonis SpA</v>
      </c>
    </row>
    <row r="722" spans="2:58" x14ac:dyDescent="0.25">
      <c r="B722" s="1">
        <v>2494</v>
      </c>
      <c r="C722" s="1" t="str">
        <f t="shared" si="488"/>
        <v>DECOR4237S7/C1</v>
      </c>
      <c r="E722" s="1" t="str">
        <f>"39"</f>
        <v>39</v>
      </c>
      <c r="F722" s="1" t="str">
        <f t="shared" si="495"/>
        <v>BONIS SPA</v>
      </c>
      <c r="G722" s="1" t="str">
        <f t="shared" si="485"/>
        <v>STOCK SCAFFALE MP</v>
      </c>
      <c r="H722" s="1" t="str">
        <f t="shared" si="496"/>
        <v>GREY</v>
      </c>
      <c r="K722" s="1">
        <v>3</v>
      </c>
      <c r="L722" s="1" t="str">
        <f t="shared" si="497"/>
        <v>01</v>
      </c>
      <c r="M722" s="1" t="str">
        <f t="shared" si="486"/>
        <v>408</v>
      </c>
      <c r="N722" s="1" t="str">
        <f t="shared" si="489"/>
        <v>013</v>
      </c>
      <c r="O722" s="1" t="str">
        <f t="shared" si="498"/>
        <v>00</v>
      </c>
      <c r="P722" s="1" t="str">
        <f t="shared" si="499"/>
        <v>S</v>
      </c>
      <c r="Q722" s="1" t="str">
        <f t="shared" si="500"/>
        <v>P</v>
      </c>
      <c r="R722" s="1" t="str">
        <f t="shared" si="501"/>
        <v>01</v>
      </c>
      <c r="S722" s="1" t="str">
        <f t="shared" si="487"/>
        <v>04</v>
      </c>
      <c r="T722" s="1" t="str">
        <f t="shared" si="502"/>
        <v>False</v>
      </c>
      <c r="U722" s="1" t="str">
        <f t="shared" si="503"/>
        <v>True</v>
      </c>
      <c r="V722" s="1" t="str">
        <f>"U0032712"</f>
        <v>U0032712</v>
      </c>
      <c r="W722" s="1">
        <v>1</v>
      </c>
      <c r="Y722" s="1">
        <v>0</v>
      </c>
      <c r="Z722" s="1">
        <v>0</v>
      </c>
      <c r="AB722" s="1" t="str">
        <f t="shared" si="490"/>
        <v>SMU</v>
      </c>
      <c r="AI722" s="1" t="str">
        <f t="shared" si="491"/>
        <v>F11</v>
      </c>
      <c r="AJ722" s="1" t="str">
        <f t="shared" si="504"/>
        <v>WOMAN</v>
      </c>
      <c r="AK722" s="1" t="str">
        <f t="shared" si="505"/>
        <v>PA</v>
      </c>
      <c r="AP722" s="1" t="str">
        <f t="shared" si="506"/>
        <v>False</v>
      </c>
      <c r="AR722" s="1" t="str">
        <f t="shared" si="492"/>
        <v>DECOR</v>
      </c>
      <c r="AY722" s="1" t="str">
        <f t="shared" si="507"/>
        <v>PF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 t="str">
        <f t="shared" si="493"/>
        <v>R GOMMA CANVAS</v>
      </c>
      <c r="BF722" s="1" t="str">
        <f t="shared" si="508"/>
        <v>Bonis SpA</v>
      </c>
    </row>
    <row r="723" spans="2:58" x14ac:dyDescent="0.25">
      <c r="B723" s="1">
        <v>2494</v>
      </c>
      <c r="C723" s="1" t="str">
        <f t="shared" si="488"/>
        <v>DECOR4237S7/C1</v>
      </c>
      <c r="E723" s="1" t="str">
        <f>"38"</f>
        <v>38</v>
      </c>
      <c r="F723" s="1" t="str">
        <f t="shared" si="495"/>
        <v>BONIS SPA</v>
      </c>
      <c r="G723" s="1" t="str">
        <f t="shared" si="485"/>
        <v>STOCK SCAFFALE MP</v>
      </c>
      <c r="H723" s="1" t="str">
        <f t="shared" si="496"/>
        <v>GREY</v>
      </c>
      <c r="K723" s="1">
        <v>4</v>
      </c>
      <c r="L723" s="1" t="str">
        <f t="shared" si="497"/>
        <v>01</v>
      </c>
      <c r="M723" s="1" t="str">
        <f t="shared" si="486"/>
        <v>408</v>
      </c>
      <c r="N723" s="1" t="str">
        <f t="shared" si="489"/>
        <v>013</v>
      </c>
      <c r="O723" s="1" t="str">
        <f t="shared" si="498"/>
        <v>00</v>
      </c>
      <c r="P723" s="1" t="str">
        <f t="shared" si="499"/>
        <v>S</v>
      </c>
      <c r="Q723" s="1" t="str">
        <f t="shared" si="500"/>
        <v>P</v>
      </c>
      <c r="R723" s="1" t="str">
        <f t="shared" si="501"/>
        <v>01</v>
      </c>
      <c r="S723" s="1" t="str">
        <f t="shared" si="487"/>
        <v>04</v>
      </c>
      <c r="T723" s="1" t="str">
        <f t="shared" si="502"/>
        <v>False</v>
      </c>
      <c r="U723" s="1" t="str">
        <f t="shared" si="503"/>
        <v>True</v>
      </c>
      <c r="V723" s="1" t="str">
        <f>"U0032712"</f>
        <v>U0032712</v>
      </c>
      <c r="W723" s="1">
        <v>1</v>
      </c>
      <c r="Y723" s="1">
        <v>0</v>
      </c>
      <c r="Z723" s="1">
        <v>0</v>
      </c>
      <c r="AB723" s="1" t="str">
        <f t="shared" si="490"/>
        <v>SMU</v>
      </c>
      <c r="AI723" s="1" t="str">
        <f t="shared" si="491"/>
        <v>F11</v>
      </c>
      <c r="AJ723" s="1" t="str">
        <f t="shared" si="504"/>
        <v>WOMAN</v>
      </c>
      <c r="AK723" s="1" t="str">
        <f t="shared" si="505"/>
        <v>PA</v>
      </c>
      <c r="AP723" s="1" t="str">
        <f t="shared" si="506"/>
        <v>False</v>
      </c>
      <c r="AR723" s="1" t="str">
        <f t="shared" si="492"/>
        <v>DECOR</v>
      </c>
      <c r="AY723" s="1" t="str">
        <f t="shared" si="507"/>
        <v>PF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 t="str">
        <f t="shared" si="493"/>
        <v>R GOMMA CANVAS</v>
      </c>
      <c r="BF723" s="1" t="str">
        <f t="shared" si="508"/>
        <v>Bonis SpA</v>
      </c>
    </row>
    <row r="724" spans="2:58" x14ac:dyDescent="0.25">
      <c r="B724" s="1">
        <v>2494</v>
      </c>
      <c r="C724" s="1" t="str">
        <f t="shared" ref="C724:C755" si="509">"DECOR4237S7/C1"</f>
        <v>DECOR4237S7/C1</v>
      </c>
      <c r="E724" s="1" t="str">
        <f>"37"</f>
        <v>37</v>
      </c>
      <c r="F724" s="1" t="str">
        <f t="shared" si="495"/>
        <v>BONIS SPA</v>
      </c>
      <c r="G724" s="1" t="str">
        <f t="shared" si="485"/>
        <v>STOCK SCAFFALE MP</v>
      </c>
      <c r="H724" s="1" t="str">
        <f t="shared" si="496"/>
        <v>GREY</v>
      </c>
      <c r="K724" s="1">
        <v>2</v>
      </c>
      <c r="L724" s="1" t="str">
        <f t="shared" si="497"/>
        <v>01</v>
      </c>
      <c r="M724" s="1" t="str">
        <f t="shared" si="486"/>
        <v>408</v>
      </c>
      <c r="N724" s="1" t="str">
        <f t="shared" ref="N724:N755" si="510">"013"</f>
        <v>013</v>
      </c>
      <c r="O724" s="1" t="str">
        <f t="shared" si="498"/>
        <v>00</v>
      </c>
      <c r="P724" s="1" t="str">
        <f t="shared" si="499"/>
        <v>S</v>
      </c>
      <c r="Q724" s="1" t="str">
        <f t="shared" si="500"/>
        <v>P</v>
      </c>
      <c r="R724" s="1" t="str">
        <f t="shared" si="501"/>
        <v>01</v>
      </c>
      <c r="S724" s="1" t="str">
        <f t="shared" si="487"/>
        <v>04</v>
      </c>
      <c r="T724" s="1" t="str">
        <f t="shared" si="502"/>
        <v>False</v>
      </c>
      <c r="U724" s="1" t="str">
        <f t="shared" si="503"/>
        <v>True</v>
      </c>
      <c r="V724" s="1" t="str">
        <f>"U0032712"</f>
        <v>U0032712</v>
      </c>
      <c r="W724" s="1">
        <v>1</v>
      </c>
      <c r="Y724" s="1">
        <v>0</v>
      </c>
      <c r="Z724" s="1">
        <v>0</v>
      </c>
      <c r="AB724" s="1" t="str">
        <f t="shared" ref="AB724:AB755" si="511">"SMU"</f>
        <v>SMU</v>
      </c>
      <c r="AI724" s="1" t="str">
        <f t="shared" ref="AI724:AI755" si="512">"F11"</f>
        <v>F11</v>
      </c>
      <c r="AJ724" s="1" t="str">
        <f t="shared" si="504"/>
        <v>WOMAN</v>
      </c>
      <c r="AK724" s="1" t="str">
        <f t="shared" si="505"/>
        <v>PA</v>
      </c>
      <c r="AP724" s="1" t="str">
        <f t="shared" si="506"/>
        <v>False</v>
      </c>
      <c r="AR724" s="1" t="str">
        <f t="shared" ref="AR724:AR755" si="513">"DECOR"</f>
        <v>DECOR</v>
      </c>
      <c r="AY724" s="1" t="str">
        <f t="shared" si="507"/>
        <v>PF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 t="str">
        <f t="shared" ref="BE724:BE755" si="514">"R GOMMA CANVAS"</f>
        <v>R GOMMA CANVAS</v>
      </c>
      <c r="BF724" s="1" t="str">
        <f t="shared" si="508"/>
        <v>Bonis SpA</v>
      </c>
    </row>
    <row r="725" spans="2:58" x14ac:dyDescent="0.25">
      <c r="B725" s="1">
        <v>2494</v>
      </c>
      <c r="C725" s="1" t="str">
        <f t="shared" si="509"/>
        <v>DECOR4237S7/C1</v>
      </c>
      <c r="E725" s="1" t="str">
        <f>"40"</f>
        <v>40</v>
      </c>
      <c r="F725" s="1" t="str">
        <f t="shared" si="495"/>
        <v>BONIS SPA</v>
      </c>
      <c r="G725" s="1" t="str">
        <f t="shared" si="485"/>
        <v>STOCK SCAFFALE MP</v>
      </c>
      <c r="H725" s="1" t="str">
        <f t="shared" si="496"/>
        <v>GREY</v>
      </c>
      <c r="K725" s="1">
        <v>2</v>
      </c>
      <c r="L725" s="1" t="str">
        <f t="shared" si="497"/>
        <v>01</v>
      </c>
      <c r="M725" s="1" t="str">
        <f t="shared" si="486"/>
        <v>408</v>
      </c>
      <c r="N725" s="1" t="str">
        <f t="shared" si="510"/>
        <v>013</v>
      </c>
      <c r="O725" s="1" t="str">
        <f t="shared" si="498"/>
        <v>00</v>
      </c>
      <c r="P725" s="1" t="str">
        <f t="shared" si="499"/>
        <v>S</v>
      </c>
      <c r="Q725" s="1" t="str">
        <f t="shared" si="500"/>
        <v>P</v>
      </c>
      <c r="R725" s="1" t="str">
        <f t="shared" si="501"/>
        <v>01</v>
      </c>
      <c r="S725" s="1" t="str">
        <f t="shared" si="487"/>
        <v>04</v>
      </c>
      <c r="T725" s="1" t="str">
        <f t="shared" si="502"/>
        <v>False</v>
      </c>
      <c r="U725" s="1" t="str">
        <f t="shared" si="503"/>
        <v>True</v>
      </c>
      <c r="V725" s="1" t="str">
        <f>"U0032712"</f>
        <v>U0032712</v>
      </c>
      <c r="W725" s="1">
        <v>1</v>
      </c>
      <c r="Y725" s="1">
        <v>0</v>
      </c>
      <c r="Z725" s="1">
        <v>0</v>
      </c>
      <c r="AB725" s="1" t="str">
        <f t="shared" si="511"/>
        <v>SMU</v>
      </c>
      <c r="AI725" s="1" t="str">
        <f t="shared" si="512"/>
        <v>F11</v>
      </c>
      <c r="AJ725" s="1" t="str">
        <f t="shared" si="504"/>
        <v>WOMAN</v>
      </c>
      <c r="AK725" s="1" t="str">
        <f t="shared" si="505"/>
        <v>PA</v>
      </c>
      <c r="AP725" s="1" t="str">
        <f t="shared" si="506"/>
        <v>False</v>
      </c>
      <c r="AR725" s="1" t="str">
        <f t="shared" si="513"/>
        <v>DECOR</v>
      </c>
      <c r="AY725" s="1" t="str">
        <f t="shared" si="507"/>
        <v>PF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 t="str">
        <f t="shared" si="514"/>
        <v>R GOMMA CANVAS</v>
      </c>
      <c r="BF725" s="1" t="str">
        <f t="shared" si="508"/>
        <v>Bonis SpA</v>
      </c>
    </row>
    <row r="726" spans="2:58" x14ac:dyDescent="0.25">
      <c r="B726" s="1">
        <v>2494</v>
      </c>
      <c r="C726" s="1" t="str">
        <f t="shared" si="509"/>
        <v>DECOR4237S7/C1</v>
      </c>
      <c r="E726" s="1" t="str">
        <f>"39"</f>
        <v>39</v>
      </c>
      <c r="F726" s="1" t="str">
        <f t="shared" si="495"/>
        <v>BONIS SPA</v>
      </c>
      <c r="G726" s="1" t="str">
        <f t="shared" si="485"/>
        <v>STOCK SCAFFALE MP</v>
      </c>
      <c r="H726" s="1" t="str">
        <f t="shared" si="496"/>
        <v>GREY</v>
      </c>
      <c r="K726" s="1">
        <v>5</v>
      </c>
      <c r="L726" s="1" t="str">
        <f t="shared" si="497"/>
        <v>01</v>
      </c>
      <c r="M726" s="1" t="str">
        <f t="shared" si="486"/>
        <v>408</v>
      </c>
      <c r="N726" s="1" t="str">
        <f t="shared" si="510"/>
        <v>013</v>
      </c>
      <c r="O726" s="1" t="str">
        <f t="shared" si="498"/>
        <v>00</v>
      </c>
      <c r="P726" s="1" t="str">
        <f t="shared" si="499"/>
        <v>S</v>
      </c>
      <c r="Q726" s="1" t="str">
        <f t="shared" si="500"/>
        <v>P</v>
      </c>
      <c r="R726" s="1" t="str">
        <f t="shared" si="501"/>
        <v>01</v>
      </c>
      <c r="S726" s="1" t="str">
        <f t="shared" si="487"/>
        <v>04</v>
      </c>
      <c r="T726" s="1" t="str">
        <f t="shared" si="502"/>
        <v>False</v>
      </c>
      <c r="U726" s="1" t="str">
        <f t="shared" si="503"/>
        <v>True</v>
      </c>
      <c r="V726" s="1" t="str">
        <f>"U0032711"</f>
        <v>U0032711</v>
      </c>
      <c r="W726" s="1">
        <v>1</v>
      </c>
      <c r="Y726" s="1">
        <v>0</v>
      </c>
      <c r="Z726" s="1">
        <v>0</v>
      </c>
      <c r="AB726" s="1" t="str">
        <f t="shared" si="511"/>
        <v>SMU</v>
      </c>
      <c r="AI726" s="1" t="str">
        <f t="shared" si="512"/>
        <v>F11</v>
      </c>
      <c r="AJ726" s="1" t="str">
        <f t="shared" si="504"/>
        <v>WOMAN</v>
      </c>
      <c r="AK726" s="1" t="str">
        <f t="shared" si="505"/>
        <v>PA</v>
      </c>
      <c r="AP726" s="1" t="str">
        <f t="shared" si="506"/>
        <v>False</v>
      </c>
      <c r="AR726" s="1" t="str">
        <f t="shared" si="513"/>
        <v>DECOR</v>
      </c>
      <c r="AY726" s="1" t="str">
        <f t="shared" si="507"/>
        <v>PF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 t="str">
        <f t="shared" si="514"/>
        <v>R GOMMA CANVAS</v>
      </c>
      <c r="BF726" s="1" t="str">
        <f t="shared" si="508"/>
        <v>Bonis SpA</v>
      </c>
    </row>
    <row r="727" spans="2:58" x14ac:dyDescent="0.25">
      <c r="B727" s="1">
        <v>2494</v>
      </c>
      <c r="C727" s="1" t="str">
        <f t="shared" si="509"/>
        <v>DECOR4237S7/C1</v>
      </c>
      <c r="E727" s="1" t="str">
        <f>"38"</f>
        <v>38</v>
      </c>
      <c r="F727" s="1" t="str">
        <f t="shared" si="495"/>
        <v>BONIS SPA</v>
      </c>
      <c r="G727" s="1" t="str">
        <f t="shared" si="485"/>
        <v>STOCK SCAFFALE MP</v>
      </c>
      <c r="H727" s="1" t="str">
        <f t="shared" si="496"/>
        <v>GREY</v>
      </c>
      <c r="K727" s="1">
        <v>2</v>
      </c>
      <c r="L727" s="1" t="str">
        <f t="shared" si="497"/>
        <v>01</v>
      </c>
      <c r="M727" s="1" t="str">
        <f t="shared" si="486"/>
        <v>408</v>
      </c>
      <c r="N727" s="1" t="str">
        <f t="shared" si="510"/>
        <v>013</v>
      </c>
      <c r="O727" s="1" t="str">
        <f t="shared" si="498"/>
        <v>00</v>
      </c>
      <c r="P727" s="1" t="str">
        <f t="shared" si="499"/>
        <v>S</v>
      </c>
      <c r="Q727" s="1" t="str">
        <f t="shared" si="500"/>
        <v>P</v>
      </c>
      <c r="R727" s="1" t="str">
        <f t="shared" si="501"/>
        <v>01</v>
      </c>
      <c r="S727" s="1" t="str">
        <f t="shared" si="487"/>
        <v>04</v>
      </c>
      <c r="T727" s="1" t="str">
        <f t="shared" si="502"/>
        <v>False</v>
      </c>
      <c r="U727" s="1" t="str">
        <f t="shared" si="503"/>
        <v>True</v>
      </c>
      <c r="V727" s="1" t="str">
        <f>"U0032711"</f>
        <v>U0032711</v>
      </c>
      <c r="W727" s="1">
        <v>1</v>
      </c>
      <c r="Y727" s="1">
        <v>0</v>
      </c>
      <c r="Z727" s="1">
        <v>0</v>
      </c>
      <c r="AB727" s="1" t="str">
        <f t="shared" si="511"/>
        <v>SMU</v>
      </c>
      <c r="AI727" s="1" t="str">
        <f t="shared" si="512"/>
        <v>F11</v>
      </c>
      <c r="AJ727" s="1" t="str">
        <f t="shared" si="504"/>
        <v>WOMAN</v>
      </c>
      <c r="AK727" s="1" t="str">
        <f t="shared" si="505"/>
        <v>PA</v>
      </c>
      <c r="AP727" s="1" t="str">
        <f t="shared" si="506"/>
        <v>False</v>
      </c>
      <c r="AR727" s="1" t="str">
        <f t="shared" si="513"/>
        <v>DECOR</v>
      </c>
      <c r="AY727" s="1" t="str">
        <f t="shared" si="507"/>
        <v>PF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 t="str">
        <f t="shared" si="514"/>
        <v>R GOMMA CANVAS</v>
      </c>
      <c r="BF727" s="1" t="str">
        <f t="shared" si="508"/>
        <v>Bonis SpA</v>
      </c>
    </row>
    <row r="728" spans="2:58" x14ac:dyDescent="0.25">
      <c r="B728" s="1">
        <v>2494</v>
      </c>
      <c r="C728" s="1" t="str">
        <f t="shared" si="509"/>
        <v>DECOR4237S7/C1</v>
      </c>
      <c r="E728" s="1" t="str">
        <f>"41"</f>
        <v>41</v>
      </c>
      <c r="F728" s="1" t="str">
        <f t="shared" si="495"/>
        <v>BONIS SPA</v>
      </c>
      <c r="G728" s="1" t="str">
        <f t="shared" si="485"/>
        <v>STOCK SCAFFALE MP</v>
      </c>
      <c r="H728" s="1" t="str">
        <f t="shared" si="496"/>
        <v>GREY</v>
      </c>
      <c r="K728" s="1">
        <v>2</v>
      </c>
      <c r="L728" s="1" t="str">
        <f t="shared" si="497"/>
        <v>01</v>
      </c>
      <c r="M728" s="1" t="str">
        <f t="shared" si="486"/>
        <v>408</v>
      </c>
      <c r="N728" s="1" t="str">
        <f t="shared" si="510"/>
        <v>013</v>
      </c>
      <c r="O728" s="1" t="str">
        <f t="shared" si="498"/>
        <v>00</v>
      </c>
      <c r="P728" s="1" t="str">
        <f t="shared" si="499"/>
        <v>S</v>
      </c>
      <c r="Q728" s="1" t="str">
        <f t="shared" si="500"/>
        <v>P</v>
      </c>
      <c r="R728" s="1" t="str">
        <f t="shared" si="501"/>
        <v>01</v>
      </c>
      <c r="S728" s="1" t="str">
        <f t="shared" si="487"/>
        <v>04</v>
      </c>
      <c r="T728" s="1" t="str">
        <f t="shared" si="502"/>
        <v>False</v>
      </c>
      <c r="U728" s="1" t="str">
        <f t="shared" si="503"/>
        <v>True</v>
      </c>
      <c r="V728" s="1" t="str">
        <f>"U0032711"</f>
        <v>U0032711</v>
      </c>
      <c r="W728" s="1">
        <v>1</v>
      </c>
      <c r="Y728" s="1">
        <v>0</v>
      </c>
      <c r="Z728" s="1">
        <v>0</v>
      </c>
      <c r="AB728" s="1" t="str">
        <f t="shared" si="511"/>
        <v>SMU</v>
      </c>
      <c r="AI728" s="1" t="str">
        <f t="shared" si="512"/>
        <v>F11</v>
      </c>
      <c r="AJ728" s="1" t="str">
        <f t="shared" si="504"/>
        <v>WOMAN</v>
      </c>
      <c r="AK728" s="1" t="str">
        <f t="shared" si="505"/>
        <v>PA</v>
      </c>
      <c r="AP728" s="1" t="str">
        <f t="shared" si="506"/>
        <v>False</v>
      </c>
      <c r="AR728" s="1" t="str">
        <f t="shared" si="513"/>
        <v>DECOR</v>
      </c>
      <c r="AY728" s="1" t="str">
        <f t="shared" si="507"/>
        <v>PF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 t="str">
        <f t="shared" si="514"/>
        <v>R GOMMA CANVAS</v>
      </c>
      <c r="BF728" s="1" t="str">
        <f t="shared" si="508"/>
        <v>Bonis SpA</v>
      </c>
    </row>
    <row r="729" spans="2:58" x14ac:dyDescent="0.25">
      <c r="B729" s="1">
        <v>2494</v>
      </c>
      <c r="C729" s="1" t="str">
        <f t="shared" si="509"/>
        <v>DECOR4237S7/C1</v>
      </c>
      <c r="E729" s="1" t="str">
        <f>"40"</f>
        <v>40</v>
      </c>
      <c r="F729" s="1" t="str">
        <f t="shared" si="495"/>
        <v>BONIS SPA</v>
      </c>
      <c r="G729" s="1" t="str">
        <f t="shared" si="485"/>
        <v>STOCK SCAFFALE MP</v>
      </c>
      <c r="H729" s="1" t="str">
        <f t="shared" si="496"/>
        <v>GREY</v>
      </c>
      <c r="K729" s="1">
        <v>2</v>
      </c>
      <c r="L729" s="1" t="str">
        <f t="shared" si="497"/>
        <v>01</v>
      </c>
      <c r="M729" s="1" t="str">
        <f t="shared" si="486"/>
        <v>408</v>
      </c>
      <c r="N729" s="1" t="str">
        <f t="shared" si="510"/>
        <v>013</v>
      </c>
      <c r="O729" s="1" t="str">
        <f t="shared" si="498"/>
        <v>00</v>
      </c>
      <c r="P729" s="1" t="str">
        <f t="shared" si="499"/>
        <v>S</v>
      </c>
      <c r="Q729" s="1" t="str">
        <f t="shared" si="500"/>
        <v>P</v>
      </c>
      <c r="R729" s="1" t="str">
        <f t="shared" si="501"/>
        <v>01</v>
      </c>
      <c r="S729" s="1" t="str">
        <f t="shared" si="487"/>
        <v>04</v>
      </c>
      <c r="T729" s="1" t="str">
        <f t="shared" si="502"/>
        <v>False</v>
      </c>
      <c r="U729" s="1" t="str">
        <f t="shared" si="503"/>
        <v>True</v>
      </c>
      <c r="V729" s="1" t="str">
        <f>"U0032711"</f>
        <v>U0032711</v>
      </c>
      <c r="W729" s="1">
        <v>1</v>
      </c>
      <c r="Y729" s="1">
        <v>0</v>
      </c>
      <c r="Z729" s="1">
        <v>0</v>
      </c>
      <c r="AB729" s="1" t="str">
        <f t="shared" si="511"/>
        <v>SMU</v>
      </c>
      <c r="AI729" s="1" t="str">
        <f t="shared" si="512"/>
        <v>F11</v>
      </c>
      <c r="AJ729" s="1" t="str">
        <f t="shared" si="504"/>
        <v>WOMAN</v>
      </c>
      <c r="AK729" s="1" t="str">
        <f t="shared" si="505"/>
        <v>PA</v>
      </c>
      <c r="AP729" s="1" t="str">
        <f t="shared" si="506"/>
        <v>False</v>
      </c>
      <c r="AR729" s="1" t="str">
        <f t="shared" si="513"/>
        <v>DECOR</v>
      </c>
      <c r="AY729" s="1" t="str">
        <f t="shared" si="507"/>
        <v>PF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 t="str">
        <f t="shared" si="514"/>
        <v>R GOMMA CANVAS</v>
      </c>
      <c r="BF729" s="1" t="str">
        <f t="shared" si="508"/>
        <v>Bonis SpA</v>
      </c>
    </row>
    <row r="730" spans="2:58" x14ac:dyDescent="0.25">
      <c r="B730" s="1">
        <v>2494</v>
      </c>
      <c r="C730" s="1" t="str">
        <f t="shared" si="509"/>
        <v>DECOR4237S7/C1</v>
      </c>
      <c r="E730" s="1" t="str">
        <f>"37"</f>
        <v>37</v>
      </c>
      <c r="F730" s="1" t="str">
        <f t="shared" si="495"/>
        <v>BONIS SPA</v>
      </c>
      <c r="G730" s="1" t="str">
        <f t="shared" si="485"/>
        <v>STOCK SCAFFALE MP</v>
      </c>
      <c r="H730" s="1" t="str">
        <f t="shared" si="496"/>
        <v>GREY</v>
      </c>
      <c r="K730" s="1">
        <v>1</v>
      </c>
      <c r="L730" s="1" t="str">
        <f t="shared" si="497"/>
        <v>01</v>
      </c>
      <c r="M730" s="1" t="str">
        <f t="shared" si="486"/>
        <v>408</v>
      </c>
      <c r="N730" s="1" t="str">
        <f t="shared" si="510"/>
        <v>013</v>
      </c>
      <c r="O730" s="1" t="str">
        <f t="shared" si="498"/>
        <v>00</v>
      </c>
      <c r="P730" s="1" t="str">
        <f t="shared" si="499"/>
        <v>S</v>
      </c>
      <c r="Q730" s="1" t="str">
        <f t="shared" si="500"/>
        <v>P</v>
      </c>
      <c r="R730" s="1" t="str">
        <f t="shared" si="501"/>
        <v>01</v>
      </c>
      <c r="S730" s="1" t="str">
        <f t="shared" si="487"/>
        <v>04</v>
      </c>
      <c r="T730" s="1" t="str">
        <f t="shared" si="502"/>
        <v>False</v>
      </c>
      <c r="U730" s="1" t="str">
        <f t="shared" si="503"/>
        <v>True</v>
      </c>
      <c r="V730" s="1" t="str">
        <f>"U0032711"</f>
        <v>U0032711</v>
      </c>
      <c r="W730" s="1">
        <v>1</v>
      </c>
      <c r="Y730" s="1">
        <v>0</v>
      </c>
      <c r="Z730" s="1">
        <v>0</v>
      </c>
      <c r="AB730" s="1" t="str">
        <f t="shared" si="511"/>
        <v>SMU</v>
      </c>
      <c r="AI730" s="1" t="str">
        <f t="shared" si="512"/>
        <v>F11</v>
      </c>
      <c r="AJ730" s="1" t="str">
        <f t="shared" si="504"/>
        <v>WOMAN</v>
      </c>
      <c r="AK730" s="1" t="str">
        <f t="shared" si="505"/>
        <v>PA</v>
      </c>
      <c r="AP730" s="1" t="str">
        <f t="shared" si="506"/>
        <v>False</v>
      </c>
      <c r="AR730" s="1" t="str">
        <f t="shared" si="513"/>
        <v>DECOR</v>
      </c>
      <c r="AY730" s="1" t="str">
        <f t="shared" si="507"/>
        <v>PF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 t="str">
        <f t="shared" si="514"/>
        <v>R GOMMA CANVAS</v>
      </c>
      <c r="BF730" s="1" t="str">
        <f t="shared" si="508"/>
        <v>Bonis SpA</v>
      </c>
    </row>
    <row r="731" spans="2:58" x14ac:dyDescent="0.25">
      <c r="B731" s="1">
        <v>2494</v>
      </c>
      <c r="C731" s="1" t="str">
        <f t="shared" si="509"/>
        <v>DECOR4237S7/C1</v>
      </c>
      <c r="E731" s="1" t="str">
        <f>"41"</f>
        <v>41</v>
      </c>
      <c r="F731" s="1" t="str">
        <f t="shared" si="495"/>
        <v>BONIS SPA</v>
      </c>
      <c r="G731" s="1" t="str">
        <f t="shared" si="485"/>
        <v>STOCK SCAFFALE MP</v>
      </c>
      <c r="H731" s="1" t="str">
        <f t="shared" si="496"/>
        <v>GREY</v>
      </c>
      <c r="K731" s="1">
        <v>1</v>
      </c>
      <c r="L731" s="1" t="str">
        <f t="shared" si="497"/>
        <v>01</v>
      </c>
      <c r="M731" s="1" t="str">
        <f t="shared" si="486"/>
        <v>408</v>
      </c>
      <c r="N731" s="1" t="str">
        <f t="shared" si="510"/>
        <v>013</v>
      </c>
      <c r="O731" s="1" t="str">
        <f t="shared" si="498"/>
        <v>00</v>
      </c>
      <c r="P731" s="1" t="str">
        <f t="shared" si="499"/>
        <v>S</v>
      </c>
      <c r="Q731" s="1" t="str">
        <f t="shared" si="500"/>
        <v>P</v>
      </c>
      <c r="R731" s="1" t="str">
        <f t="shared" si="501"/>
        <v>01</v>
      </c>
      <c r="S731" s="1" t="str">
        <f t="shared" si="487"/>
        <v>04</v>
      </c>
      <c r="T731" s="1" t="str">
        <f t="shared" si="502"/>
        <v>False</v>
      </c>
      <c r="U731" s="1" t="str">
        <f t="shared" si="503"/>
        <v>True</v>
      </c>
      <c r="V731" s="1" t="str">
        <f>"U0032710"</f>
        <v>U0032710</v>
      </c>
      <c r="W731" s="1">
        <v>1</v>
      </c>
      <c r="Y731" s="1">
        <v>0</v>
      </c>
      <c r="Z731" s="1">
        <v>0</v>
      </c>
      <c r="AB731" s="1" t="str">
        <f t="shared" si="511"/>
        <v>SMU</v>
      </c>
      <c r="AI731" s="1" t="str">
        <f t="shared" si="512"/>
        <v>F11</v>
      </c>
      <c r="AJ731" s="1" t="str">
        <f t="shared" si="504"/>
        <v>WOMAN</v>
      </c>
      <c r="AK731" s="1" t="str">
        <f t="shared" si="505"/>
        <v>PA</v>
      </c>
      <c r="AP731" s="1" t="str">
        <f t="shared" si="506"/>
        <v>False</v>
      </c>
      <c r="AR731" s="1" t="str">
        <f t="shared" si="513"/>
        <v>DECOR</v>
      </c>
      <c r="AY731" s="1" t="str">
        <f t="shared" si="507"/>
        <v>PF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 t="str">
        <f t="shared" si="514"/>
        <v>R GOMMA CANVAS</v>
      </c>
      <c r="BF731" s="1" t="str">
        <f t="shared" si="508"/>
        <v>Bonis SpA</v>
      </c>
    </row>
    <row r="732" spans="2:58" x14ac:dyDescent="0.25">
      <c r="B732" s="1">
        <v>2494</v>
      </c>
      <c r="C732" s="1" t="str">
        <f t="shared" si="509"/>
        <v>DECOR4237S7/C1</v>
      </c>
      <c r="E732" s="1" t="str">
        <f>"37"</f>
        <v>37</v>
      </c>
      <c r="F732" s="1" t="str">
        <f t="shared" si="495"/>
        <v>BONIS SPA</v>
      </c>
      <c r="G732" s="1" t="str">
        <f t="shared" si="485"/>
        <v>STOCK SCAFFALE MP</v>
      </c>
      <c r="H732" s="1" t="str">
        <f t="shared" si="496"/>
        <v>GREY</v>
      </c>
      <c r="K732" s="1">
        <v>2</v>
      </c>
      <c r="L732" s="1" t="str">
        <f t="shared" si="497"/>
        <v>01</v>
      </c>
      <c r="M732" s="1" t="str">
        <f t="shared" si="486"/>
        <v>408</v>
      </c>
      <c r="N732" s="1" t="str">
        <f t="shared" si="510"/>
        <v>013</v>
      </c>
      <c r="O732" s="1" t="str">
        <f t="shared" si="498"/>
        <v>00</v>
      </c>
      <c r="P732" s="1" t="str">
        <f t="shared" si="499"/>
        <v>S</v>
      </c>
      <c r="Q732" s="1" t="str">
        <f t="shared" si="500"/>
        <v>P</v>
      </c>
      <c r="R732" s="1" t="str">
        <f t="shared" si="501"/>
        <v>01</v>
      </c>
      <c r="S732" s="1" t="str">
        <f t="shared" si="487"/>
        <v>04</v>
      </c>
      <c r="T732" s="1" t="str">
        <f t="shared" si="502"/>
        <v>False</v>
      </c>
      <c r="U732" s="1" t="str">
        <f t="shared" si="503"/>
        <v>True</v>
      </c>
      <c r="V732" s="1" t="str">
        <f>"U0032710"</f>
        <v>U0032710</v>
      </c>
      <c r="W732" s="1">
        <v>1</v>
      </c>
      <c r="Y732" s="1">
        <v>0</v>
      </c>
      <c r="Z732" s="1">
        <v>0</v>
      </c>
      <c r="AB732" s="1" t="str">
        <f t="shared" si="511"/>
        <v>SMU</v>
      </c>
      <c r="AI732" s="1" t="str">
        <f t="shared" si="512"/>
        <v>F11</v>
      </c>
      <c r="AJ732" s="1" t="str">
        <f t="shared" si="504"/>
        <v>WOMAN</v>
      </c>
      <c r="AK732" s="1" t="str">
        <f t="shared" si="505"/>
        <v>PA</v>
      </c>
      <c r="AP732" s="1" t="str">
        <f t="shared" si="506"/>
        <v>False</v>
      </c>
      <c r="AR732" s="1" t="str">
        <f t="shared" si="513"/>
        <v>DECOR</v>
      </c>
      <c r="AY732" s="1" t="str">
        <f t="shared" si="507"/>
        <v>PF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 t="str">
        <f t="shared" si="514"/>
        <v>R GOMMA CANVAS</v>
      </c>
      <c r="BF732" s="1" t="str">
        <f t="shared" si="508"/>
        <v>Bonis SpA</v>
      </c>
    </row>
    <row r="733" spans="2:58" x14ac:dyDescent="0.25">
      <c r="B733" s="1">
        <v>2494</v>
      </c>
      <c r="C733" s="1" t="str">
        <f t="shared" si="509"/>
        <v>DECOR4237S7/C1</v>
      </c>
      <c r="E733" s="1" t="str">
        <f>"40"</f>
        <v>40</v>
      </c>
      <c r="F733" s="1" t="str">
        <f t="shared" si="495"/>
        <v>BONIS SPA</v>
      </c>
      <c r="G733" s="1" t="str">
        <f t="shared" si="485"/>
        <v>STOCK SCAFFALE MP</v>
      </c>
      <c r="H733" s="1" t="str">
        <f t="shared" si="496"/>
        <v>GREY</v>
      </c>
      <c r="K733" s="1">
        <v>3</v>
      </c>
      <c r="L733" s="1" t="str">
        <f t="shared" si="497"/>
        <v>01</v>
      </c>
      <c r="M733" s="1" t="str">
        <f t="shared" si="486"/>
        <v>408</v>
      </c>
      <c r="N733" s="1" t="str">
        <f t="shared" si="510"/>
        <v>013</v>
      </c>
      <c r="O733" s="1" t="str">
        <f t="shared" si="498"/>
        <v>00</v>
      </c>
      <c r="P733" s="1" t="str">
        <f t="shared" si="499"/>
        <v>S</v>
      </c>
      <c r="Q733" s="1" t="str">
        <f t="shared" si="500"/>
        <v>P</v>
      </c>
      <c r="R733" s="1" t="str">
        <f t="shared" si="501"/>
        <v>01</v>
      </c>
      <c r="S733" s="1" t="str">
        <f t="shared" si="487"/>
        <v>04</v>
      </c>
      <c r="T733" s="1" t="str">
        <f t="shared" si="502"/>
        <v>False</v>
      </c>
      <c r="U733" s="1" t="str">
        <f t="shared" si="503"/>
        <v>True</v>
      </c>
      <c r="V733" s="1" t="str">
        <f>"U0032710"</f>
        <v>U0032710</v>
      </c>
      <c r="W733" s="1">
        <v>1</v>
      </c>
      <c r="Y733" s="1">
        <v>0</v>
      </c>
      <c r="Z733" s="1">
        <v>0</v>
      </c>
      <c r="AB733" s="1" t="str">
        <f t="shared" si="511"/>
        <v>SMU</v>
      </c>
      <c r="AI733" s="1" t="str">
        <f t="shared" si="512"/>
        <v>F11</v>
      </c>
      <c r="AJ733" s="1" t="str">
        <f t="shared" si="504"/>
        <v>WOMAN</v>
      </c>
      <c r="AK733" s="1" t="str">
        <f t="shared" si="505"/>
        <v>PA</v>
      </c>
      <c r="AP733" s="1" t="str">
        <f t="shared" si="506"/>
        <v>False</v>
      </c>
      <c r="AR733" s="1" t="str">
        <f t="shared" si="513"/>
        <v>DECOR</v>
      </c>
      <c r="AY733" s="1" t="str">
        <f t="shared" si="507"/>
        <v>PF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 t="str">
        <f t="shared" si="514"/>
        <v>R GOMMA CANVAS</v>
      </c>
      <c r="BF733" s="1" t="str">
        <f t="shared" si="508"/>
        <v>Bonis SpA</v>
      </c>
    </row>
    <row r="734" spans="2:58" x14ac:dyDescent="0.25">
      <c r="B734" s="1">
        <v>2494</v>
      </c>
      <c r="C734" s="1" t="str">
        <f t="shared" si="509"/>
        <v>DECOR4237S7/C1</v>
      </c>
      <c r="E734" s="1" t="str">
        <f>"39"</f>
        <v>39</v>
      </c>
      <c r="F734" s="1" t="str">
        <f t="shared" si="495"/>
        <v>BONIS SPA</v>
      </c>
      <c r="G734" s="1" t="str">
        <f t="shared" si="485"/>
        <v>STOCK SCAFFALE MP</v>
      </c>
      <c r="H734" s="1" t="str">
        <f t="shared" si="496"/>
        <v>GREY</v>
      </c>
      <c r="K734" s="1">
        <v>3</v>
      </c>
      <c r="L734" s="1" t="str">
        <f t="shared" si="497"/>
        <v>01</v>
      </c>
      <c r="M734" s="1" t="str">
        <f t="shared" si="486"/>
        <v>408</v>
      </c>
      <c r="N734" s="1" t="str">
        <f t="shared" si="510"/>
        <v>013</v>
      </c>
      <c r="O734" s="1" t="str">
        <f t="shared" si="498"/>
        <v>00</v>
      </c>
      <c r="P734" s="1" t="str">
        <f t="shared" si="499"/>
        <v>S</v>
      </c>
      <c r="Q734" s="1" t="str">
        <f t="shared" si="500"/>
        <v>P</v>
      </c>
      <c r="R734" s="1" t="str">
        <f t="shared" si="501"/>
        <v>01</v>
      </c>
      <c r="S734" s="1" t="str">
        <f t="shared" si="487"/>
        <v>04</v>
      </c>
      <c r="T734" s="1" t="str">
        <f t="shared" si="502"/>
        <v>False</v>
      </c>
      <c r="U734" s="1" t="str">
        <f t="shared" si="503"/>
        <v>True</v>
      </c>
      <c r="V734" s="1" t="str">
        <f>"U0032710"</f>
        <v>U0032710</v>
      </c>
      <c r="W734" s="1">
        <v>1</v>
      </c>
      <c r="Y734" s="1">
        <v>0</v>
      </c>
      <c r="Z734" s="1">
        <v>0</v>
      </c>
      <c r="AB734" s="1" t="str">
        <f t="shared" si="511"/>
        <v>SMU</v>
      </c>
      <c r="AI734" s="1" t="str">
        <f t="shared" si="512"/>
        <v>F11</v>
      </c>
      <c r="AJ734" s="1" t="str">
        <f t="shared" si="504"/>
        <v>WOMAN</v>
      </c>
      <c r="AK734" s="1" t="str">
        <f t="shared" si="505"/>
        <v>PA</v>
      </c>
      <c r="AP734" s="1" t="str">
        <f t="shared" si="506"/>
        <v>False</v>
      </c>
      <c r="AR734" s="1" t="str">
        <f t="shared" si="513"/>
        <v>DECOR</v>
      </c>
      <c r="AY734" s="1" t="str">
        <f t="shared" si="507"/>
        <v>PF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 t="str">
        <f t="shared" si="514"/>
        <v>R GOMMA CANVAS</v>
      </c>
      <c r="BF734" s="1" t="str">
        <f t="shared" si="508"/>
        <v>Bonis SpA</v>
      </c>
    </row>
    <row r="735" spans="2:58" x14ac:dyDescent="0.25">
      <c r="B735" s="1">
        <v>2494</v>
      </c>
      <c r="C735" s="1" t="str">
        <f t="shared" si="509"/>
        <v>DECOR4237S7/C1</v>
      </c>
      <c r="E735" s="1" t="str">
        <f>"38"</f>
        <v>38</v>
      </c>
      <c r="F735" s="1" t="str">
        <f t="shared" si="495"/>
        <v>BONIS SPA</v>
      </c>
      <c r="G735" s="1" t="str">
        <f t="shared" si="485"/>
        <v>STOCK SCAFFALE MP</v>
      </c>
      <c r="H735" s="1" t="str">
        <f t="shared" si="496"/>
        <v>GREY</v>
      </c>
      <c r="K735" s="1">
        <v>3</v>
      </c>
      <c r="L735" s="1" t="str">
        <f t="shared" si="497"/>
        <v>01</v>
      </c>
      <c r="M735" s="1" t="str">
        <f t="shared" si="486"/>
        <v>408</v>
      </c>
      <c r="N735" s="1" t="str">
        <f t="shared" si="510"/>
        <v>013</v>
      </c>
      <c r="O735" s="1" t="str">
        <f t="shared" si="498"/>
        <v>00</v>
      </c>
      <c r="P735" s="1" t="str">
        <f t="shared" si="499"/>
        <v>S</v>
      </c>
      <c r="Q735" s="1" t="str">
        <f t="shared" si="500"/>
        <v>P</v>
      </c>
      <c r="R735" s="1" t="str">
        <f t="shared" si="501"/>
        <v>01</v>
      </c>
      <c r="S735" s="1" t="str">
        <f t="shared" si="487"/>
        <v>04</v>
      </c>
      <c r="T735" s="1" t="str">
        <f t="shared" si="502"/>
        <v>False</v>
      </c>
      <c r="U735" s="1" t="str">
        <f t="shared" si="503"/>
        <v>True</v>
      </c>
      <c r="V735" s="1" t="str">
        <f>"U0032710"</f>
        <v>U0032710</v>
      </c>
      <c r="W735" s="1">
        <v>1</v>
      </c>
      <c r="Y735" s="1">
        <v>0</v>
      </c>
      <c r="Z735" s="1">
        <v>0</v>
      </c>
      <c r="AB735" s="1" t="str">
        <f t="shared" si="511"/>
        <v>SMU</v>
      </c>
      <c r="AI735" s="1" t="str">
        <f t="shared" si="512"/>
        <v>F11</v>
      </c>
      <c r="AJ735" s="1" t="str">
        <f t="shared" si="504"/>
        <v>WOMAN</v>
      </c>
      <c r="AK735" s="1" t="str">
        <f t="shared" si="505"/>
        <v>PA</v>
      </c>
      <c r="AP735" s="1" t="str">
        <f t="shared" si="506"/>
        <v>False</v>
      </c>
      <c r="AR735" s="1" t="str">
        <f t="shared" si="513"/>
        <v>DECOR</v>
      </c>
      <c r="AY735" s="1" t="str">
        <f t="shared" si="507"/>
        <v>PF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 t="str">
        <f t="shared" si="514"/>
        <v>R GOMMA CANVAS</v>
      </c>
      <c r="BF735" s="1" t="str">
        <f t="shared" si="508"/>
        <v>Bonis SpA</v>
      </c>
    </row>
    <row r="736" spans="2:58" x14ac:dyDescent="0.25">
      <c r="B736" s="1">
        <v>2494</v>
      </c>
      <c r="C736" s="1" t="str">
        <f t="shared" si="509"/>
        <v>DECOR4237S7/C1</v>
      </c>
      <c r="E736" s="1" t="str">
        <f>"38"</f>
        <v>38</v>
      </c>
      <c r="F736" s="1" t="str">
        <f t="shared" si="495"/>
        <v>BONIS SPA</v>
      </c>
      <c r="G736" s="1" t="str">
        <f t="shared" si="485"/>
        <v>STOCK SCAFFALE MP</v>
      </c>
      <c r="H736" s="1" t="str">
        <f t="shared" si="496"/>
        <v>GREY</v>
      </c>
      <c r="K736" s="1">
        <v>4</v>
      </c>
      <c r="L736" s="1" t="str">
        <f t="shared" si="497"/>
        <v>01</v>
      </c>
      <c r="M736" s="1" t="str">
        <f t="shared" si="486"/>
        <v>408</v>
      </c>
      <c r="N736" s="1" t="str">
        <f t="shared" si="510"/>
        <v>013</v>
      </c>
      <c r="O736" s="1" t="str">
        <f t="shared" si="498"/>
        <v>00</v>
      </c>
      <c r="P736" s="1" t="str">
        <f t="shared" si="499"/>
        <v>S</v>
      </c>
      <c r="Q736" s="1" t="str">
        <f t="shared" si="500"/>
        <v>P</v>
      </c>
      <c r="R736" s="1" t="str">
        <f t="shared" si="501"/>
        <v>01</v>
      </c>
      <c r="S736" s="1" t="str">
        <f t="shared" si="487"/>
        <v>04</v>
      </c>
      <c r="T736" s="1" t="str">
        <f t="shared" si="502"/>
        <v>False</v>
      </c>
      <c r="U736" s="1" t="str">
        <f t="shared" si="503"/>
        <v>True</v>
      </c>
      <c r="V736" s="1" t="str">
        <f>"U0032709"</f>
        <v>U0032709</v>
      </c>
      <c r="W736" s="1">
        <v>1</v>
      </c>
      <c r="Y736" s="1">
        <v>0</v>
      </c>
      <c r="Z736" s="1">
        <v>0</v>
      </c>
      <c r="AB736" s="1" t="str">
        <f t="shared" si="511"/>
        <v>SMU</v>
      </c>
      <c r="AI736" s="1" t="str">
        <f t="shared" si="512"/>
        <v>F11</v>
      </c>
      <c r="AJ736" s="1" t="str">
        <f t="shared" si="504"/>
        <v>WOMAN</v>
      </c>
      <c r="AK736" s="1" t="str">
        <f t="shared" si="505"/>
        <v>PA</v>
      </c>
      <c r="AP736" s="1" t="str">
        <f t="shared" si="506"/>
        <v>False</v>
      </c>
      <c r="AR736" s="1" t="str">
        <f t="shared" si="513"/>
        <v>DECOR</v>
      </c>
      <c r="AY736" s="1" t="str">
        <f t="shared" si="507"/>
        <v>PF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 t="str">
        <f t="shared" si="514"/>
        <v>R GOMMA CANVAS</v>
      </c>
      <c r="BF736" s="1" t="str">
        <f t="shared" si="508"/>
        <v>Bonis SpA</v>
      </c>
    </row>
    <row r="737" spans="2:58" x14ac:dyDescent="0.25">
      <c r="B737" s="1">
        <v>2494</v>
      </c>
      <c r="C737" s="1" t="str">
        <f t="shared" si="509"/>
        <v>DECOR4237S7/C1</v>
      </c>
      <c r="E737" s="1" t="str">
        <f>"41"</f>
        <v>41</v>
      </c>
      <c r="F737" s="1" t="str">
        <f t="shared" si="495"/>
        <v>BONIS SPA</v>
      </c>
      <c r="G737" s="1" t="str">
        <f t="shared" si="485"/>
        <v>STOCK SCAFFALE MP</v>
      </c>
      <c r="H737" s="1" t="str">
        <f t="shared" si="496"/>
        <v>GREY</v>
      </c>
      <c r="K737" s="1">
        <v>1</v>
      </c>
      <c r="L737" s="1" t="str">
        <f t="shared" si="497"/>
        <v>01</v>
      </c>
      <c r="M737" s="1" t="str">
        <f t="shared" si="486"/>
        <v>408</v>
      </c>
      <c r="N737" s="1" t="str">
        <f t="shared" si="510"/>
        <v>013</v>
      </c>
      <c r="O737" s="1" t="str">
        <f t="shared" si="498"/>
        <v>00</v>
      </c>
      <c r="P737" s="1" t="str">
        <f t="shared" si="499"/>
        <v>S</v>
      </c>
      <c r="Q737" s="1" t="str">
        <f t="shared" si="500"/>
        <v>P</v>
      </c>
      <c r="R737" s="1" t="str">
        <f t="shared" si="501"/>
        <v>01</v>
      </c>
      <c r="S737" s="1" t="str">
        <f t="shared" si="487"/>
        <v>04</v>
      </c>
      <c r="T737" s="1" t="str">
        <f t="shared" si="502"/>
        <v>False</v>
      </c>
      <c r="U737" s="1" t="str">
        <f t="shared" si="503"/>
        <v>True</v>
      </c>
      <c r="V737" s="1" t="str">
        <f>"U0032709"</f>
        <v>U0032709</v>
      </c>
      <c r="W737" s="1">
        <v>1</v>
      </c>
      <c r="Y737" s="1">
        <v>0</v>
      </c>
      <c r="Z737" s="1">
        <v>0</v>
      </c>
      <c r="AB737" s="1" t="str">
        <f t="shared" si="511"/>
        <v>SMU</v>
      </c>
      <c r="AI737" s="1" t="str">
        <f t="shared" si="512"/>
        <v>F11</v>
      </c>
      <c r="AJ737" s="1" t="str">
        <f t="shared" si="504"/>
        <v>WOMAN</v>
      </c>
      <c r="AK737" s="1" t="str">
        <f t="shared" si="505"/>
        <v>PA</v>
      </c>
      <c r="AP737" s="1" t="str">
        <f t="shared" si="506"/>
        <v>False</v>
      </c>
      <c r="AR737" s="1" t="str">
        <f t="shared" si="513"/>
        <v>DECOR</v>
      </c>
      <c r="AY737" s="1" t="str">
        <f t="shared" si="507"/>
        <v>PF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 t="str">
        <f t="shared" si="514"/>
        <v>R GOMMA CANVAS</v>
      </c>
      <c r="BF737" s="1" t="str">
        <f t="shared" si="508"/>
        <v>Bonis SpA</v>
      </c>
    </row>
    <row r="738" spans="2:58" x14ac:dyDescent="0.25">
      <c r="B738" s="1">
        <v>2494</v>
      </c>
      <c r="C738" s="1" t="str">
        <f t="shared" si="509"/>
        <v>DECOR4237S7/C1</v>
      </c>
      <c r="E738" s="1" t="str">
        <f>"40"</f>
        <v>40</v>
      </c>
      <c r="F738" s="1" t="str">
        <f t="shared" si="495"/>
        <v>BONIS SPA</v>
      </c>
      <c r="G738" s="1" t="str">
        <f t="shared" si="485"/>
        <v>STOCK SCAFFALE MP</v>
      </c>
      <c r="H738" s="1" t="str">
        <f t="shared" ref="H738:H760" si="515">"GREY"</f>
        <v>GREY</v>
      </c>
      <c r="K738" s="1">
        <v>2</v>
      </c>
      <c r="L738" s="1" t="str">
        <f t="shared" si="497"/>
        <v>01</v>
      </c>
      <c r="M738" s="1" t="str">
        <f t="shared" si="486"/>
        <v>408</v>
      </c>
      <c r="N738" s="1" t="str">
        <f t="shared" si="510"/>
        <v>013</v>
      </c>
      <c r="O738" s="1" t="str">
        <f t="shared" si="498"/>
        <v>00</v>
      </c>
      <c r="P738" s="1" t="str">
        <f t="shared" si="499"/>
        <v>S</v>
      </c>
      <c r="Q738" s="1" t="str">
        <f t="shared" si="500"/>
        <v>P</v>
      </c>
      <c r="R738" s="1" t="str">
        <f t="shared" si="501"/>
        <v>01</v>
      </c>
      <c r="S738" s="1" t="str">
        <f t="shared" si="487"/>
        <v>04</v>
      </c>
      <c r="T738" s="1" t="str">
        <f t="shared" si="502"/>
        <v>False</v>
      </c>
      <c r="U738" s="1" t="str">
        <f t="shared" si="503"/>
        <v>True</v>
      </c>
      <c r="V738" s="1" t="str">
        <f>"U0032709"</f>
        <v>U0032709</v>
      </c>
      <c r="W738" s="1">
        <v>1</v>
      </c>
      <c r="Y738" s="1">
        <v>0</v>
      </c>
      <c r="Z738" s="1">
        <v>0</v>
      </c>
      <c r="AB738" s="1" t="str">
        <f t="shared" si="511"/>
        <v>SMU</v>
      </c>
      <c r="AI738" s="1" t="str">
        <f t="shared" si="512"/>
        <v>F11</v>
      </c>
      <c r="AJ738" s="1" t="str">
        <f t="shared" ref="AJ738:AJ769" si="516">"WOMAN"</f>
        <v>WOMAN</v>
      </c>
      <c r="AK738" s="1" t="str">
        <f t="shared" si="505"/>
        <v>PA</v>
      </c>
      <c r="AP738" s="1" t="str">
        <f t="shared" si="506"/>
        <v>False</v>
      </c>
      <c r="AR738" s="1" t="str">
        <f t="shared" si="513"/>
        <v>DECOR</v>
      </c>
      <c r="AY738" s="1" t="str">
        <f t="shared" si="507"/>
        <v>PF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 t="str">
        <f t="shared" si="514"/>
        <v>R GOMMA CANVAS</v>
      </c>
      <c r="BF738" s="1" t="str">
        <f t="shared" si="508"/>
        <v>Bonis SpA</v>
      </c>
    </row>
    <row r="739" spans="2:58" x14ac:dyDescent="0.25">
      <c r="B739" s="1">
        <v>2494</v>
      </c>
      <c r="C739" s="1" t="str">
        <f t="shared" si="509"/>
        <v>DECOR4237S7/C1</v>
      </c>
      <c r="E739" s="1" t="str">
        <f>"37"</f>
        <v>37</v>
      </c>
      <c r="F739" s="1" t="str">
        <f t="shared" si="495"/>
        <v>BONIS SPA</v>
      </c>
      <c r="G739" s="1" t="str">
        <f t="shared" si="485"/>
        <v>STOCK SCAFFALE MP</v>
      </c>
      <c r="H739" s="1" t="str">
        <f t="shared" si="515"/>
        <v>GREY</v>
      </c>
      <c r="K739" s="1">
        <v>2</v>
      </c>
      <c r="L739" s="1" t="str">
        <f t="shared" si="497"/>
        <v>01</v>
      </c>
      <c r="M739" s="1" t="str">
        <f t="shared" si="486"/>
        <v>408</v>
      </c>
      <c r="N739" s="1" t="str">
        <f t="shared" si="510"/>
        <v>013</v>
      </c>
      <c r="O739" s="1" t="str">
        <f t="shared" si="498"/>
        <v>00</v>
      </c>
      <c r="P739" s="1" t="str">
        <f t="shared" si="499"/>
        <v>S</v>
      </c>
      <c r="Q739" s="1" t="str">
        <f t="shared" si="500"/>
        <v>P</v>
      </c>
      <c r="R739" s="1" t="str">
        <f t="shared" si="501"/>
        <v>01</v>
      </c>
      <c r="S739" s="1" t="str">
        <f t="shared" si="487"/>
        <v>04</v>
      </c>
      <c r="T739" s="1" t="str">
        <f t="shared" si="502"/>
        <v>False</v>
      </c>
      <c r="U739" s="1" t="str">
        <f t="shared" si="503"/>
        <v>True</v>
      </c>
      <c r="V739" s="1" t="str">
        <f>"U0032709"</f>
        <v>U0032709</v>
      </c>
      <c r="W739" s="1">
        <v>1</v>
      </c>
      <c r="Y739" s="1">
        <v>0</v>
      </c>
      <c r="Z739" s="1">
        <v>0</v>
      </c>
      <c r="AB739" s="1" t="str">
        <f t="shared" si="511"/>
        <v>SMU</v>
      </c>
      <c r="AI739" s="1" t="str">
        <f t="shared" si="512"/>
        <v>F11</v>
      </c>
      <c r="AJ739" s="1" t="str">
        <f t="shared" si="516"/>
        <v>WOMAN</v>
      </c>
      <c r="AK739" s="1" t="str">
        <f t="shared" si="505"/>
        <v>PA</v>
      </c>
      <c r="AP739" s="1" t="str">
        <f t="shared" si="506"/>
        <v>False</v>
      </c>
      <c r="AR739" s="1" t="str">
        <f t="shared" si="513"/>
        <v>DECOR</v>
      </c>
      <c r="AY739" s="1" t="str">
        <f t="shared" si="507"/>
        <v>PF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 t="str">
        <f t="shared" si="514"/>
        <v>R GOMMA CANVAS</v>
      </c>
      <c r="BF739" s="1" t="str">
        <f t="shared" si="508"/>
        <v>Bonis SpA</v>
      </c>
    </row>
    <row r="740" spans="2:58" x14ac:dyDescent="0.25">
      <c r="B740" s="1">
        <v>2494</v>
      </c>
      <c r="C740" s="1" t="str">
        <f t="shared" si="509"/>
        <v>DECOR4237S7/C1</v>
      </c>
      <c r="E740" s="1" t="str">
        <f>"39"</f>
        <v>39</v>
      </c>
      <c r="F740" s="1" t="str">
        <f t="shared" si="495"/>
        <v>BONIS SPA</v>
      </c>
      <c r="G740" s="1" t="str">
        <f t="shared" si="485"/>
        <v>STOCK SCAFFALE MP</v>
      </c>
      <c r="H740" s="1" t="str">
        <f t="shared" si="515"/>
        <v>GREY</v>
      </c>
      <c r="K740" s="1">
        <v>3</v>
      </c>
      <c r="L740" s="1" t="str">
        <f t="shared" si="497"/>
        <v>01</v>
      </c>
      <c r="M740" s="1" t="str">
        <f t="shared" si="486"/>
        <v>408</v>
      </c>
      <c r="N740" s="1" t="str">
        <f t="shared" si="510"/>
        <v>013</v>
      </c>
      <c r="O740" s="1" t="str">
        <f t="shared" si="498"/>
        <v>00</v>
      </c>
      <c r="P740" s="1" t="str">
        <f t="shared" si="499"/>
        <v>S</v>
      </c>
      <c r="Q740" s="1" t="str">
        <f t="shared" si="500"/>
        <v>P</v>
      </c>
      <c r="R740" s="1" t="str">
        <f t="shared" si="501"/>
        <v>01</v>
      </c>
      <c r="S740" s="1" t="str">
        <f t="shared" si="487"/>
        <v>04</v>
      </c>
      <c r="T740" s="1" t="str">
        <f t="shared" si="502"/>
        <v>False</v>
      </c>
      <c r="U740" s="1" t="str">
        <f t="shared" si="503"/>
        <v>True</v>
      </c>
      <c r="V740" s="1" t="str">
        <f>"U0032709"</f>
        <v>U0032709</v>
      </c>
      <c r="W740" s="1">
        <v>1</v>
      </c>
      <c r="Y740" s="1">
        <v>0</v>
      </c>
      <c r="Z740" s="1">
        <v>0</v>
      </c>
      <c r="AB740" s="1" t="str">
        <f t="shared" si="511"/>
        <v>SMU</v>
      </c>
      <c r="AI740" s="1" t="str">
        <f t="shared" si="512"/>
        <v>F11</v>
      </c>
      <c r="AJ740" s="1" t="str">
        <f t="shared" si="516"/>
        <v>WOMAN</v>
      </c>
      <c r="AK740" s="1" t="str">
        <f t="shared" si="505"/>
        <v>PA</v>
      </c>
      <c r="AP740" s="1" t="str">
        <f t="shared" si="506"/>
        <v>False</v>
      </c>
      <c r="AR740" s="1" t="str">
        <f t="shared" si="513"/>
        <v>DECOR</v>
      </c>
      <c r="AY740" s="1" t="str">
        <f t="shared" si="507"/>
        <v>PF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 t="str">
        <f t="shared" si="514"/>
        <v>R GOMMA CANVAS</v>
      </c>
      <c r="BF740" s="1" t="str">
        <f t="shared" si="508"/>
        <v>Bonis SpA</v>
      </c>
    </row>
    <row r="741" spans="2:58" x14ac:dyDescent="0.25">
      <c r="B741" s="1">
        <v>2494</v>
      </c>
      <c r="C741" s="1" t="str">
        <f t="shared" si="509"/>
        <v>DECOR4237S7/C1</v>
      </c>
      <c r="E741" s="1" t="str">
        <f>"37"</f>
        <v>37</v>
      </c>
      <c r="F741" s="1" t="str">
        <f t="shared" si="495"/>
        <v>BONIS SPA</v>
      </c>
      <c r="G741" s="1" t="str">
        <f t="shared" si="485"/>
        <v>STOCK SCAFFALE MP</v>
      </c>
      <c r="H741" s="1" t="str">
        <f t="shared" si="515"/>
        <v>GREY</v>
      </c>
      <c r="K741" s="1">
        <v>2</v>
      </c>
      <c r="L741" s="1" t="str">
        <f t="shared" si="497"/>
        <v>01</v>
      </c>
      <c r="M741" s="1" t="str">
        <f t="shared" si="486"/>
        <v>408</v>
      </c>
      <c r="N741" s="1" t="str">
        <f t="shared" si="510"/>
        <v>013</v>
      </c>
      <c r="O741" s="1" t="str">
        <f t="shared" si="498"/>
        <v>00</v>
      </c>
      <c r="P741" s="1" t="str">
        <f t="shared" si="499"/>
        <v>S</v>
      </c>
      <c r="Q741" s="1" t="str">
        <f t="shared" si="500"/>
        <v>P</v>
      </c>
      <c r="R741" s="1" t="str">
        <f t="shared" si="501"/>
        <v>01</v>
      </c>
      <c r="S741" s="1" t="str">
        <f t="shared" si="487"/>
        <v>04</v>
      </c>
      <c r="T741" s="1" t="str">
        <f t="shared" si="502"/>
        <v>False</v>
      </c>
      <c r="U741" s="1" t="str">
        <f t="shared" si="503"/>
        <v>True</v>
      </c>
      <c r="V741" s="1" t="str">
        <f>"U0032708"</f>
        <v>U0032708</v>
      </c>
      <c r="W741" s="1">
        <v>1</v>
      </c>
      <c r="Y741" s="1">
        <v>0</v>
      </c>
      <c r="Z741" s="1">
        <v>0</v>
      </c>
      <c r="AB741" s="1" t="str">
        <f t="shared" si="511"/>
        <v>SMU</v>
      </c>
      <c r="AI741" s="1" t="str">
        <f t="shared" si="512"/>
        <v>F11</v>
      </c>
      <c r="AJ741" s="1" t="str">
        <f t="shared" si="516"/>
        <v>WOMAN</v>
      </c>
      <c r="AK741" s="1" t="str">
        <f t="shared" si="505"/>
        <v>PA</v>
      </c>
      <c r="AP741" s="1" t="str">
        <f t="shared" si="506"/>
        <v>False</v>
      </c>
      <c r="AR741" s="1" t="str">
        <f t="shared" si="513"/>
        <v>DECOR</v>
      </c>
      <c r="AY741" s="1" t="str">
        <f t="shared" si="507"/>
        <v>PF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 t="str">
        <f t="shared" si="514"/>
        <v>R GOMMA CANVAS</v>
      </c>
      <c r="BF741" s="1" t="str">
        <f t="shared" si="508"/>
        <v>Bonis SpA</v>
      </c>
    </row>
    <row r="742" spans="2:58" x14ac:dyDescent="0.25">
      <c r="B742" s="1">
        <v>2494</v>
      </c>
      <c r="C742" s="1" t="str">
        <f t="shared" si="509"/>
        <v>DECOR4237S7/C1</v>
      </c>
      <c r="E742" s="1" t="str">
        <f>"41"</f>
        <v>41</v>
      </c>
      <c r="F742" s="1" t="str">
        <f t="shared" si="495"/>
        <v>BONIS SPA</v>
      </c>
      <c r="G742" s="1" t="str">
        <f t="shared" si="485"/>
        <v>STOCK SCAFFALE MP</v>
      </c>
      <c r="H742" s="1" t="str">
        <f t="shared" si="515"/>
        <v>GREY</v>
      </c>
      <c r="K742" s="1">
        <v>1</v>
      </c>
      <c r="L742" s="1" t="str">
        <f t="shared" si="497"/>
        <v>01</v>
      </c>
      <c r="M742" s="1" t="str">
        <f t="shared" si="486"/>
        <v>408</v>
      </c>
      <c r="N742" s="1" t="str">
        <f t="shared" si="510"/>
        <v>013</v>
      </c>
      <c r="O742" s="1" t="str">
        <f t="shared" si="498"/>
        <v>00</v>
      </c>
      <c r="P742" s="1" t="str">
        <f t="shared" si="499"/>
        <v>S</v>
      </c>
      <c r="Q742" s="1" t="str">
        <f t="shared" si="500"/>
        <v>P</v>
      </c>
      <c r="R742" s="1" t="str">
        <f t="shared" si="501"/>
        <v>01</v>
      </c>
      <c r="S742" s="1" t="str">
        <f t="shared" si="487"/>
        <v>04</v>
      </c>
      <c r="T742" s="1" t="str">
        <f t="shared" si="502"/>
        <v>False</v>
      </c>
      <c r="U742" s="1" t="str">
        <f t="shared" si="503"/>
        <v>True</v>
      </c>
      <c r="V742" s="1" t="str">
        <f>"U0032708"</f>
        <v>U0032708</v>
      </c>
      <c r="W742" s="1">
        <v>1</v>
      </c>
      <c r="Y742" s="1">
        <v>0</v>
      </c>
      <c r="Z742" s="1">
        <v>0</v>
      </c>
      <c r="AB742" s="1" t="str">
        <f t="shared" si="511"/>
        <v>SMU</v>
      </c>
      <c r="AI742" s="1" t="str">
        <f t="shared" si="512"/>
        <v>F11</v>
      </c>
      <c r="AJ742" s="1" t="str">
        <f t="shared" si="516"/>
        <v>WOMAN</v>
      </c>
      <c r="AK742" s="1" t="str">
        <f t="shared" si="505"/>
        <v>PA</v>
      </c>
      <c r="AP742" s="1" t="str">
        <f t="shared" si="506"/>
        <v>False</v>
      </c>
      <c r="AR742" s="1" t="str">
        <f t="shared" si="513"/>
        <v>DECOR</v>
      </c>
      <c r="AY742" s="1" t="str">
        <f t="shared" si="507"/>
        <v>PF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 t="str">
        <f t="shared" si="514"/>
        <v>R GOMMA CANVAS</v>
      </c>
      <c r="BF742" s="1" t="str">
        <f t="shared" si="508"/>
        <v>Bonis SpA</v>
      </c>
    </row>
    <row r="743" spans="2:58" x14ac:dyDescent="0.25">
      <c r="B743" s="1">
        <v>2494</v>
      </c>
      <c r="C743" s="1" t="str">
        <f t="shared" si="509"/>
        <v>DECOR4237S7/C1</v>
      </c>
      <c r="E743" s="1" t="str">
        <f>"39"</f>
        <v>39</v>
      </c>
      <c r="F743" s="1" t="str">
        <f t="shared" si="495"/>
        <v>BONIS SPA</v>
      </c>
      <c r="G743" s="1" t="str">
        <f t="shared" si="485"/>
        <v>STOCK SCAFFALE MP</v>
      </c>
      <c r="H743" s="1" t="str">
        <f t="shared" si="515"/>
        <v>GREY</v>
      </c>
      <c r="K743" s="1">
        <v>4</v>
      </c>
      <c r="L743" s="1" t="str">
        <f t="shared" si="497"/>
        <v>01</v>
      </c>
      <c r="M743" s="1" t="str">
        <f t="shared" si="486"/>
        <v>408</v>
      </c>
      <c r="N743" s="1" t="str">
        <f t="shared" si="510"/>
        <v>013</v>
      </c>
      <c r="O743" s="1" t="str">
        <f t="shared" si="498"/>
        <v>00</v>
      </c>
      <c r="P743" s="1" t="str">
        <f t="shared" si="499"/>
        <v>S</v>
      </c>
      <c r="Q743" s="1" t="str">
        <f t="shared" si="500"/>
        <v>P</v>
      </c>
      <c r="R743" s="1" t="str">
        <f t="shared" si="501"/>
        <v>01</v>
      </c>
      <c r="S743" s="1" t="str">
        <f t="shared" si="487"/>
        <v>04</v>
      </c>
      <c r="T743" s="1" t="str">
        <f t="shared" si="502"/>
        <v>False</v>
      </c>
      <c r="U743" s="1" t="str">
        <f t="shared" si="503"/>
        <v>True</v>
      </c>
      <c r="V743" s="1" t="str">
        <f>"U0032708"</f>
        <v>U0032708</v>
      </c>
      <c r="W743" s="1">
        <v>1</v>
      </c>
      <c r="Y743" s="1">
        <v>0</v>
      </c>
      <c r="Z743" s="1">
        <v>0</v>
      </c>
      <c r="AB743" s="1" t="str">
        <f t="shared" si="511"/>
        <v>SMU</v>
      </c>
      <c r="AI743" s="1" t="str">
        <f t="shared" si="512"/>
        <v>F11</v>
      </c>
      <c r="AJ743" s="1" t="str">
        <f t="shared" si="516"/>
        <v>WOMAN</v>
      </c>
      <c r="AK743" s="1" t="str">
        <f t="shared" si="505"/>
        <v>PA</v>
      </c>
      <c r="AP743" s="1" t="str">
        <f t="shared" si="506"/>
        <v>False</v>
      </c>
      <c r="AR743" s="1" t="str">
        <f t="shared" si="513"/>
        <v>DECOR</v>
      </c>
      <c r="AY743" s="1" t="str">
        <f t="shared" si="507"/>
        <v>PF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 t="str">
        <f t="shared" si="514"/>
        <v>R GOMMA CANVAS</v>
      </c>
      <c r="BF743" s="1" t="str">
        <f t="shared" si="508"/>
        <v>Bonis SpA</v>
      </c>
    </row>
    <row r="744" spans="2:58" x14ac:dyDescent="0.25">
      <c r="B744" s="1">
        <v>2494</v>
      </c>
      <c r="C744" s="1" t="str">
        <f t="shared" si="509"/>
        <v>DECOR4237S7/C1</v>
      </c>
      <c r="E744" s="1" t="str">
        <f>"40"</f>
        <v>40</v>
      </c>
      <c r="F744" s="1" t="str">
        <f t="shared" si="495"/>
        <v>BONIS SPA</v>
      </c>
      <c r="G744" s="1" t="str">
        <f t="shared" si="485"/>
        <v>STOCK SCAFFALE MP</v>
      </c>
      <c r="H744" s="1" t="str">
        <f t="shared" si="515"/>
        <v>GREY</v>
      </c>
      <c r="K744" s="1">
        <v>2</v>
      </c>
      <c r="L744" s="1" t="str">
        <f t="shared" si="497"/>
        <v>01</v>
      </c>
      <c r="M744" s="1" t="str">
        <f t="shared" si="486"/>
        <v>408</v>
      </c>
      <c r="N744" s="1" t="str">
        <f t="shared" si="510"/>
        <v>013</v>
      </c>
      <c r="O744" s="1" t="str">
        <f t="shared" si="498"/>
        <v>00</v>
      </c>
      <c r="P744" s="1" t="str">
        <f t="shared" si="499"/>
        <v>S</v>
      </c>
      <c r="Q744" s="1" t="str">
        <f t="shared" si="500"/>
        <v>P</v>
      </c>
      <c r="R744" s="1" t="str">
        <f t="shared" si="501"/>
        <v>01</v>
      </c>
      <c r="S744" s="1" t="str">
        <f t="shared" si="487"/>
        <v>04</v>
      </c>
      <c r="T744" s="1" t="str">
        <f t="shared" si="502"/>
        <v>False</v>
      </c>
      <c r="U744" s="1" t="str">
        <f t="shared" si="503"/>
        <v>True</v>
      </c>
      <c r="V744" s="1" t="str">
        <f>"U0032708"</f>
        <v>U0032708</v>
      </c>
      <c r="W744" s="1">
        <v>1</v>
      </c>
      <c r="Y744" s="1">
        <v>0</v>
      </c>
      <c r="Z744" s="1">
        <v>0</v>
      </c>
      <c r="AB744" s="1" t="str">
        <f t="shared" si="511"/>
        <v>SMU</v>
      </c>
      <c r="AI744" s="1" t="str">
        <f t="shared" si="512"/>
        <v>F11</v>
      </c>
      <c r="AJ744" s="1" t="str">
        <f t="shared" si="516"/>
        <v>WOMAN</v>
      </c>
      <c r="AK744" s="1" t="str">
        <f t="shared" si="505"/>
        <v>PA</v>
      </c>
      <c r="AP744" s="1" t="str">
        <f t="shared" si="506"/>
        <v>False</v>
      </c>
      <c r="AR744" s="1" t="str">
        <f t="shared" si="513"/>
        <v>DECOR</v>
      </c>
      <c r="AY744" s="1" t="str">
        <f t="shared" si="507"/>
        <v>PF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 t="str">
        <f t="shared" si="514"/>
        <v>R GOMMA CANVAS</v>
      </c>
      <c r="BF744" s="1" t="str">
        <f t="shared" si="508"/>
        <v>Bonis SpA</v>
      </c>
    </row>
    <row r="745" spans="2:58" x14ac:dyDescent="0.25">
      <c r="B745" s="1">
        <v>2494</v>
      </c>
      <c r="C745" s="1" t="str">
        <f t="shared" si="509"/>
        <v>DECOR4237S7/C1</v>
      </c>
      <c r="E745" s="1" t="str">
        <f>"38"</f>
        <v>38</v>
      </c>
      <c r="F745" s="1" t="str">
        <f t="shared" si="495"/>
        <v>BONIS SPA</v>
      </c>
      <c r="G745" s="1" t="str">
        <f t="shared" si="485"/>
        <v>STOCK SCAFFALE MP</v>
      </c>
      <c r="H745" s="1" t="str">
        <f t="shared" si="515"/>
        <v>GREY</v>
      </c>
      <c r="K745" s="1">
        <v>3</v>
      </c>
      <c r="L745" s="1" t="str">
        <f t="shared" si="497"/>
        <v>01</v>
      </c>
      <c r="M745" s="1" t="str">
        <f t="shared" si="486"/>
        <v>408</v>
      </c>
      <c r="N745" s="1" t="str">
        <f t="shared" si="510"/>
        <v>013</v>
      </c>
      <c r="O745" s="1" t="str">
        <f t="shared" si="498"/>
        <v>00</v>
      </c>
      <c r="P745" s="1" t="str">
        <f t="shared" si="499"/>
        <v>S</v>
      </c>
      <c r="Q745" s="1" t="str">
        <f t="shared" si="500"/>
        <v>P</v>
      </c>
      <c r="R745" s="1" t="str">
        <f t="shared" si="501"/>
        <v>01</v>
      </c>
      <c r="S745" s="1" t="str">
        <f t="shared" si="487"/>
        <v>04</v>
      </c>
      <c r="T745" s="1" t="str">
        <f t="shared" si="502"/>
        <v>False</v>
      </c>
      <c r="U745" s="1" t="str">
        <f t="shared" si="503"/>
        <v>True</v>
      </c>
      <c r="V745" s="1" t="str">
        <f>"U0032708"</f>
        <v>U0032708</v>
      </c>
      <c r="W745" s="1">
        <v>1</v>
      </c>
      <c r="Y745" s="1">
        <v>0</v>
      </c>
      <c r="Z745" s="1">
        <v>0</v>
      </c>
      <c r="AB745" s="1" t="str">
        <f t="shared" si="511"/>
        <v>SMU</v>
      </c>
      <c r="AI745" s="1" t="str">
        <f t="shared" si="512"/>
        <v>F11</v>
      </c>
      <c r="AJ745" s="1" t="str">
        <f t="shared" si="516"/>
        <v>WOMAN</v>
      </c>
      <c r="AK745" s="1" t="str">
        <f t="shared" si="505"/>
        <v>PA</v>
      </c>
      <c r="AP745" s="1" t="str">
        <f t="shared" si="506"/>
        <v>False</v>
      </c>
      <c r="AR745" s="1" t="str">
        <f t="shared" si="513"/>
        <v>DECOR</v>
      </c>
      <c r="AY745" s="1" t="str">
        <f t="shared" si="507"/>
        <v>PF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 t="str">
        <f t="shared" si="514"/>
        <v>R GOMMA CANVAS</v>
      </c>
      <c r="BF745" s="1" t="str">
        <f t="shared" si="508"/>
        <v>Bonis SpA</v>
      </c>
    </row>
    <row r="746" spans="2:58" x14ac:dyDescent="0.25">
      <c r="B746" s="1">
        <v>2494</v>
      </c>
      <c r="C746" s="1" t="str">
        <f t="shared" si="509"/>
        <v>DECOR4237S7/C1</v>
      </c>
      <c r="E746" s="1" t="str">
        <f>"38"</f>
        <v>38</v>
      </c>
      <c r="F746" s="1" t="str">
        <f t="shared" si="495"/>
        <v>BONIS SPA</v>
      </c>
      <c r="G746" s="1" t="str">
        <f t="shared" si="485"/>
        <v>STOCK SCAFFALE MP</v>
      </c>
      <c r="H746" s="1" t="str">
        <f t="shared" si="515"/>
        <v>GREY</v>
      </c>
      <c r="K746" s="1">
        <v>4</v>
      </c>
      <c r="L746" s="1" t="str">
        <f t="shared" si="497"/>
        <v>01</v>
      </c>
      <c r="M746" s="1" t="str">
        <f t="shared" si="486"/>
        <v>408</v>
      </c>
      <c r="N746" s="1" t="str">
        <f t="shared" si="510"/>
        <v>013</v>
      </c>
      <c r="O746" s="1" t="str">
        <f t="shared" si="498"/>
        <v>00</v>
      </c>
      <c r="P746" s="1" t="str">
        <f t="shared" si="499"/>
        <v>S</v>
      </c>
      <c r="Q746" s="1" t="str">
        <f t="shared" si="500"/>
        <v>P</v>
      </c>
      <c r="R746" s="1" t="str">
        <f t="shared" si="501"/>
        <v>01</v>
      </c>
      <c r="S746" s="1" t="str">
        <f t="shared" si="487"/>
        <v>04</v>
      </c>
      <c r="T746" s="1" t="str">
        <f t="shared" si="502"/>
        <v>False</v>
      </c>
      <c r="U746" s="1" t="str">
        <f t="shared" si="503"/>
        <v>True</v>
      </c>
      <c r="V746" s="1" t="str">
        <f>"U0032707"</f>
        <v>U0032707</v>
      </c>
      <c r="W746" s="1">
        <v>1</v>
      </c>
      <c r="Y746" s="1">
        <v>0</v>
      </c>
      <c r="Z746" s="1">
        <v>0</v>
      </c>
      <c r="AB746" s="1" t="str">
        <f t="shared" si="511"/>
        <v>SMU</v>
      </c>
      <c r="AI746" s="1" t="str">
        <f t="shared" si="512"/>
        <v>F11</v>
      </c>
      <c r="AJ746" s="1" t="str">
        <f t="shared" si="516"/>
        <v>WOMAN</v>
      </c>
      <c r="AK746" s="1" t="str">
        <f t="shared" si="505"/>
        <v>PA</v>
      </c>
      <c r="AP746" s="1" t="str">
        <f t="shared" si="506"/>
        <v>False</v>
      </c>
      <c r="AR746" s="1" t="str">
        <f t="shared" si="513"/>
        <v>DECOR</v>
      </c>
      <c r="AY746" s="1" t="str">
        <f t="shared" si="507"/>
        <v>PF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 t="str">
        <f t="shared" si="514"/>
        <v>R GOMMA CANVAS</v>
      </c>
      <c r="BF746" s="1" t="str">
        <f t="shared" si="508"/>
        <v>Bonis SpA</v>
      </c>
    </row>
    <row r="747" spans="2:58" x14ac:dyDescent="0.25">
      <c r="B747" s="1">
        <v>2494</v>
      </c>
      <c r="C747" s="1" t="str">
        <f t="shared" si="509"/>
        <v>DECOR4237S7/C1</v>
      </c>
      <c r="E747" s="1" t="str">
        <f>"37"</f>
        <v>37</v>
      </c>
      <c r="F747" s="1" t="str">
        <f t="shared" si="495"/>
        <v>BONIS SPA</v>
      </c>
      <c r="G747" s="1" t="str">
        <f t="shared" si="485"/>
        <v>STOCK SCAFFALE MP</v>
      </c>
      <c r="H747" s="1" t="str">
        <f t="shared" si="515"/>
        <v>GREY</v>
      </c>
      <c r="K747" s="1">
        <v>2</v>
      </c>
      <c r="L747" s="1" t="str">
        <f t="shared" si="497"/>
        <v>01</v>
      </c>
      <c r="M747" s="1" t="str">
        <f t="shared" si="486"/>
        <v>408</v>
      </c>
      <c r="N747" s="1" t="str">
        <f t="shared" si="510"/>
        <v>013</v>
      </c>
      <c r="O747" s="1" t="str">
        <f t="shared" si="498"/>
        <v>00</v>
      </c>
      <c r="P747" s="1" t="str">
        <f t="shared" si="499"/>
        <v>S</v>
      </c>
      <c r="Q747" s="1" t="str">
        <f t="shared" si="500"/>
        <v>P</v>
      </c>
      <c r="R747" s="1" t="str">
        <f t="shared" si="501"/>
        <v>01</v>
      </c>
      <c r="S747" s="1" t="str">
        <f t="shared" si="487"/>
        <v>04</v>
      </c>
      <c r="T747" s="1" t="str">
        <f t="shared" si="502"/>
        <v>False</v>
      </c>
      <c r="U747" s="1" t="str">
        <f t="shared" si="503"/>
        <v>True</v>
      </c>
      <c r="V747" s="1" t="str">
        <f>"U0032707"</f>
        <v>U0032707</v>
      </c>
      <c r="W747" s="1">
        <v>1</v>
      </c>
      <c r="Y747" s="1">
        <v>0</v>
      </c>
      <c r="Z747" s="1">
        <v>0</v>
      </c>
      <c r="AB747" s="1" t="str">
        <f t="shared" si="511"/>
        <v>SMU</v>
      </c>
      <c r="AI747" s="1" t="str">
        <f t="shared" si="512"/>
        <v>F11</v>
      </c>
      <c r="AJ747" s="1" t="str">
        <f t="shared" si="516"/>
        <v>WOMAN</v>
      </c>
      <c r="AK747" s="1" t="str">
        <f t="shared" si="505"/>
        <v>PA</v>
      </c>
      <c r="AP747" s="1" t="str">
        <f t="shared" si="506"/>
        <v>False</v>
      </c>
      <c r="AR747" s="1" t="str">
        <f t="shared" si="513"/>
        <v>DECOR</v>
      </c>
      <c r="AY747" s="1" t="str">
        <f t="shared" si="507"/>
        <v>PF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 t="str">
        <f t="shared" si="514"/>
        <v>R GOMMA CANVAS</v>
      </c>
      <c r="BF747" s="1" t="str">
        <f t="shared" si="508"/>
        <v>Bonis SpA</v>
      </c>
    </row>
    <row r="748" spans="2:58" x14ac:dyDescent="0.25">
      <c r="B748" s="1">
        <v>2494</v>
      </c>
      <c r="C748" s="1" t="str">
        <f t="shared" si="509"/>
        <v>DECOR4237S7/C1</v>
      </c>
      <c r="E748" s="1" t="str">
        <f>"41"</f>
        <v>41</v>
      </c>
      <c r="F748" s="1" t="str">
        <f t="shared" si="495"/>
        <v>BONIS SPA</v>
      </c>
      <c r="G748" s="1" t="str">
        <f t="shared" si="485"/>
        <v>STOCK SCAFFALE MP</v>
      </c>
      <c r="H748" s="1" t="str">
        <f t="shared" si="515"/>
        <v>GREY</v>
      </c>
      <c r="K748" s="1">
        <v>1</v>
      </c>
      <c r="L748" s="1" t="str">
        <f t="shared" si="497"/>
        <v>01</v>
      </c>
      <c r="M748" s="1" t="str">
        <f t="shared" si="486"/>
        <v>408</v>
      </c>
      <c r="N748" s="1" t="str">
        <f t="shared" si="510"/>
        <v>013</v>
      </c>
      <c r="O748" s="1" t="str">
        <f t="shared" si="498"/>
        <v>00</v>
      </c>
      <c r="P748" s="1" t="str">
        <f t="shared" si="499"/>
        <v>S</v>
      </c>
      <c r="Q748" s="1" t="str">
        <f t="shared" si="500"/>
        <v>P</v>
      </c>
      <c r="R748" s="1" t="str">
        <f t="shared" si="501"/>
        <v>01</v>
      </c>
      <c r="S748" s="1" t="str">
        <f t="shared" si="487"/>
        <v>04</v>
      </c>
      <c r="T748" s="1" t="str">
        <f t="shared" si="502"/>
        <v>False</v>
      </c>
      <c r="U748" s="1" t="str">
        <f t="shared" si="503"/>
        <v>True</v>
      </c>
      <c r="V748" s="1" t="str">
        <f>"U0032707"</f>
        <v>U0032707</v>
      </c>
      <c r="W748" s="1">
        <v>1</v>
      </c>
      <c r="Y748" s="1">
        <v>0</v>
      </c>
      <c r="Z748" s="1">
        <v>0</v>
      </c>
      <c r="AB748" s="1" t="str">
        <f t="shared" si="511"/>
        <v>SMU</v>
      </c>
      <c r="AI748" s="1" t="str">
        <f t="shared" si="512"/>
        <v>F11</v>
      </c>
      <c r="AJ748" s="1" t="str">
        <f t="shared" si="516"/>
        <v>WOMAN</v>
      </c>
      <c r="AK748" s="1" t="str">
        <f t="shared" si="505"/>
        <v>PA</v>
      </c>
      <c r="AP748" s="1" t="str">
        <f t="shared" si="506"/>
        <v>False</v>
      </c>
      <c r="AR748" s="1" t="str">
        <f t="shared" si="513"/>
        <v>DECOR</v>
      </c>
      <c r="AY748" s="1" t="str">
        <f t="shared" si="507"/>
        <v>PF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 t="str">
        <f t="shared" si="514"/>
        <v>R GOMMA CANVAS</v>
      </c>
      <c r="BF748" s="1" t="str">
        <f t="shared" si="508"/>
        <v>Bonis SpA</v>
      </c>
    </row>
    <row r="749" spans="2:58" x14ac:dyDescent="0.25">
      <c r="B749" s="1">
        <v>2494</v>
      </c>
      <c r="C749" s="1" t="str">
        <f t="shared" si="509"/>
        <v>DECOR4237S7/C1</v>
      </c>
      <c r="E749" s="1" t="str">
        <f>"40"</f>
        <v>40</v>
      </c>
      <c r="F749" s="1" t="str">
        <f t="shared" si="495"/>
        <v>BONIS SPA</v>
      </c>
      <c r="G749" s="1" t="str">
        <f t="shared" si="485"/>
        <v>STOCK SCAFFALE MP</v>
      </c>
      <c r="H749" s="1" t="str">
        <f t="shared" si="515"/>
        <v>GREY</v>
      </c>
      <c r="K749" s="1">
        <v>2</v>
      </c>
      <c r="L749" s="1" t="str">
        <f t="shared" si="497"/>
        <v>01</v>
      </c>
      <c r="M749" s="1" t="str">
        <f t="shared" si="486"/>
        <v>408</v>
      </c>
      <c r="N749" s="1" t="str">
        <f t="shared" si="510"/>
        <v>013</v>
      </c>
      <c r="O749" s="1" t="str">
        <f t="shared" si="498"/>
        <v>00</v>
      </c>
      <c r="P749" s="1" t="str">
        <f t="shared" si="499"/>
        <v>S</v>
      </c>
      <c r="Q749" s="1" t="str">
        <f t="shared" si="500"/>
        <v>P</v>
      </c>
      <c r="R749" s="1" t="str">
        <f t="shared" si="501"/>
        <v>01</v>
      </c>
      <c r="S749" s="1" t="str">
        <f t="shared" si="487"/>
        <v>04</v>
      </c>
      <c r="T749" s="1" t="str">
        <f t="shared" si="502"/>
        <v>False</v>
      </c>
      <c r="U749" s="1" t="str">
        <f t="shared" si="503"/>
        <v>True</v>
      </c>
      <c r="V749" s="1" t="str">
        <f>"U0032707"</f>
        <v>U0032707</v>
      </c>
      <c r="W749" s="1">
        <v>1</v>
      </c>
      <c r="Y749" s="1">
        <v>0</v>
      </c>
      <c r="Z749" s="1">
        <v>0</v>
      </c>
      <c r="AB749" s="1" t="str">
        <f t="shared" si="511"/>
        <v>SMU</v>
      </c>
      <c r="AI749" s="1" t="str">
        <f t="shared" si="512"/>
        <v>F11</v>
      </c>
      <c r="AJ749" s="1" t="str">
        <f t="shared" si="516"/>
        <v>WOMAN</v>
      </c>
      <c r="AK749" s="1" t="str">
        <f t="shared" si="505"/>
        <v>PA</v>
      </c>
      <c r="AP749" s="1" t="str">
        <f t="shared" si="506"/>
        <v>False</v>
      </c>
      <c r="AR749" s="1" t="str">
        <f t="shared" si="513"/>
        <v>DECOR</v>
      </c>
      <c r="AY749" s="1" t="str">
        <f t="shared" si="507"/>
        <v>PF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 t="str">
        <f t="shared" si="514"/>
        <v>R GOMMA CANVAS</v>
      </c>
      <c r="BF749" s="1" t="str">
        <f t="shared" si="508"/>
        <v>Bonis SpA</v>
      </c>
    </row>
    <row r="750" spans="2:58" x14ac:dyDescent="0.25">
      <c r="B750" s="1">
        <v>2494</v>
      </c>
      <c r="C750" s="1" t="str">
        <f t="shared" si="509"/>
        <v>DECOR4237S7/C1</v>
      </c>
      <c r="E750" s="1" t="str">
        <f>"39"</f>
        <v>39</v>
      </c>
      <c r="F750" s="1" t="str">
        <f t="shared" si="495"/>
        <v>BONIS SPA</v>
      </c>
      <c r="G750" s="1" t="str">
        <f t="shared" si="485"/>
        <v>STOCK SCAFFALE MP</v>
      </c>
      <c r="H750" s="1" t="str">
        <f t="shared" si="515"/>
        <v>GREY</v>
      </c>
      <c r="K750" s="1">
        <v>3</v>
      </c>
      <c r="L750" s="1" t="str">
        <f t="shared" si="497"/>
        <v>01</v>
      </c>
      <c r="M750" s="1" t="str">
        <f t="shared" si="486"/>
        <v>408</v>
      </c>
      <c r="N750" s="1" t="str">
        <f t="shared" si="510"/>
        <v>013</v>
      </c>
      <c r="O750" s="1" t="str">
        <f t="shared" si="498"/>
        <v>00</v>
      </c>
      <c r="P750" s="1" t="str">
        <f t="shared" si="499"/>
        <v>S</v>
      </c>
      <c r="Q750" s="1" t="str">
        <f t="shared" si="500"/>
        <v>P</v>
      </c>
      <c r="R750" s="1" t="str">
        <f t="shared" si="501"/>
        <v>01</v>
      </c>
      <c r="S750" s="1" t="str">
        <f t="shared" si="487"/>
        <v>04</v>
      </c>
      <c r="T750" s="1" t="str">
        <f t="shared" si="502"/>
        <v>False</v>
      </c>
      <c r="U750" s="1" t="str">
        <f t="shared" si="503"/>
        <v>True</v>
      </c>
      <c r="V750" s="1" t="str">
        <f>"U0032707"</f>
        <v>U0032707</v>
      </c>
      <c r="W750" s="1">
        <v>1</v>
      </c>
      <c r="Y750" s="1">
        <v>0</v>
      </c>
      <c r="Z750" s="1">
        <v>0</v>
      </c>
      <c r="AB750" s="1" t="str">
        <f t="shared" si="511"/>
        <v>SMU</v>
      </c>
      <c r="AI750" s="1" t="str">
        <f t="shared" si="512"/>
        <v>F11</v>
      </c>
      <c r="AJ750" s="1" t="str">
        <f t="shared" si="516"/>
        <v>WOMAN</v>
      </c>
      <c r="AK750" s="1" t="str">
        <f t="shared" si="505"/>
        <v>PA</v>
      </c>
      <c r="AP750" s="1" t="str">
        <f t="shared" si="506"/>
        <v>False</v>
      </c>
      <c r="AR750" s="1" t="str">
        <f t="shared" si="513"/>
        <v>DECOR</v>
      </c>
      <c r="AY750" s="1" t="str">
        <f t="shared" si="507"/>
        <v>PF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 t="str">
        <f t="shared" si="514"/>
        <v>R GOMMA CANVAS</v>
      </c>
      <c r="BF750" s="1" t="str">
        <f t="shared" si="508"/>
        <v>Bonis SpA</v>
      </c>
    </row>
    <row r="751" spans="2:58" x14ac:dyDescent="0.25">
      <c r="B751" s="1">
        <v>2494</v>
      </c>
      <c r="C751" s="1" t="str">
        <f t="shared" si="509"/>
        <v>DECOR4237S7/C1</v>
      </c>
      <c r="E751" s="1" t="str">
        <f>"40"</f>
        <v>40</v>
      </c>
      <c r="F751" s="1" t="str">
        <f t="shared" si="495"/>
        <v>BONIS SPA</v>
      </c>
      <c r="G751" s="1" t="str">
        <f t="shared" si="485"/>
        <v>STOCK SCAFFALE MP</v>
      </c>
      <c r="H751" s="1" t="str">
        <f t="shared" si="515"/>
        <v>GREY</v>
      </c>
      <c r="K751" s="1">
        <v>2</v>
      </c>
      <c r="L751" s="1" t="str">
        <f t="shared" si="497"/>
        <v>01</v>
      </c>
      <c r="M751" s="1" t="str">
        <f t="shared" si="486"/>
        <v>408</v>
      </c>
      <c r="N751" s="1" t="str">
        <f t="shared" si="510"/>
        <v>013</v>
      </c>
      <c r="O751" s="1" t="str">
        <f t="shared" si="498"/>
        <v>00</v>
      </c>
      <c r="P751" s="1" t="str">
        <f t="shared" si="499"/>
        <v>S</v>
      </c>
      <c r="Q751" s="1" t="str">
        <f t="shared" si="500"/>
        <v>P</v>
      </c>
      <c r="R751" s="1" t="str">
        <f t="shared" si="501"/>
        <v>01</v>
      </c>
      <c r="S751" s="1" t="str">
        <f t="shared" si="487"/>
        <v>04</v>
      </c>
      <c r="T751" s="1" t="str">
        <f t="shared" si="502"/>
        <v>False</v>
      </c>
      <c r="U751" s="1" t="str">
        <f t="shared" si="503"/>
        <v>True</v>
      </c>
      <c r="V751" s="1" t="str">
        <f>"U0032706"</f>
        <v>U0032706</v>
      </c>
      <c r="W751" s="1">
        <v>1</v>
      </c>
      <c r="Y751" s="1">
        <v>0</v>
      </c>
      <c r="Z751" s="1">
        <v>0</v>
      </c>
      <c r="AB751" s="1" t="str">
        <f t="shared" si="511"/>
        <v>SMU</v>
      </c>
      <c r="AI751" s="1" t="str">
        <f t="shared" si="512"/>
        <v>F11</v>
      </c>
      <c r="AJ751" s="1" t="str">
        <f t="shared" si="516"/>
        <v>WOMAN</v>
      </c>
      <c r="AK751" s="1" t="str">
        <f t="shared" si="505"/>
        <v>PA</v>
      </c>
      <c r="AP751" s="1" t="str">
        <f t="shared" si="506"/>
        <v>False</v>
      </c>
      <c r="AR751" s="1" t="str">
        <f t="shared" si="513"/>
        <v>DECOR</v>
      </c>
      <c r="AY751" s="1" t="str">
        <f t="shared" si="507"/>
        <v>PF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 t="str">
        <f t="shared" si="514"/>
        <v>R GOMMA CANVAS</v>
      </c>
      <c r="BF751" s="1" t="str">
        <f t="shared" si="508"/>
        <v>Bonis SpA</v>
      </c>
    </row>
    <row r="752" spans="2:58" x14ac:dyDescent="0.25">
      <c r="B752" s="1">
        <v>2494</v>
      </c>
      <c r="C752" s="1" t="str">
        <f t="shared" si="509"/>
        <v>DECOR4237S7/C1</v>
      </c>
      <c r="E752" s="1" t="str">
        <f>"38"</f>
        <v>38</v>
      </c>
      <c r="F752" s="1" t="str">
        <f t="shared" si="495"/>
        <v>BONIS SPA</v>
      </c>
      <c r="G752" s="1" t="str">
        <f t="shared" ref="G752:G815" si="517">"STOCK SCAFFALE MP"</f>
        <v>STOCK SCAFFALE MP</v>
      </c>
      <c r="H752" s="1" t="str">
        <f t="shared" si="515"/>
        <v>GREY</v>
      </c>
      <c r="K752" s="1">
        <v>3</v>
      </c>
      <c r="L752" s="1" t="str">
        <f t="shared" si="497"/>
        <v>01</v>
      </c>
      <c r="M752" s="1" t="str">
        <f t="shared" ref="M752:M815" si="518">"408"</f>
        <v>408</v>
      </c>
      <c r="N752" s="1" t="str">
        <f t="shared" si="510"/>
        <v>013</v>
      </c>
      <c r="O752" s="1" t="str">
        <f t="shared" si="498"/>
        <v>00</v>
      </c>
      <c r="P752" s="1" t="str">
        <f t="shared" si="499"/>
        <v>S</v>
      </c>
      <c r="Q752" s="1" t="str">
        <f t="shared" si="500"/>
        <v>P</v>
      </c>
      <c r="R752" s="1" t="str">
        <f t="shared" si="501"/>
        <v>01</v>
      </c>
      <c r="S752" s="1" t="str">
        <f t="shared" ref="S752:S815" si="519">"04"</f>
        <v>04</v>
      </c>
      <c r="T752" s="1" t="str">
        <f t="shared" si="502"/>
        <v>False</v>
      </c>
      <c r="U752" s="1" t="str">
        <f t="shared" si="503"/>
        <v>True</v>
      </c>
      <c r="V752" s="1" t="str">
        <f>"U0032706"</f>
        <v>U0032706</v>
      </c>
      <c r="W752" s="1">
        <v>1</v>
      </c>
      <c r="Y752" s="1">
        <v>0</v>
      </c>
      <c r="Z752" s="1">
        <v>0</v>
      </c>
      <c r="AB752" s="1" t="str">
        <f t="shared" si="511"/>
        <v>SMU</v>
      </c>
      <c r="AI752" s="1" t="str">
        <f t="shared" si="512"/>
        <v>F11</v>
      </c>
      <c r="AJ752" s="1" t="str">
        <f t="shared" si="516"/>
        <v>WOMAN</v>
      </c>
      <c r="AK752" s="1" t="str">
        <f t="shared" si="505"/>
        <v>PA</v>
      </c>
      <c r="AP752" s="1" t="str">
        <f t="shared" si="506"/>
        <v>False</v>
      </c>
      <c r="AR752" s="1" t="str">
        <f t="shared" si="513"/>
        <v>DECOR</v>
      </c>
      <c r="AY752" s="1" t="str">
        <f t="shared" si="507"/>
        <v>PF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 t="str">
        <f t="shared" si="514"/>
        <v>R GOMMA CANVAS</v>
      </c>
      <c r="BF752" s="1" t="str">
        <f t="shared" si="508"/>
        <v>Bonis SpA</v>
      </c>
    </row>
    <row r="753" spans="2:58" x14ac:dyDescent="0.25">
      <c r="B753" s="1">
        <v>2494</v>
      </c>
      <c r="C753" s="1" t="str">
        <f t="shared" si="509"/>
        <v>DECOR4237S7/C1</v>
      </c>
      <c r="E753" s="1" t="str">
        <f>"39"</f>
        <v>39</v>
      </c>
      <c r="F753" s="1" t="str">
        <f t="shared" si="495"/>
        <v>BONIS SPA</v>
      </c>
      <c r="G753" s="1" t="str">
        <f t="shared" si="517"/>
        <v>STOCK SCAFFALE MP</v>
      </c>
      <c r="H753" s="1" t="str">
        <f t="shared" si="515"/>
        <v>GREY</v>
      </c>
      <c r="K753" s="1">
        <v>2</v>
      </c>
      <c r="L753" s="1" t="str">
        <f t="shared" si="497"/>
        <v>01</v>
      </c>
      <c r="M753" s="1" t="str">
        <f t="shared" si="518"/>
        <v>408</v>
      </c>
      <c r="N753" s="1" t="str">
        <f t="shared" si="510"/>
        <v>013</v>
      </c>
      <c r="O753" s="1" t="str">
        <f t="shared" si="498"/>
        <v>00</v>
      </c>
      <c r="P753" s="1" t="str">
        <f t="shared" si="499"/>
        <v>S</v>
      </c>
      <c r="Q753" s="1" t="str">
        <f t="shared" si="500"/>
        <v>P</v>
      </c>
      <c r="R753" s="1" t="str">
        <f t="shared" si="501"/>
        <v>01</v>
      </c>
      <c r="S753" s="1" t="str">
        <f t="shared" si="519"/>
        <v>04</v>
      </c>
      <c r="T753" s="1" t="str">
        <f t="shared" si="502"/>
        <v>False</v>
      </c>
      <c r="U753" s="1" t="str">
        <f t="shared" si="503"/>
        <v>True</v>
      </c>
      <c r="V753" s="1" t="str">
        <f>"U0032706"</f>
        <v>U0032706</v>
      </c>
      <c r="W753" s="1">
        <v>1</v>
      </c>
      <c r="Y753" s="1">
        <v>0</v>
      </c>
      <c r="Z753" s="1">
        <v>0</v>
      </c>
      <c r="AB753" s="1" t="str">
        <f t="shared" si="511"/>
        <v>SMU</v>
      </c>
      <c r="AI753" s="1" t="str">
        <f t="shared" si="512"/>
        <v>F11</v>
      </c>
      <c r="AJ753" s="1" t="str">
        <f t="shared" si="516"/>
        <v>WOMAN</v>
      </c>
      <c r="AK753" s="1" t="str">
        <f t="shared" si="505"/>
        <v>PA</v>
      </c>
      <c r="AP753" s="1" t="str">
        <f t="shared" si="506"/>
        <v>False</v>
      </c>
      <c r="AR753" s="1" t="str">
        <f t="shared" si="513"/>
        <v>DECOR</v>
      </c>
      <c r="AY753" s="1" t="str">
        <f t="shared" si="507"/>
        <v>PF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 t="str">
        <f t="shared" si="514"/>
        <v>R GOMMA CANVAS</v>
      </c>
      <c r="BF753" s="1" t="str">
        <f t="shared" si="508"/>
        <v>Bonis SpA</v>
      </c>
    </row>
    <row r="754" spans="2:58" x14ac:dyDescent="0.25">
      <c r="B754" s="1">
        <v>2494</v>
      </c>
      <c r="C754" s="1" t="str">
        <f t="shared" si="509"/>
        <v>DECOR4237S7/C1</v>
      </c>
      <c r="E754" s="1" t="str">
        <f>"41"</f>
        <v>41</v>
      </c>
      <c r="F754" s="1" t="str">
        <f t="shared" si="495"/>
        <v>BONIS SPA</v>
      </c>
      <c r="G754" s="1" t="str">
        <f t="shared" si="517"/>
        <v>STOCK SCAFFALE MP</v>
      </c>
      <c r="H754" s="1" t="str">
        <f t="shared" si="515"/>
        <v>GREY</v>
      </c>
      <c r="K754" s="1">
        <v>1</v>
      </c>
      <c r="L754" s="1" t="str">
        <f t="shared" si="497"/>
        <v>01</v>
      </c>
      <c r="M754" s="1" t="str">
        <f t="shared" si="518"/>
        <v>408</v>
      </c>
      <c r="N754" s="1" t="str">
        <f t="shared" si="510"/>
        <v>013</v>
      </c>
      <c r="O754" s="1" t="str">
        <f t="shared" si="498"/>
        <v>00</v>
      </c>
      <c r="P754" s="1" t="str">
        <f t="shared" si="499"/>
        <v>S</v>
      </c>
      <c r="Q754" s="1" t="str">
        <f t="shared" si="500"/>
        <v>P</v>
      </c>
      <c r="R754" s="1" t="str">
        <f t="shared" si="501"/>
        <v>01</v>
      </c>
      <c r="S754" s="1" t="str">
        <f t="shared" si="519"/>
        <v>04</v>
      </c>
      <c r="T754" s="1" t="str">
        <f t="shared" si="502"/>
        <v>False</v>
      </c>
      <c r="U754" s="1" t="str">
        <f t="shared" si="503"/>
        <v>True</v>
      </c>
      <c r="V754" s="1" t="str">
        <f>"U0032706"</f>
        <v>U0032706</v>
      </c>
      <c r="W754" s="1">
        <v>1</v>
      </c>
      <c r="Y754" s="1">
        <v>0</v>
      </c>
      <c r="Z754" s="1">
        <v>0</v>
      </c>
      <c r="AB754" s="1" t="str">
        <f t="shared" si="511"/>
        <v>SMU</v>
      </c>
      <c r="AI754" s="1" t="str">
        <f t="shared" si="512"/>
        <v>F11</v>
      </c>
      <c r="AJ754" s="1" t="str">
        <f t="shared" si="516"/>
        <v>WOMAN</v>
      </c>
      <c r="AK754" s="1" t="str">
        <f t="shared" si="505"/>
        <v>PA</v>
      </c>
      <c r="AP754" s="1" t="str">
        <f t="shared" si="506"/>
        <v>False</v>
      </c>
      <c r="AR754" s="1" t="str">
        <f t="shared" si="513"/>
        <v>DECOR</v>
      </c>
      <c r="AY754" s="1" t="str">
        <f t="shared" si="507"/>
        <v>PF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 t="str">
        <f t="shared" si="514"/>
        <v>R GOMMA CANVAS</v>
      </c>
      <c r="BF754" s="1" t="str">
        <f t="shared" si="508"/>
        <v>Bonis SpA</v>
      </c>
    </row>
    <row r="755" spans="2:58" x14ac:dyDescent="0.25">
      <c r="B755" s="1">
        <v>2494</v>
      </c>
      <c r="C755" s="1" t="str">
        <f t="shared" si="509"/>
        <v>DECOR4237S7/C1</v>
      </c>
      <c r="E755" s="1" t="str">
        <f>"37"</f>
        <v>37</v>
      </c>
      <c r="F755" s="1" t="str">
        <f t="shared" si="495"/>
        <v>BONIS SPA</v>
      </c>
      <c r="G755" s="1" t="str">
        <f t="shared" si="517"/>
        <v>STOCK SCAFFALE MP</v>
      </c>
      <c r="H755" s="1" t="str">
        <f t="shared" si="515"/>
        <v>GREY</v>
      </c>
      <c r="K755" s="1">
        <v>2</v>
      </c>
      <c r="L755" s="1" t="str">
        <f t="shared" si="497"/>
        <v>01</v>
      </c>
      <c r="M755" s="1" t="str">
        <f t="shared" si="518"/>
        <v>408</v>
      </c>
      <c r="N755" s="1" t="str">
        <f t="shared" si="510"/>
        <v>013</v>
      </c>
      <c r="O755" s="1" t="str">
        <f t="shared" si="498"/>
        <v>00</v>
      </c>
      <c r="P755" s="1" t="str">
        <f t="shared" si="499"/>
        <v>S</v>
      </c>
      <c r="Q755" s="1" t="str">
        <f t="shared" si="500"/>
        <v>P</v>
      </c>
      <c r="R755" s="1" t="str">
        <f t="shared" si="501"/>
        <v>01</v>
      </c>
      <c r="S755" s="1" t="str">
        <f t="shared" si="519"/>
        <v>04</v>
      </c>
      <c r="T755" s="1" t="str">
        <f t="shared" si="502"/>
        <v>False</v>
      </c>
      <c r="U755" s="1" t="str">
        <f t="shared" si="503"/>
        <v>True</v>
      </c>
      <c r="V755" s="1" t="str">
        <f>"U0032706"</f>
        <v>U0032706</v>
      </c>
      <c r="W755" s="1">
        <v>1</v>
      </c>
      <c r="Y755" s="1">
        <v>0</v>
      </c>
      <c r="Z755" s="1">
        <v>0</v>
      </c>
      <c r="AB755" s="1" t="str">
        <f t="shared" si="511"/>
        <v>SMU</v>
      </c>
      <c r="AI755" s="1" t="str">
        <f t="shared" si="512"/>
        <v>F11</v>
      </c>
      <c r="AJ755" s="1" t="str">
        <f t="shared" si="516"/>
        <v>WOMAN</v>
      </c>
      <c r="AK755" s="1" t="str">
        <f t="shared" si="505"/>
        <v>PA</v>
      </c>
      <c r="AP755" s="1" t="str">
        <f t="shared" si="506"/>
        <v>False</v>
      </c>
      <c r="AR755" s="1" t="str">
        <f t="shared" si="513"/>
        <v>DECOR</v>
      </c>
      <c r="AY755" s="1" t="str">
        <f t="shared" si="507"/>
        <v>PF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 t="str">
        <f t="shared" si="514"/>
        <v>R GOMMA CANVAS</v>
      </c>
      <c r="BF755" s="1" t="str">
        <f t="shared" si="508"/>
        <v>Bonis SpA</v>
      </c>
    </row>
    <row r="756" spans="2:58" x14ac:dyDescent="0.25">
      <c r="B756" s="1">
        <v>2494</v>
      </c>
      <c r="C756" s="1" t="str">
        <f t="shared" ref="C756:C787" si="520">"DECOR4237S7/C1"</f>
        <v>DECOR4237S7/C1</v>
      </c>
      <c r="E756" s="1" t="str">
        <f>"38"</f>
        <v>38</v>
      </c>
      <c r="F756" s="1" t="str">
        <f t="shared" si="495"/>
        <v>BONIS SPA</v>
      </c>
      <c r="G756" s="1" t="str">
        <f t="shared" si="517"/>
        <v>STOCK SCAFFALE MP</v>
      </c>
      <c r="H756" s="1" t="str">
        <f t="shared" si="515"/>
        <v>GREY</v>
      </c>
      <c r="K756" s="1">
        <v>2</v>
      </c>
      <c r="L756" s="1" t="str">
        <f t="shared" si="497"/>
        <v>01</v>
      </c>
      <c r="M756" s="1" t="str">
        <f t="shared" si="518"/>
        <v>408</v>
      </c>
      <c r="N756" s="1" t="str">
        <f t="shared" ref="N756:N787" si="521">"013"</f>
        <v>013</v>
      </c>
      <c r="O756" s="1" t="str">
        <f t="shared" si="498"/>
        <v>00</v>
      </c>
      <c r="P756" s="1" t="str">
        <f t="shared" si="499"/>
        <v>S</v>
      </c>
      <c r="Q756" s="1" t="str">
        <f t="shared" si="500"/>
        <v>P</v>
      </c>
      <c r="R756" s="1" t="str">
        <f t="shared" si="501"/>
        <v>01</v>
      </c>
      <c r="S756" s="1" t="str">
        <f t="shared" si="519"/>
        <v>04</v>
      </c>
      <c r="T756" s="1" t="str">
        <f t="shared" si="502"/>
        <v>False</v>
      </c>
      <c r="U756" s="1" t="str">
        <f t="shared" si="503"/>
        <v>True</v>
      </c>
      <c r="V756" s="1" t="str">
        <f>"U0032705"</f>
        <v>U0032705</v>
      </c>
      <c r="W756" s="1">
        <v>1</v>
      </c>
      <c r="Y756" s="1">
        <v>0</v>
      </c>
      <c r="Z756" s="1">
        <v>0</v>
      </c>
      <c r="AB756" s="1" t="str">
        <f t="shared" ref="AB756:AB787" si="522">"SMU"</f>
        <v>SMU</v>
      </c>
      <c r="AI756" s="1" t="str">
        <f t="shared" ref="AI756:AI784" si="523">"F11"</f>
        <v>F11</v>
      </c>
      <c r="AJ756" s="1" t="str">
        <f t="shared" si="516"/>
        <v>WOMAN</v>
      </c>
      <c r="AK756" s="1" t="str">
        <f t="shared" si="505"/>
        <v>PA</v>
      </c>
      <c r="AP756" s="1" t="str">
        <f t="shared" si="506"/>
        <v>False</v>
      </c>
      <c r="AR756" s="1" t="str">
        <f t="shared" ref="AR756:AR787" si="524">"DECOR"</f>
        <v>DECOR</v>
      </c>
      <c r="AY756" s="1" t="str">
        <f t="shared" si="507"/>
        <v>PF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 t="str">
        <f t="shared" ref="BE756:BE787" si="525">"R GOMMA CANVAS"</f>
        <v>R GOMMA CANVAS</v>
      </c>
      <c r="BF756" s="1" t="str">
        <f t="shared" si="508"/>
        <v>Bonis SpA</v>
      </c>
    </row>
    <row r="757" spans="2:58" x14ac:dyDescent="0.25">
      <c r="B757" s="1">
        <v>2494</v>
      </c>
      <c r="C757" s="1" t="str">
        <f t="shared" si="520"/>
        <v>DECOR4237S7/C1</v>
      </c>
      <c r="E757" s="1" t="str">
        <f>"39"</f>
        <v>39</v>
      </c>
      <c r="F757" s="1" t="str">
        <f t="shared" si="495"/>
        <v>BONIS SPA</v>
      </c>
      <c r="G757" s="1" t="str">
        <f t="shared" si="517"/>
        <v>STOCK SCAFFALE MP</v>
      </c>
      <c r="H757" s="1" t="str">
        <f t="shared" si="515"/>
        <v>GREY</v>
      </c>
      <c r="K757" s="1">
        <v>3</v>
      </c>
      <c r="L757" s="1" t="str">
        <f t="shared" si="497"/>
        <v>01</v>
      </c>
      <c r="M757" s="1" t="str">
        <f t="shared" si="518"/>
        <v>408</v>
      </c>
      <c r="N757" s="1" t="str">
        <f t="shared" si="521"/>
        <v>013</v>
      </c>
      <c r="O757" s="1" t="str">
        <f t="shared" si="498"/>
        <v>00</v>
      </c>
      <c r="P757" s="1" t="str">
        <f t="shared" si="499"/>
        <v>S</v>
      </c>
      <c r="Q757" s="1" t="str">
        <f t="shared" si="500"/>
        <v>P</v>
      </c>
      <c r="R757" s="1" t="str">
        <f t="shared" si="501"/>
        <v>01</v>
      </c>
      <c r="S757" s="1" t="str">
        <f t="shared" si="519"/>
        <v>04</v>
      </c>
      <c r="T757" s="1" t="str">
        <f t="shared" si="502"/>
        <v>False</v>
      </c>
      <c r="U757" s="1" t="str">
        <f t="shared" si="503"/>
        <v>True</v>
      </c>
      <c r="V757" s="1" t="str">
        <f>"U0032705"</f>
        <v>U0032705</v>
      </c>
      <c r="W757" s="1">
        <v>1</v>
      </c>
      <c r="Y757" s="1">
        <v>0</v>
      </c>
      <c r="Z757" s="1">
        <v>0</v>
      </c>
      <c r="AB757" s="1" t="str">
        <f t="shared" si="522"/>
        <v>SMU</v>
      </c>
      <c r="AI757" s="1" t="str">
        <f t="shared" si="523"/>
        <v>F11</v>
      </c>
      <c r="AJ757" s="1" t="str">
        <f t="shared" si="516"/>
        <v>WOMAN</v>
      </c>
      <c r="AK757" s="1" t="str">
        <f t="shared" si="505"/>
        <v>PA</v>
      </c>
      <c r="AP757" s="1" t="str">
        <f t="shared" si="506"/>
        <v>False</v>
      </c>
      <c r="AR757" s="1" t="str">
        <f t="shared" si="524"/>
        <v>DECOR</v>
      </c>
      <c r="AY757" s="1" t="str">
        <f t="shared" si="507"/>
        <v>PF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 t="str">
        <f t="shared" si="525"/>
        <v>R GOMMA CANVAS</v>
      </c>
      <c r="BF757" s="1" t="str">
        <f t="shared" si="508"/>
        <v>Bonis SpA</v>
      </c>
    </row>
    <row r="758" spans="2:58" x14ac:dyDescent="0.25">
      <c r="B758" s="1">
        <v>2494</v>
      </c>
      <c r="C758" s="1" t="str">
        <f t="shared" si="520"/>
        <v>DECOR4237S7/C1</v>
      </c>
      <c r="E758" s="1" t="str">
        <f>"37"</f>
        <v>37</v>
      </c>
      <c r="F758" s="1" t="str">
        <f t="shared" si="495"/>
        <v>BONIS SPA</v>
      </c>
      <c r="G758" s="1" t="str">
        <f t="shared" si="517"/>
        <v>STOCK SCAFFALE MP</v>
      </c>
      <c r="H758" s="1" t="str">
        <f t="shared" si="515"/>
        <v>GREY</v>
      </c>
      <c r="K758" s="1">
        <v>2</v>
      </c>
      <c r="L758" s="1" t="str">
        <f t="shared" si="497"/>
        <v>01</v>
      </c>
      <c r="M758" s="1" t="str">
        <f t="shared" si="518"/>
        <v>408</v>
      </c>
      <c r="N758" s="1" t="str">
        <f t="shared" si="521"/>
        <v>013</v>
      </c>
      <c r="O758" s="1" t="str">
        <f t="shared" si="498"/>
        <v>00</v>
      </c>
      <c r="P758" s="1" t="str">
        <f t="shared" si="499"/>
        <v>S</v>
      </c>
      <c r="Q758" s="1" t="str">
        <f t="shared" si="500"/>
        <v>P</v>
      </c>
      <c r="R758" s="1" t="str">
        <f t="shared" si="501"/>
        <v>01</v>
      </c>
      <c r="S758" s="1" t="str">
        <f t="shared" si="519"/>
        <v>04</v>
      </c>
      <c r="T758" s="1" t="str">
        <f t="shared" si="502"/>
        <v>False</v>
      </c>
      <c r="U758" s="1" t="str">
        <f t="shared" si="503"/>
        <v>True</v>
      </c>
      <c r="V758" s="1" t="str">
        <f>"U0032705"</f>
        <v>U0032705</v>
      </c>
      <c r="W758" s="1">
        <v>1</v>
      </c>
      <c r="Y758" s="1">
        <v>0</v>
      </c>
      <c r="Z758" s="1">
        <v>0</v>
      </c>
      <c r="AB758" s="1" t="str">
        <f t="shared" si="522"/>
        <v>SMU</v>
      </c>
      <c r="AI758" s="1" t="str">
        <f t="shared" si="523"/>
        <v>F11</v>
      </c>
      <c r="AJ758" s="1" t="str">
        <f t="shared" si="516"/>
        <v>WOMAN</v>
      </c>
      <c r="AK758" s="1" t="str">
        <f t="shared" si="505"/>
        <v>PA</v>
      </c>
      <c r="AP758" s="1" t="str">
        <f t="shared" si="506"/>
        <v>False</v>
      </c>
      <c r="AR758" s="1" t="str">
        <f t="shared" si="524"/>
        <v>DECOR</v>
      </c>
      <c r="AY758" s="1" t="str">
        <f t="shared" si="507"/>
        <v>PF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 t="str">
        <f t="shared" si="525"/>
        <v>R GOMMA CANVAS</v>
      </c>
      <c r="BF758" s="1" t="str">
        <f t="shared" si="508"/>
        <v>Bonis SpA</v>
      </c>
    </row>
    <row r="759" spans="2:58" x14ac:dyDescent="0.25">
      <c r="B759" s="1">
        <v>2494</v>
      </c>
      <c r="C759" s="1" t="str">
        <f t="shared" si="520"/>
        <v>DECOR4237S7/C1</v>
      </c>
      <c r="E759" s="1" t="str">
        <f>"40"</f>
        <v>40</v>
      </c>
      <c r="F759" s="1" t="str">
        <f t="shared" si="495"/>
        <v>BONIS SPA</v>
      </c>
      <c r="G759" s="1" t="str">
        <f t="shared" si="517"/>
        <v>STOCK SCAFFALE MP</v>
      </c>
      <c r="H759" s="1" t="str">
        <f t="shared" si="515"/>
        <v>GREY</v>
      </c>
      <c r="K759" s="1">
        <v>1</v>
      </c>
      <c r="L759" s="1" t="str">
        <f t="shared" si="497"/>
        <v>01</v>
      </c>
      <c r="M759" s="1" t="str">
        <f t="shared" si="518"/>
        <v>408</v>
      </c>
      <c r="N759" s="1" t="str">
        <f t="shared" si="521"/>
        <v>013</v>
      </c>
      <c r="O759" s="1" t="str">
        <f t="shared" si="498"/>
        <v>00</v>
      </c>
      <c r="P759" s="1" t="str">
        <f t="shared" si="499"/>
        <v>S</v>
      </c>
      <c r="Q759" s="1" t="str">
        <f t="shared" si="500"/>
        <v>P</v>
      </c>
      <c r="R759" s="1" t="str">
        <f t="shared" si="501"/>
        <v>01</v>
      </c>
      <c r="S759" s="1" t="str">
        <f t="shared" si="519"/>
        <v>04</v>
      </c>
      <c r="T759" s="1" t="str">
        <f t="shared" si="502"/>
        <v>False</v>
      </c>
      <c r="U759" s="1" t="str">
        <f t="shared" si="503"/>
        <v>True</v>
      </c>
      <c r="V759" s="1" t="str">
        <f>"U0032705"</f>
        <v>U0032705</v>
      </c>
      <c r="W759" s="1">
        <v>1</v>
      </c>
      <c r="Y759" s="1">
        <v>0</v>
      </c>
      <c r="Z759" s="1">
        <v>0</v>
      </c>
      <c r="AB759" s="1" t="str">
        <f t="shared" si="522"/>
        <v>SMU</v>
      </c>
      <c r="AI759" s="1" t="str">
        <f t="shared" si="523"/>
        <v>F11</v>
      </c>
      <c r="AJ759" s="1" t="str">
        <f t="shared" si="516"/>
        <v>WOMAN</v>
      </c>
      <c r="AK759" s="1" t="str">
        <f t="shared" si="505"/>
        <v>PA</v>
      </c>
      <c r="AP759" s="1" t="str">
        <f t="shared" si="506"/>
        <v>False</v>
      </c>
      <c r="AR759" s="1" t="str">
        <f t="shared" si="524"/>
        <v>DECOR</v>
      </c>
      <c r="AY759" s="1" t="str">
        <f t="shared" si="507"/>
        <v>PF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 t="str">
        <f t="shared" si="525"/>
        <v>R GOMMA CANVAS</v>
      </c>
      <c r="BF759" s="1" t="str">
        <f t="shared" si="508"/>
        <v>Bonis SpA</v>
      </c>
    </row>
    <row r="760" spans="2:58" x14ac:dyDescent="0.25">
      <c r="B760" s="1">
        <v>2494</v>
      </c>
      <c r="C760" s="1" t="str">
        <f t="shared" si="520"/>
        <v>DECOR4237S7/C1</v>
      </c>
      <c r="E760" s="1" t="str">
        <f>"41"</f>
        <v>41</v>
      </c>
      <c r="F760" s="1" t="str">
        <f t="shared" si="495"/>
        <v>BONIS SPA</v>
      </c>
      <c r="G760" s="1" t="str">
        <f t="shared" si="517"/>
        <v>STOCK SCAFFALE MP</v>
      </c>
      <c r="H760" s="1" t="str">
        <f t="shared" si="515"/>
        <v>GREY</v>
      </c>
      <c r="K760" s="1">
        <v>1</v>
      </c>
      <c r="L760" s="1" t="str">
        <f t="shared" si="497"/>
        <v>01</v>
      </c>
      <c r="M760" s="1" t="str">
        <f t="shared" si="518"/>
        <v>408</v>
      </c>
      <c r="N760" s="1" t="str">
        <f t="shared" si="521"/>
        <v>013</v>
      </c>
      <c r="O760" s="1" t="str">
        <f t="shared" si="498"/>
        <v>00</v>
      </c>
      <c r="P760" s="1" t="str">
        <f t="shared" si="499"/>
        <v>S</v>
      </c>
      <c r="Q760" s="1" t="str">
        <f t="shared" si="500"/>
        <v>P</v>
      </c>
      <c r="R760" s="1" t="str">
        <f t="shared" si="501"/>
        <v>01</v>
      </c>
      <c r="S760" s="1" t="str">
        <f t="shared" si="519"/>
        <v>04</v>
      </c>
      <c r="T760" s="1" t="str">
        <f t="shared" si="502"/>
        <v>False</v>
      </c>
      <c r="U760" s="1" t="str">
        <f t="shared" si="503"/>
        <v>True</v>
      </c>
      <c r="V760" s="1" t="str">
        <f>"U0032705"</f>
        <v>U0032705</v>
      </c>
      <c r="W760" s="1">
        <v>1</v>
      </c>
      <c r="Y760" s="1">
        <v>0</v>
      </c>
      <c r="Z760" s="1">
        <v>0</v>
      </c>
      <c r="AB760" s="1" t="str">
        <f t="shared" si="522"/>
        <v>SMU</v>
      </c>
      <c r="AI760" s="1" t="str">
        <f t="shared" si="523"/>
        <v>F11</v>
      </c>
      <c r="AJ760" s="1" t="str">
        <f t="shared" si="516"/>
        <v>WOMAN</v>
      </c>
      <c r="AK760" s="1" t="str">
        <f t="shared" si="505"/>
        <v>PA</v>
      </c>
      <c r="AP760" s="1" t="str">
        <f t="shared" si="506"/>
        <v>False</v>
      </c>
      <c r="AR760" s="1" t="str">
        <f t="shared" si="524"/>
        <v>DECOR</v>
      </c>
      <c r="AY760" s="1" t="str">
        <f t="shared" si="507"/>
        <v>PF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 t="str">
        <f t="shared" si="525"/>
        <v>R GOMMA CANVAS</v>
      </c>
      <c r="BF760" s="1" t="str">
        <f t="shared" si="508"/>
        <v>Bonis SpA</v>
      </c>
    </row>
    <row r="761" spans="2:58" x14ac:dyDescent="0.25">
      <c r="B761" s="1">
        <v>2494</v>
      </c>
      <c r="C761" s="1" t="str">
        <f t="shared" si="520"/>
        <v>DECOR4237S7/C1</v>
      </c>
      <c r="E761" s="1" t="str">
        <f>"40"</f>
        <v>40</v>
      </c>
      <c r="F761" s="1" t="str">
        <f t="shared" si="495"/>
        <v>BONIS SPA</v>
      </c>
      <c r="G761" s="1" t="str">
        <f t="shared" si="517"/>
        <v>STOCK SCAFFALE MP</v>
      </c>
      <c r="H761" s="1" t="str">
        <f t="shared" ref="H761:H798" si="526">"WHI"</f>
        <v>WHI</v>
      </c>
      <c r="K761" s="1">
        <v>2</v>
      </c>
      <c r="L761" s="1" t="str">
        <f t="shared" si="497"/>
        <v>01</v>
      </c>
      <c r="M761" s="1" t="str">
        <f t="shared" si="518"/>
        <v>408</v>
      </c>
      <c r="N761" s="1" t="str">
        <f t="shared" si="521"/>
        <v>013</v>
      </c>
      <c r="O761" s="1" t="str">
        <f t="shared" si="498"/>
        <v>00</v>
      </c>
      <c r="P761" s="1" t="str">
        <f t="shared" si="499"/>
        <v>S</v>
      </c>
      <c r="Q761" s="1" t="str">
        <f t="shared" si="500"/>
        <v>P</v>
      </c>
      <c r="R761" s="1" t="str">
        <f t="shared" si="501"/>
        <v>01</v>
      </c>
      <c r="S761" s="1" t="str">
        <f t="shared" si="519"/>
        <v>04</v>
      </c>
      <c r="T761" s="1" t="str">
        <f t="shared" si="502"/>
        <v>False</v>
      </c>
      <c r="U761" s="1" t="str">
        <f t="shared" si="503"/>
        <v>True</v>
      </c>
      <c r="V761" s="1" t="str">
        <f>"U0032704"</f>
        <v>U0032704</v>
      </c>
      <c r="W761" s="1">
        <v>1</v>
      </c>
      <c r="Y761" s="1">
        <v>0</v>
      </c>
      <c r="Z761" s="1">
        <v>0</v>
      </c>
      <c r="AB761" s="1" t="str">
        <f t="shared" si="522"/>
        <v>SMU</v>
      </c>
      <c r="AI761" s="1" t="str">
        <f t="shared" si="523"/>
        <v>F11</v>
      </c>
      <c r="AJ761" s="1" t="str">
        <f t="shared" si="516"/>
        <v>WOMAN</v>
      </c>
      <c r="AK761" s="1" t="str">
        <f t="shared" si="505"/>
        <v>PA</v>
      </c>
      <c r="AP761" s="1" t="str">
        <f t="shared" si="506"/>
        <v>False</v>
      </c>
      <c r="AR761" s="1" t="str">
        <f t="shared" si="524"/>
        <v>DECOR</v>
      </c>
      <c r="AY761" s="1" t="str">
        <f t="shared" si="507"/>
        <v>PF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 t="str">
        <f t="shared" si="525"/>
        <v>R GOMMA CANVAS</v>
      </c>
      <c r="BF761" s="1" t="str">
        <f t="shared" si="508"/>
        <v>Bonis SpA</v>
      </c>
    </row>
    <row r="762" spans="2:58" x14ac:dyDescent="0.25">
      <c r="B762" s="1">
        <v>2494</v>
      </c>
      <c r="C762" s="1" t="str">
        <f t="shared" si="520"/>
        <v>DECOR4237S7/C1</v>
      </c>
      <c r="E762" s="1" t="str">
        <f>"41"</f>
        <v>41</v>
      </c>
      <c r="F762" s="1" t="str">
        <f t="shared" si="495"/>
        <v>BONIS SPA</v>
      </c>
      <c r="G762" s="1" t="str">
        <f t="shared" si="517"/>
        <v>STOCK SCAFFALE MP</v>
      </c>
      <c r="H762" s="1" t="str">
        <f t="shared" si="526"/>
        <v>WHI</v>
      </c>
      <c r="K762" s="1">
        <v>1</v>
      </c>
      <c r="L762" s="1" t="str">
        <f t="shared" si="497"/>
        <v>01</v>
      </c>
      <c r="M762" s="1" t="str">
        <f t="shared" si="518"/>
        <v>408</v>
      </c>
      <c r="N762" s="1" t="str">
        <f t="shared" si="521"/>
        <v>013</v>
      </c>
      <c r="O762" s="1" t="str">
        <f t="shared" si="498"/>
        <v>00</v>
      </c>
      <c r="P762" s="1" t="str">
        <f t="shared" si="499"/>
        <v>S</v>
      </c>
      <c r="Q762" s="1" t="str">
        <f t="shared" si="500"/>
        <v>P</v>
      </c>
      <c r="R762" s="1" t="str">
        <f t="shared" si="501"/>
        <v>01</v>
      </c>
      <c r="S762" s="1" t="str">
        <f t="shared" si="519"/>
        <v>04</v>
      </c>
      <c r="T762" s="1" t="str">
        <f t="shared" si="502"/>
        <v>False</v>
      </c>
      <c r="U762" s="1" t="str">
        <f t="shared" si="503"/>
        <v>True</v>
      </c>
      <c r="V762" s="1" t="str">
        <f>"U0032704"</f>
        <v>U0032704</v>
      </c>
      <c r="W762" s="1">
        <v>1</v>
      </c>
      <c r="Y762" s="1">
        <v>0</v>
      </c>
      <c r="Z762" s="1">
        <v>0</v>
      </c>
      <c r="AB762" s="1" t="str">
        <f t="shared" si="522"/>
        <v>SMU</v>
      </c>
      <c r="AI762" s="1" t="str">
        <f t="shared" si="523"/>
        <v>F11</v>
      </c>
      <c r="AJ762" s="1" t="str">
        <f t="shared" si="516"/>
        <v>WOMAN</v>
      </c>
      <c r="AK762" s="1" t="str">
        <f t="shared" si="505"/>
        <v>PA</v>
      </c>
      <c r="AP762" s="1" t="str">
        <f t="shared" si="506"/>
        <v>False</v>
      </c>
      <c r="AR762" s="1" t="str">
        <f t="shared" si="524"/>
        <v>DECOR</v>
      </c>
      <c r="AY762" s="1" t="str">
        <f t="shared" si="507"/>
        <v>PF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 t="str">
        <f t="shared" si="525"/>
        <v>R GOMMA CANVAS</v>
      </c>
      <c r="BF762" s="1" t="str">
        <f t="shared" si="508"/>
        <v>Bonis SpA</v>
      </c>
    </row>
    <row r="763" spans="2:58" x14ac:dyDescent="0.25">
      <c r="B763" s="1">
        <v>2494</v>
      </c>
      <c r="C763" s="1" t="str">
        <f t="shared" si="520"/>
        <v>DECOR4237S7/C1</v>
      </c>
      <c r="E763" s="1" t="str">
        <f>"37"</f>
        <v>37</v>
      </c>
      <c r="F763" s="1" t="str">
        <f t="shared" si="495"/>
        <v>BONIS SPA</v>
      </c>
      <c r="G763" s="1" t="str">
        <f t="shared" si="517"/>
        <v>STOCK SCAFFALE MP</v>
      </c>
      <c r="H763" s="1" t="str">
        <f t="shared" si="526"/>
        <v>WHI</v>
      </c>
      <c r="K763" s="1">
        <v>3</v>
      </c>
      <c r="L763" s="1" t="str">
        <f t="shared" si="497"/>
        <v>01</v>
      </c>
      <c r="M763" s="1" t="str">
        <f t="shared" si="518"/>
        <v>408</v>
      </c>
      <c r="N763" s="1" t="str">
        <f t="shared" si="521"/>
        <v>013</v>
      </c>
      <c r="O763" s="1" t="str">
        <f t="shared" si="498"/>
        <v>00</v>
      </c>
      <c r="P763" s="1" t="str">
        <f t="shared" si="499"/>
        <v>S</v>
      </c>
      <c r="Q763" s="1" t="str">
        <f t="shared" si="500"/>
        <v>P</v>
      </c>
      <c r="R763" s="1" t="str">
        <f t="shared" si="501"/>
        <v>01</v>
      </c>
      <c r="S763" s="1" t="str">
        <f t="shared" si="519"/>
        <v>04</v>
      </c>
      <c r="T763" s="1" t="str">
        <f t="shared" si="502"/>
        <v>False</v>
      </c>
      <c r="U763" s="1" t="str">
        <f t="shared" si="503"/>
        <v>True</v>
      </c>
      <c r="V763" s="1" t="str">
        <f>"U0032704"</f>
        <v>U0032704</v>
      </c>
      <c r="W763" s="1">
        <v>1</v>
      </c>
      <c r="Y763" s="1">
        <v>0</v>
      </c>
      <c r="Z763" s="1">
        <v>0</v>
      </c>
      <c r="AB763" s="1" t="str">
        <f t="shared" si="522"/>
        <v>SMU</v>
      </c>
      <c r="AI763" s="1" t="str">
        <f t="shared" si="523"/>
        <v>F11</v>
      </c>
      <c r="AJ763" s="1" t="str">
        <f t="shared" si="516"/>
        <v>WOMAN</v>
      </c>
      <c r="AK763" s="1" t="str">
        <f t="shared" si="505"/>
        <v>PA</v>
      </c>
      <c r="AP763" s="1" t="str">
        <f t="shared" si="506"/>
        <v>False</v>
      </c>
      <c r="AR763" s="1" t="str">
        <f t="shared" si="524"/>
        <v>DECOR</v>
      </c>
      <c r="AY763" s="1" t="str">
        <f t="shared" si="507"/>
        <v>PF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 t="str">
        <f t="shared" si="525"/>
        <v>R GOMMA CANVAS</v>
      </c>
      <c r="BF763" s="1" t="str">
        <f t="shared" si="508"/>
        <v>Bonis SpA</v>
      </c>
    </row>
    <row r="764" spans="2:58" x14ac:dyDescent="0.25">
      <c r="B764" s="1">
        <v>2494</v>
      </c>
      <c r="C764" s="1" t="str">
        <f t="shared" si="520"/>
        <v>DECOR4237S7/C1</v>
      </c>
      <c r="E764" s="1" t="str">
        <f>"38"</f>
        <v>38</v>
      </c>
      <c r="F764" s="1" t="str">
        <f t="shared" si="495"/>
        <v>BONIS SPA</v>
      </c>
      <c r="G764" s="1" t="str">
        <f t="shared" si="517"/>
        <v>STOCK SCAFFALE MP</v>
      </c>
      <c r="H764" s="1" t="str">
        <f t="shared" si="526"/>
        <v>WHI</v>
      </c>
      <c r="K764" s="1">
        <v>3</v>
      </c>
      <c r="L764" s="1" t="str">
        <f t="shared" si="497"/>
        <v>01</v>
      </c>
      <c r="M764" s="1" t="str">
        <f t="shared" si="518"/>
        <v>408</v>
      </c>
      <c r="N764" s="1" t="str">
        <f t="shared" si="521"/>
        <v>013</v>
      </c>
      <c r="O764" s="1" t="str">
        <f t="shared" si="498"/>
        <v>00</v>
      </c>
      <c r="P764" s="1" t="str">
        <f t="shared" si="499"/>
        <v>S</v>
      </c>
      <c r="Q764" s="1" t="str">
        <f t="shared" si="500"/>
        <v>P</v>
      </c>
      <c r="R764" s="1" t="str">
        <f t="shared" si="501"/>
        <v>01</v>
      </c>
      <c r="S764" s="1" t="str">
        <f t="shared" si="519"/>
        <v>04</v>
      </c>
      <c r="T764" s="1" t="str">
        <f t="shared" si="502"/>
        <v>False</v>
      </c>
      <c r="U764" s="1" t="str">
        <f t="shared" si="503"/>
        <v>True</v>
      </c>
      <c r="V764" s="1" t="str">
        <f>"U0032704"</f>
        <v>U0032704</v>
      </c>
      <c r="W764" s="1">
        <v>1</v>
      </c>
      <c r="Y764" s="1">
        <v>0</v>
      </c>
      <c r="Z764" s="1">
        <v>0</v>
      </c>
      <c r="AB764" s="1" t="str">
        <f t="shared" si="522"/>
        <v>SMU</v>
      </c>
      <c r="AI764" s="1" t="str">
        <f t="shared" si="523"/>
        <v>F11</v>
      </c>
      <c r="AJ764" s="1" t="str">
        <f t="shared" si="516"/>
        <v>WOMAN</v>
      </c>
      <c r="AK764" s="1" t="str">
        <f t="shared" si="505"/>
        <v>PA</v>
      </c>
      <c r="AP764" s="1" t="str">
        <f t="shared" si="506"/>
        <v>False</v>
      </c>
      <c r="AR764" s="1" t="str">
        <f t="shared" si="524"/>
        <v>DECOR</v>
      </c>
      <c r="AY764" s="1" t="str">
        <f t="shared" si="507"/>
        <v>PF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 t="str">
        <f t="shared" si="525"/>
        <v>R GOMMA CANVAS</v>
      </c>
      <c r="BF764" s="1" t="str">
        <f t="shared" si="508"/>
        <v>Bonis SpA</v>
      </c>
    </row>
    <row r="765" spans="2:58" x14ac:dyDescent="0.25">
      <c r="B765" s="1">
        <v>2494</v>
      </c>
      <c r="C765" s="1" t="str">
        <f t="shared" si="520"/>
        <v>DECOR4237S7/C1</v>
      </c>
      <c r="E765" s="1" t="str">
        <f>"39"</f>
        <v>39</v>
      </c>
      <c r="F765" s="1" t="str">
        <f t="shared" si="495"/>
        <v>BONIS SPA</v>
      </c>
      <c r="G765" s="1" t="str">
        <f t="shared" si="517"/>
        <v>STOCK SCAFFALE MP</v>
      </c>
      <c r="H765" s="1" t="str">
        <f t="shared" si="526"/>
        <v>WHI</v>
      </c>
      <c r="K765" s="1">
        <v>3</v>
      </c>
      <c r="L765" s="1" t="str">
        <f t="shared" si="497"/>
        <v>01</v>
      </c>
      <c r="M765" s="1" t="str">
        <f t="shared" si="518"/>
        <v>408</v>
      </c>
      <c r="N765" s="1" t="str">
        <f t="shared" si="521"/>
        <v>013</v>
      </c>
      <c r="O765" s="1" t="str">
        <f t="shared" si="498"/>
        <v>00</v>
      </c>
      <c r="P765" s="1" t="str">
        <f t="shared" si="499"/>
        <v>S</v>
      </c>
      <c r="Q765" s="1" t="str">
        <f t="shared" si="500"/>
        <v>P</v>
      </c>
      <c r="R765" s="1" t="str">
        <f t="shared" si="501"/>
        <v>01</v>
      </c>
      <c r="S765" s="1" t="str">
        <f t="shared" si="519"/>
        <v>04</v>
      </c>
      <c r="T765" s="1" t="str">
        <f t="shared" si="502"/>
        <v>False</v>
      </c>
      <c r="U765" s="1" t="str">
        <f t="shared" si="503"/>
        <v>True</v>
      </c>
      <c r="V765" s="1" t="str">
        <f>"U0032704"</f>
        <v>U0032704</v>
      </c>
      <c r="W765" s="1">
        <v>1</v>
      </c>
      <c r="Y765" s="1">
        <v>0</v>
      </c>
      <c r="Z765" s="1">
        <v>0</v>
      </c>
      <c r="AB765" s="1" t="str">
        <f t="shared" si="522"/>
        <v>SMU</v>
      </c>
      <c r="AI765" s="1" t="str">
        <f t="shared" si="523"/>
        <v>F11</v>
      </c>
      <c r="AJ765" s="1" t="str">
        <f t="shared" si="516"/>
        <v>WOMAN</v>
      </c>
      <c r="AK765" s="1" t="str">
        <f t="shared" si="505"/>
        <v>PA</v>
      </c>
      <c r="AP765" s="1" t="str">
        <f t="shared" si="506"/>
        <v>False</v>
      </c>
      <c r="AR765" s="1" t="str">
        <f t="shared" si="524"/>
        <v>DECOR</v>
      </c>
      <c r="AY765" s="1" t="str">
        <f t="shared" si="507"/>
        <v>PF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 t="str">
        <f t="shared" si="525"/>
        <v>R GOMMA CANVAS</v>
      </c>
      <c r="BF765" s="1" t="str">
        <f t="shared" si="508"/>
        <v>Bonis SpA</v>
      </c>
    </row>
    <row r="766" spans="2:58" x14ac:dyDescent="0.25">
      <c r="B766" s="1">
        <v>2494</v>
      </c>
      <c r="C766" s="1" t="str">
        <f t="shared" si="520"/>
        <v>DECOR4237S7/C1</v>
      </c>
      <c r="E766" s="1" t="str">
        <f>"37"</f>
        <v>37</v>
      </c>
      <c r="F766" s="1" t="str">
        <f t="shared" si="495"/>
        <v>BONIS SPA</v>
      </c>
      <c r="G766" s="1" t="str">
        <f t="shared" si="517"/>
        <v>STOCK SCAFFALE MP</v>
      </c>
      <c r="H766" s="1" t="str">
        <f t="shared" si="526"/>
        <v>WHI</v>
      </c>
      <c r="K766" s="1">
        <v>2</v>
      </c>
      <c r="L766" s="1" t="str">
        <f t="shared" si="497"/>
        <v>01</v>
      </c>
      <c r="M766" s="1" t="str">
        <f t="shared" si="518"/>
        <v>408</v>
      </c>
      <c r="N766" s="1" t="str">
        <f t="shared" si="521"/>
        <v>013</v>
      </c>
      <c r="O766" s="1" t="str">
        <f t="shared" si="498"/>
        <v>00</v>
      </c>
      <c r="P766" s="1" t="str">
        <f t="shared" si="499"/>
        <v>S</v>
      </c>
      <c r="Q766" s="1" t="str">
        <f t="shared" si="500"/>
        <v>P</v>
      </c>
      <c r="R766" s="1" t="str">
        <f t="shared" si="501"/>
        <v>01</v>
      </c>
      <c r="S766" s="1" t="str">
        <f t="shared" si="519"/>
        <v>04</v>
      </c>
      <c r="T766" s="1" t="str">
        <f t="shared" si="502"/>
        <v>False</v>
      </c>
      <c r="U766" s="1" t="str">
        <f t="shared" si="503"/>
        <v>True</v>
      </c>
      <c r="V766" s="1" t="str">
        <f>"U0032703"</f>
        <v>U0032703</v>
      </c>
      <c r="W766" s="1">
        <v>1</v>
      </c>
      <c r="Y766" s="1">
        <v>0</v>
      </c>
      <c r="Z766" s="1">
        <v>0</v>
      </c>
      <c r="AB766" s="1" t="str">
        <f t="shared" si="522"/>
        <v>SMU</v>
      </c>
      <c r="AI766" s="1" t="str">
        <f t="shared" si="523"/>
        <v>F11</v>
      </c>
      <c r="AJ766" s="1" t="str">
        <f t="shared" si="516"/>
        <v>WOMAN</v>
      </c>
      <c r="AK766" s="1" t="str">
        <f t="shared" si="505"/>
        <v>PA</v>
      </c>
      <c r="AP766" s="1" t="str">
        <f t="shared" si="506"/>
        <v>False</v>
      </c>
      <c r="AR766" s="1" t="str">
        <f t="shared" si="524"/>
        <v>DECOR</v>
      </c>
      <c r="AY766" s="1" t="str">
        <f t="shared" si="507"/>
        <v>PF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 t="str">
        <f t="shared" si="525"/>
        <v>R GOMMA CANVAS</v>
      </c>
      <c r="BF766" s="1" t="str">
        <f t="shared" si="508"/>
        <v>Bonis SpA</v>
      </c>
    </row>
    <row r="767" spans="2:58" x14ac:dyDescent="0.25">
      <c r="B767" s="1">
        <v>2494</v>
      </c>
      <c r="C767" s="1" t="str">
        <f t="shared" si="520"/>
        <v>DECOR4237S7/C1</v>
      </c>
      <c r="E767" s="1" t="str">
        <f>"40"</f>
        <v>40</v>
      </c>
      <c r="F767" s="1" t="str">
        <f t="shared" si="495"/>
        <v>BONIS SPA</v>
      </c>
      <c r="G767" s="1" t="str">
        <f t="shared" si="517"/>
        <v>STOCK SCAFFALE MP</v>
      </c>
      <c r="H767" s="1" t="str">
        <f t="shared" si="526"/>
        <v>WHI</v>
      </c>
      <c r="K767" s="1">
        <v>2</v>
      </c>
      <c r="L767" s="1" t="str">
        <f t="shared" si="497"/>
        <v>01</v>
      </c>
      <c r="M767" s="1" t="str">
        <f t="shared" si="518"/>
        <v>408</v>
      </c>
      <c r="N767" s="1" t="str">
        <f t="shared" si="521"/>
        <v>013</v>
      </c>
      <c r="O767" s="1" t="str">
        <f t="shared" si="498"/>
        <v>00</v>
      </c>
      <c r="P767" s="1" t="str">
        <f t="shared" si="499"/>
        <v>S</v>
      </c>
      <c r="Q767" s="1" t="str">
        <f t="shared" si="500"/>
        <v>P</v>
      </c>
      <c r="R767" s="1" t="str">
        <f t="shared" si="501"/>
        <v>01</v>
      </c>
      <c r="S767" s="1" t="str">
        <f t="shared" si="519"/>
        <v>04</v>
      </c>
      <c r="T767" s="1" t="str">
        <f t="shared" si="502"/>
        <v>False</v>
      </c>
      <c r="U767" s="1" t="str">
        <f t="shared" si="503"/>
        <v>True</v>
      </c>
      <c r="V767" s="1" t="str">
        <f>"U0032703"</f>
        <v>U0032703</v>
      </c>
      <c r="W767" s="1">
        <v>1</v>
      </c>
      <c r="Y767" s="1">
        <v>0</v>
      </c>
      <c r="Z767" s="1">
        <v>0</v>
      </c>
      <c r="AB767" s="1" t="str">
        <f t="shared" si="522"/>
        <v>SMU</v>
      </c>
      <c r="AI767" s="1" t="str">
        <f t="shared" si="523"/>
        <v>F11</v>
      </c>
      <c r="AJ767" s="1" t="str">
        <f t="shared" si="516"/>
        <v>WOMAN</v>
      </c>
      <c r="AK767" s="1" t="str">
        <f t="shared" si="505"/>
        <v>PA</v>
      </c>
      <c r="AP767" s="1" t="str">
        <f t="shared" si="506"/>
        <v>False</v>
      </c>
      <c r="AR767" s="1" t="str">
        <f t="shared" si="524"/>
        <v>DECOR</v>
      </c>
      <c r="AY767" s="1" t="str">
        <f t="shared" si="507"/>
        <v>PF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 t="str">
        <f t="shared" si="525"/>
        <v>R GOMMA CANVAS</v>
      </c>
      <c r="BF767" s="1" t="str">
        <f t="shared" si="508"/>
        <v>Bonis SpA</v>
      </c>
    </row>
    <row r="768" spans="2:58" x14ac:dyDescent="0.25">
      <c r="B768" s="1">
        <v>2494</v>
      </c>
      <c r="C768" s="1" t="str">
        <f t="shared" si="520"/>
        <v>DECOR4237S7/C1</v>
      </c>
      <c r="E768" s="1" t="str">
        <f>"41"</f>
        <v>41</v>
      </c>
      <c r="F768" s="1" t="str">
        <f t="shared" si="495"/>
        <v>BONIS SPA</v>
      </c>
      <c r="G768" s="1" t="str">
        <f t="shared" si="517"/>
        <v>STOCK SCAFFALE MP</v>
      </c>
      <c r="H768" s="1" t="str">
        <f t="shared" si="526"/>
        <v>WHI</v>
      </c>
      <c r="K768" s="1">
        <v>1</v>
      </c>
      <c r="L768" s="1" t="str">
        <f t="shared" si="497"/>
        <v>01</v>
      </c>
      <c r="M768" s="1" t="str">
        <f t="shared" si="518"/>
        <v>408</v>
      </c>
      <c r="N768" s="1" t="str">
        <f t="shared" si="521"/>
        <v>013</v>
      </c>
      <c r="O768" s="1" t="str">
        <f t="shared" si="498"/>
        <v>00</v>
      </c>
      <c r="P768" s="1" t="str">
        <f t="shared" si="499"/>
        <v>S</v>
      </c>
      <c r="Q768" s="1" t="str">
        <f t="shared" si="500"/>
        <v>P</v>
      </c>
      <c r="R768" s="1" t="str">
        <f t="shared" si="501"/>
        <v>01</v>
      </c>
      <c r="S768" s="1" t="str">
        <f t="shared" si="519"/>
        <v>04</v>
      </c>
      <c r="T768" s="1" t="str">
        <f t="shared" si="502"/>
        <v>False</v>
      </c>
      <c r="U768" s="1" t="str">
        <f t="shared" si="503"/>
        <v>True</v>
      </c>
      <c r="V768" s="1" t="str">
        <f>"U0032703"</f>
        <v>U0032703</v>
      </c>
      <c r="W768" s="1">
        <v>1</v>
      </c>
      <c r="Y768" s="1">
        <v>0</v>
      </c>
      <c r="Z768" s="1">
        <v>0</v>
      </c>
      <c r="AB768" s="1" t="str">
        <f t="shared" si="522"/>
        <v>SMU</v>
      </c>
      <c r="AI768" s="1" t="str">
        <f t="shared" si="523"/>
        <v>F11</v>
      </c>
      <c r="AJ768" s="1" t="str">
        <f t="shared" si="516"/>
        <v>WOMAN</v>
      </c>
      <c r="AK768" s="1" t="str">
        <f t="shared" si="505"/>
        <v>PA</v>
      </c>
      <c r="AP768" s="1" t="str">
        <f t="shared" si="506"/>
        <v>False</v>
      </c>
      <c r="AR768" s="1" t="str">
        <f t="shared" si="524"/>
        <v>DECOR</v>
      </c>
      <c r="AY768" s="1" t="str">
        <f t="shared" si="507"/>
        <v>PF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 t="str">
        <f t="shared" si="525"/>
        <v>R GOMMA CANVAS</v>
      </c>
      <c r="BF768" s="1" t="str">
        <f t="shared" si="508"/>
        <v>Bonis SpA</v>
      </c>
    </row>
    <row r="769" spans="2:58" x14ac:dyDescent="0.25">
      <c r="B769" s="1">
        <v>2494</v>
      </c>
      <c r="C769" s="1" t="str">
        <f t="shared" si="520"/>
        <v>DECOR4237S7/C1</v>
      </c>
      <c r="E769" s="1" t="str">
        <f>"39"</f>
        <v>39</v>
      </c>
      <c r="F769" s="1" t="str">
        <f t="shared" si="495"/>
        <v>BONIS SPA</v>
      </c>
      <c r="G769" s="1" t="str">
        <f t="shared" si="517"/>
        <v>STOCK SCAFFALE MP</v>
      </c>
      <c r="H769" s="1" t="str">
        <f t="shared" si="526"/>
        <v>WHI</v>
      </c>
      <c r="K769" s="1">
        <v>3</v>
      </c>
      <c r="L769" s="1" t="str">
        <f t="shared" si="497"/>
        <v>01</v>
      </c>
      <c r="M769" s="1" t="str">
        <f t="shared" si="518"/>
        <v>408</v>
      </c>
      <c r="N769" s="1" t="str">
        <f t="shared" si="521"/>
        <v>013</v>
      </c>
      <c r="O769" s="1" t="str">
        <f t="shared" si="498"/>
        <v>00</v>
      </c>
      <c r="P769" s="1" t="str">
        <f t="shared" si="499"/>
        <v>S</v>
      </c>
      <c r="Q769" s="1" t="str">
        <f t="shared" si="500"/>
        <v>P</v>
      </c>
      <c r="R769" s="1" t="str">
        <f t="shared" si="501"/>
        <v>01</v>
      </c>
      <c r="S769" s="1" t="str">
        <f t="shared" si="519"/>
        <v>04</v>
      </c>
      <c r="T769" s="1" t="str">
        <f t="shared" si="502"/>
        <v>False</v>
      </c>
      <c r="U769" s="1" t="str">
        <f t="shared" si="503"/>
        <v>True</v>
      </c>
      <c r="V769" s="1" t="str">
        <f>"U0032703"</f>
        <v>U0032703</v>
      </c>
      <c r="W769" s="1">
        <v>1</v>
      </c>
      <c r="Y769" s="1">
        <v>0</v>
      </c>
      <c r="Z769" s="1">
        <v>0</v>
      </c>
      <c r="AB769" s="1" t="str">
        <f t="shared" si="522"/>
        <v>SMU</v>
      </c>
      <c r="AI769" s="1" t="str">
        <f t="shared" si="523"/>
        <v>F11</v>
      </c>
      <c r="AJ769" s="1" t="str">
        <f t="shared" si="516"/>
        <v>WOMAN</v>
      </c>
      <c r="AK769" s="1" t="str">
        <f t="shared" si="505"/>
        <v>PA</v>
      </c>
      <c r="AP769" s="1" t="str">
        <f t="shared" si="506"/>
        <v>False</v>
      </c>
      <c r="AR769" s="1" t="str">
        <f t="shared" si="524"/>
        <v>DECOR</v>
      </c>
      <c r="AY769" s="1" t="str">
        <f t="shared" si="507"/>
        <v>PF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 t="str">
        <f t="shared" si="525"/>
        <v>R GOMMA CANVAS</v>
      </c>
      <c r="BF769" s="1" t="str">
        <f t="shared" si="508"/>
        <v>Bonis SpA</v>
      </c>
    </row>
    <row r="770" spans="2:58" x14ac:dyDescent="0.25">
      <c r="B770" s="1">
        <v>2494</v>
      </c>
      <c r="C770" s="1" t="str">
        <f t="shared" si="520"/>
        <v>DECOR4237S7/C1</v>
      </c>
      <c r="E770" s="1" t="str">
        <f>"38"</f>
        <v>38</v>
      </c>
      <c r="F770" s="1" t="str">
        <f t="shared" ref="F770:F833" si="527">"BONIS SPA"</f>
        <v>BONIS SPA</v>
      </c>
      <c r="G770" s="1" t="str">
        <f t="shared" si="517"/>
        <v>STOCK SCAFFALE MP</v>
      </c>
      <c r="H770" s="1" t="str">
        <f t="shared" si="526"/>
        <v>WHI</v>
      </c>
      <c r="K770" s="1">
        <v>4</v>
      </c>
      <c r="L770" s="1" t="str">
        <f t="shared" ref="L770:L833" si="528">"01"</f>
        <v>01</v>
      </c>
      <c r="M770" s="1" t="str">
        <f t="shared" si="518"/>
        <v>408</v>
      </c>
      <c r="N770" s="1" t="str">
        <f t="shared" si="521"/>
        <v>013</v>
      </c>
      <c r="O770" s="1" t="str">
        <f t="shared" ref="O770:O833" si="529">"00"</f>
        <v>00</v>
      </c>
      <c r="P770" s="1" t="str">
        <f t="shared" ref="P770:P833" si="530">"S"</f>
        <v>S</v>
      </c>
      <c r="Q770" s="1" t="str">
        <f t="shared" ref="Q770:Q833" si="531">"P"</f>
        <v>P</v>
      </c>
      <c r="R770" s="1" t="str">
        <f t="shared" ref="R770:R833" si="532">"01"</f>
        <v>01</v>
      </c>
      <c r="S770" s="1" t="str">
        <f t="shared" si="519"/>
        <v>04</v>
      </c>
      <c r="T770" s="1" t="str">
        <f t="shared" ref="T770:T833" si="533">"False"</f>
        <v>False</v>
      </c>
      <c r="U770" s="1" t="str">
        <f t="shared" ref="U770:U833" si="534">"True"</f>
        <v>True</v>
      </c>
      <c r="V770" s="1" t="str">
        <f>"U0032703"</f>
        <v>U0032703</v>
      </c>
      <c r="W770" s="1">
        <v>1</v>
      </c>
      <c r="Y770" s="1">
        <v>0</v>
      </c>
      <c r="Z770" s="1">
        <v>0</v>
      </c>
      <c r="AB770" s="1" t="str">
        <f t="shared" si="522"/>
        <v>SMU</v>
      </c>
      <c r="AI770" s="1" t="str">
        <f t="shared" si="523"/>
        <v>F11</v>
      </c>
      <c r="AJ770" s="1" t="str">
        <f t="shared" ref="AJ770:AJ798" si="535">"WOMAN"</f>
        <v>WOMAN</v>
      </c>
      <c r="AK770" s="1" t="str">
        <f t="shared" ref="AK770:AK833" si="536">"PA"</f>
        <v>PA</v>
      </c>
      <c r="AP770" s="1" t="str">
        <f t="shared" ref="AP770:AP833" si="537">"False"</f>
        <v>False</v>
      </c>
      <c r="AR770" s="1" t="str">
        <f t="shared" si="524"/>
        <v>DECOR</v>
      </c>
      <c r="AY770" s="1" t="str">
        <f t="shared" ref="AY770:AY833" si="538">"PF"</f>
        <v>PF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 t="str">
        <f t="shared" si="525"/>
        <v>R GOMMA CANVAS</v>
      </c>
      <c r="BF770" s="1" t="str">
        <f t="shared" ref="BF770:BF833" si="539">"Bonis SpA"</f>
        <v>Bonis SpA</v>
      </c>
    </row>
    <row r="771" spans="2:58" x14ac:dyDescent="0.25">
      <c r="B771" s="1">
        <v>2494</v>
      </c>
      <c r="C771" s="1" t="str">
        <f t="shared" si="520"/>
        <v>DECOR4237S7/C1</v>
      </c>
      <c r="E771" s="1" t="str">
        <f>"39"</f>
        <v>39</v>
      </c>
      <c r="F771" s="1" t="str">
        <f t="shared" si="527"/>
        <v>BONIS SPA</v>
      </c>
      <c r="G771" s="1" t="str">
        <f t="shared" si="517"/>
        <v>STOCK SCAFFALE MP</v>
      </c>
      <c r="H771" s="1" t="str">
        <f t="shared" si="526"/>
        <v>WHI</v>
      </c>
      <c r="K771" s="1">
        <v>4</v>
      </c>
      <c r="L771" s="1" t="str">
        <f t="shared" si="528"/>
        <v>01</v>
      </c>
      <c r="M771" s="1" t="str">
        <f t="shared" si="518"/>
        <v>408</v>
      </c>
      <c r="N771" s="1" t="str">
        <f t="shared" si="521"/>
        <v>013</v>
      </c>
      <c r="O771" s="1" t="str">
        <f t="shared" si="529"/>
        <v>00</v>
      </c>
      <c r="P771" s="1" t="str">
        <f t="shared" si="530"/>
        <v>S</v>
      </c>
      <c r="Q771" s="1" t="str">
        <f t="shared" si="531"/>
        <v>P</v>
      </c>
      <c r="R771" s="1" t="str">
        <f t="shared" si="532"/>
        <v>01</v>
      </c>
      <c r="S771" s="1" t="str">
        <f t="shared" si="519"/>
        <v>04</v>
      </c>
      <c r="T771" s="1" t="str">
        <f t="shared" si="533"/>
        <v>False</v>
      </c>
      <c r="U771" s="1" t="str">
        <f t="shared" si="534"/>
        <v>True</v>
      </c>
      <c r="V771" s="1" t="str">
        <f>"U0032702"</f>
        <v>U0032702</v>
      </c>
      <c r="W771" s="1">
        <v>1</v>
      </c>
      <c r="Y771" s="1">
        <v>0</v>
      </c>
      <c r="Z771" s="1">
        <v>0</v>
      </c>
      <c r="AB771" s="1" t="str">
        <f t="shared" si="522"/>
        <v>SMU</v>
      </c>
      <c r="AI771" s="1" t="str">
        <f t="shared" si="523"/>
        <v>F11</v>
      </c>
      <c r="AJ771" s="1" t="str">
        <f t="shared" si="535"/>
        <v>WOMAN</v>
      </c>
      <c r="AK771" s="1" t="str">
        <f t="shared" si="536"/>
        <v>PA</v>
      </c>
      <c r="AP771" s="1" t="str">
        <f t="shared" si="537"/>
        <v>False</v>
      </c>
      <c r="AR771" s="1" t="str">
        <f t="shared" si="524"/>
        <v>DECOR</v>
      </c>
      <c r="AY771" s="1" t="str">
        <f t="shared" si="538"/>
        <v>PF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 t="str">
        <f t="shared" si="525"/>
        <v>R GOMMA CANVAS</v>
      </c>
      <c r="BF771" s="1" t="str">
        <f t="shared" si="539"/>
        <v>Bonis SpA</v>
      </c>
    </row>
    <row r="772" spans="2:58" x14ac:dyDescent="0.25">
      <c r="B772" s="1">
        <v>2494</v>
      </c>
      <c r="C772" s="1" t="str">
        <f t="shared" si="520"/>
        <v>DECOR4237S7/C1</v>
      </c>
      <c r="E772" s="1" t="str">
        <f>"38"</f>
        <v>38</v>
      </c>
      <c r="F772" s="1" t="str">
        <f t="shared" si="527"/>
        <v>BONIS SPA</v>
      </c>
      <c r="G772" s="1" t="str">
        <f t="shared" si="517"/>
        <v>STOCK SCAFFALE MP</v>
      </c>
      <c r="H772" s="1" t="str">
        <f t="shared" si="526"/>
        <v>WHI</v>
      </c>
      <c r="K772" s="1">
        <v>3</v>
      </c>
      <c r="L772" s="1" t="str">
        <f t="shared" si="528"/>
        <v>01</v>
      </c>
      <c r="M772" s="1" t="str">
        <f t="shared" si="518"/>
        <v>408</v>
      </c>
      <c r="N772" s="1" t="str">
        <f t="shared" si="521"/>
        <v>013</v>
      </c>
      <c r="O772" s="1" t="str">
        <f t="shared" si="529"/>
        <v>00</v>
      </c>
      <c r="P772" s="1" t="str">
        <f t="shared" si="530"/>
        <v>S</v>
      </c>
      <c r="Q772" s="1" t="str">
        <f t="shared" si="531"/>
        <v>P</v>
      </c>
      <c r="R772" s="1" t="str">
        <f t="shared" si="532"/>
        <v>01</v>
      </c>
      <c r="S772" s="1" t="str">
        <f t="shared" si="519"/>
        <v>04</v>
      </c>
      <c r="T772" s="1" t="str">
        <f t="shared" si="533"/>
        <v>False</v>
      </c>
      <c r="U772" s="1" t="str">
        <f t="shared" si="534"/>
        <v>True</v>
      </c>
      <c r="V772" s="1" t="str">
        <f>"U0032702"</f>
        <v>U0032702</v>
      </c>
      <c r="W772" s="1">
        <v>1</v>
      </c>
      <c r="Y772" s="1">
        <v>0</v>
      </c>
      <c r="Z772" s="1">
        <v>0</v>
      </c>
      <c r="AB772" s="1" t="str">
        <f t="shared" si="522"/>
        <v>SMU</v>
      </c>
      <c r="AI772" s="1" t="str">
        <f t="shared" si="523"/>
        <v>F11</v>
      </c>
      <c r="AJ772" s="1" t="str">
        <f t="shared" si="535"/>
        <v>WOMAN</v>
      </c>
      <c r="AK772" s="1" t="str">
        <f t="shared" si="536"/>
        <v>PA</v>
      </c>
      <c r="AP772" s="1" t="str">
        <f t="shared" si="537"/>
        <v>False</v>
      </c>
      <c r="AR772" s="1" t="str">
        <f t="shared" si="524"/>
        <v>DECOR</v>
      </c>
      <c r="AY772" s="1" t="str">
        <f t="shared" si="538"/>
        <v>PF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 t="str">
        <f t="shared" si="525"/>
        <v>R GOMMA CANVAS</v>
      </c>
      <c r="BF772" s="1" t="str">
        <f t="shared" si="539"/>
        <v>Bonis SpA</v>
      </c>
    </row>
    <row r="773" spans="2:58" x14ac:dyDescent="0.25">
      <c r="B773" s="1">
        <v>2494</v>
      </c>
      <c r="C773" s="1" t="str">
        <f t="shared" si="520"/>
        <v>DECOR4237S7/C1</v>
      </c>
      <c r="E773" s="1" t="str">
        <f>"40"</f>
        <v>40</v>
      </c>
      <c r="F773" s="1" t="str">
        <f t="shared" si="527"/>
        <v>BONIS SPA</v>
      </c>
      <c r="G773" s="1" t="str">
        <f t="shared" si="517"/>
        <v>STOCK SCAFFALE MP</v>
      </c>
      <c r="H773" s="1" t="str">
        <f t="shared" si="526"/>
        <v>WHI</v>
      </c>
      <c r="K773" s="1">
        <v>2</v>
      </c>
      <c r="L773" s="1" t="str">
        <f t="shared" si="528"/>
        <v>01</v>
      </c>
      <c r="M773" s="1" t="str">
        <f t="shared" si="518"/>
        <v>408</v>
      </c>
      <c r="N773" s="1" t="str">
        <f t="shared" si="521"/>
        <v>013</v>
      </c>
      <c r="O773" s="1" t="str">
        <f t="shared" si="529"/>
        <v>00</v>
      </c>
      <c r="P773" s="1" t="str">
        <f t="shared" si="530"/>
        <v>S</v>
      </c>
      <c r="Q773" s="1" t="str">
        <f t="shared" si="531"/>
        <v>P</v>
      </c>
      <c r="R773" s="1" t="str">
        <f t="shared" si="532"/>
        <v>01</v>
      </c>
      <c r="S773" s="1" t="str">
        <f t="shared" si="519"/>
        <v>04</v>
      </c>
      <c r="T773" s="1" t="str">
        <f t="shared" si="533"/>
        <v>False</v>
      </c>
      <c r="U773" s="1" t="str">
        <f t="shared" si="534"/>
        <v>True</v>
      </c>
      <c r="V773" s="1" t="str">
        <f>"U0032702"</f>
        <v>U0032702</v>
      </c>
      <c r="W773" s="1">
        <v>1</v>
      </c>
      <c r="Y773" s="1">
        <v>0</v>
      </c>
      <c r="Z773" s="1">
        <v>0</v>
      </c>
      <c r="AB773" s="1" t="str">
        <f t="shared" si="522"/>
        <v>SMU</v>
      </c>
      <c r="AI773" s="1" t="str">
        <f t="shared" si="523"/>
        <v>F11</v>
      </c>
      <c r="AJ773" s="1" t="str">
        <f t="shared" si="535"/>
        <v>WOMAN</v>
      </c>
      <c r="AK773" s="1" t="str">
        <f t="shared" si="536"/>
        <v>PA</v>
      </c>
      <c r="AP773" s="1" t="str">
        <f t="shared" si="537"/>
        <v>False</v>
      </c>
      <c r="AR773" s="1" t="str">
        <f t="shared" si="524"/>
        <v>DECOR</v>
      </c>
      <c r="AY773" s="1" t="str">
        <f t="shared" si="538"/>
        <v>PF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 t="str">
        <f t="shared" si="525"/>
        <v>R GOMMA CANVAS</v>
      </c>
      <c r="BF773" s="1" t="str">
        <f t="shared" si="539"/>
        <v>Bonis SpA</v>
      </c>
    </row>
    <row r="774" spans="2:58" x14ac:dyDescent="0.25">
      <c r="B774" s="1">
        <v>2494</v>
      </c>
      <c r="C774" s="1" t="str">
        <f t="shared" si="520"/>
        <v>DECOR4237S7/C1</v>
      </c>
      <c r="E774" s="1" t="str">
        <f>"37"</f>
        <v>37</v>
      </c>
      <c r="F774" s="1" t="str">
        <f t="shared" si="527"/>
        <v>BONIS SPA</v>
      </c>
      <c r="G774" s="1" t="str">
        <f t="shared" si="517"/>
        <v>STOCK SCAFFALE MP</v>
      </c>
      <c r="H774" s="1" t="str">
        <f t="shared" si="526"/>
        <v>WHI</v>
      </c>
      <c r="K774" s="1">
        <v>2</v>
      </c>
      <c r="L774" s="1" t="str">
        <f t="shared" si="528"/>
        <v>01</v>
      </c>
      <c r="M774" s="1" t="str">
        <f t="shared" si="518"/>
        <v>408</v>
      </c>
      <c r="N774" s="1" t="str">
        <f t="shared" si="521"/>
        <v>013</v>
      </c>
      <c r="O774" s="1" t="str">
        <f t="shared" si="529"/>
        <v>00</v>
      </c>
      <c r="P774" s="1" t="str">
        <f t="shared" si="530"/>
        <v>S</v>
      </c>
      <c r="Q774" s="1" t="str">
        <f t="shared" si="531"/>
        <v>P</v>
      </c>
      <c r="R774" s="1" t="str">
        <f t="shared" si="532"/>
        <v>01</v>
      </c>
      <c r="S774" s="1" t="str">
        <f t="shared" si="519"/>
        <v>04</v>
      </c>
      <c r="T774" s="1" t="str">
        <f t="shared" si="533"/>
        <v>False</v>
      </c>
      <c r="U774" s="1" t="str">
        <f t="shared" si="534"/>
        <v>True</v>
      </c>
      <c r="V774" s="1" t="str">
        <f>"U0032702"</f>
        <v>U0032702</v>
      </c>
      <c r="W774" s="1">
        <v>1</v>
      </c>
      <c r="Y774" s="1">
        <v>0</v>
      </c>
      <c r="Z774" s="1">
        <v>0</v>
      </c>
      <c r="AB774" s="1" t="str">
        <f t="shared" si="522"/>
        <v>SMU</v>
      </c>
      <c r="AI774" s="1" t="str">
        <f t="shared" si="523"/>
        <v>F11</v>
      </c>
      <c r="AJ774" s="1" t="str">
        <f t="shared" si="535"/>
        <v>WOMAN</v>
      </c>
      <c r="AK774" s="1" t="str">
        <f t="shared" si="536"/>
        <v>PA</v>
      </c>
      <c r="AP774" s="1" t="str">
        <f t="shared" si="537"/>
        <v>False</v>
      </c>
      <c r="AR774" s="1" t="str">
        <f t="shared" si="524"/>
        <v>DECOR</v>
      </c>
      <c r="AY774" s="1" t="str">
        <f t="shared" si="538"/>
        <v>PF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 t="str">
        <f t="shared" si="525"/>
        <v>R GOMMA CANVAS</v>
      </c>
      <c r="BF774" s="1" t="str">
        <f t="shared" si="539"/>
        <v>Bonis SpA</v>
      </c>
    </row>
    <row r="775" spans="2:58" x14ac:dyDescent="0.25">
      <c r="B775" s="1">
        <v>2494</v>
      </c>
      <c r="C775" s="1" t="str">
        <f t="shared" si="520"/>
        <v>DECOR4237S7/C1</v>
      </c>
      <c r="E775" s="1" t="str">
        <f>"41"</f>
        <v>41</v>
      </c>
      <c r="F775" s="1" t="str">
        <f t="shared" si="527"/>
        <v>BONIS SPA</v>
      </c>
      <c r="G775" s="1" t="str">
        <f t="shared" si="517"/>
        <v>STOCK SCAFFALE MP</v>
      </c>
      <c r="H775" s="1" t="str">
        <f t="shared" si="526"/>
        <v>WHI</v>
      </c>
      <c r="K775" s="1">
        <v>1</v>
      </c>
      <c r="L775" s="1" t="str">
        <f t="shared" si="528"/>
        <v>01</v>
      </c>
      <c r="M775" s="1" t="str">
        <f t="shared" si="518"/>
        <v>408</v>
      </c>
      <c r="N775" s="1" t="str">
        <f t="shared" si="521"/>
        <v>013</v>
      </c>
      <c r="O775" s="1" t="str">
        <f t="shared" si="529"/>
        <v>00</v>
      </c>
      <c r="P775" s="1" t="str">
        <f t="shared" si="530"/>
        <v>S</v>
      </c>
      <c r="Q775" s="1" t="str">
        <f t="shared" si="531"/>
        <v>P</v>
      </c>
      <c r="R775" s="1" t="str">
        <f t="shared" si="532"/>
        <v>01</v>
      </c>
      <c r="S775" s="1" t="str">
        <f t="shared" si="519"/>
        <v>04</v>
      </c>
      <c r="T775" s="1" t="str">
        <f t="shared" si="533"/>
        <v>False</v>
      </c>
      <c r="U775" s="1" t="str">
        <f t="shared" si="534"/>
        <v>True</v>
      </c>
      <c r="V775" s="1" t="str">
        <f>"U0032702"</f>
        <v>U0032702</v>
      </c>
      <c r="W775" s="1">
        <v>1</v>
      </c>
      <c r="Y775" s="1">
        <v>0</v>
      </c>
      <c r="Z775" s="1">
        <v>0</v>
      </c>
      <c r="AB775" s="1" t="str">
        <f t="shared" si="522"/>
        <v>SMU</v>
      </c>
      <c r="AI775" s="1" t="str">
        <f t="shared" si="523"/>
        <v>F11</v>
      </c>
      <c r="AJ775" s="1" t="str">
        <f t="shared" si="535"/>
        <v>WOMAN</v>
      </c>
      <c r="AK775" s="1" t="str">
        <f t="shared" si="536"/>
        <v>PA</v>
      </c>
      <c r="AP775" s="1" t="str">
        <f t="shared" si="537"/>
        <v>False</v>
      </c>
      <c r="AR775" s="1" t="str">
        <f t="shared" si="524"/>
        <v>DECOR</v>
      </c>
      <c r="AY775" s="1" t="str">
        <f t="shared" si="538"/>
        <v>PF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 t="str">
        <f t="shared" si="525"/>
        <v>R GOMMA CANVAS</v>
      </c>
      <c r="BF775" s="1" t="str">
        <f t="shared" si="539"/>
        <v>Bonis SpA</v>
      </c>
    </row>
    <row r="776" spans="2:58" x14ac:dyDescent="0.25">
      <c r="B776" s="1">
        <v>2494</v>
      </c>
      <c r="C776" s="1" t="str">
        <f t="shared" si="520"/>
        <v>DECOR4237S7/C1</v>
      </c>
      <c r="E776" s="1" t="str">
        <f>"39"</f>
        <v>39</v>
      </c>
      <c r="F776" s="1" t="str">
        <f t="shared" si="527"/>
        <v>BONIS SPA</v>
      </c>
      <c r="G776" s="1" t="str">
        <f t="shared" si="517"/>
        <v>STOCK SCAFFALE MP</v>
      </c>
      <c r="H776" s="1" t="str">
        <f t="shared" si="526"/>
        <v>WHI</v>
      </c>
      <c r="K776" s="1">
        <v>5</v>
      </c>
      <c r="L776" s="1" t="str">
        <f t="shared" si="528"/>
        <v>01</v>
      </c>
      <c r="M776" s="1" t="str">
        <f t="shared" si="518"/>
        <v>408</v>
      </c>
      <c r="N776" s="1" t="str">
        <f t="shared" si="521"/>
        <v>013</v>
      </c>
      <c r="O776" s="1" t="str">
        <f t="shared" si="529"/>
        <v>00</v>
      </c>
      <c r="P776" s="1" t="str">
        <f t="shared" si="530"/>
        <v>S</v>
      </c>
      <c r="Q776" s="1" t="str">
        <f t="shared" si="531"/>
        <v>P</v>
      </c>
      <c r="R776" s="1" t="str">
        <f t="shared" si="532"/>
        <v>01</v>
      </c>
      <c r="S776" s="1" t="str">
        <f t="shared" si="519"/>
        <v>04</v>
      </c>
      <c r="T776" s="1" t="str">
        <f t="shared" si="533"/>
        <v>False</v>
      </c>
      <c r="U776" s="1" t="str">
        <f t="shared" si="534"/>
        <v>True</v>
      </c>
      <c r="V776" s="1" t="str">
        <f>"U0032701"</f>
        <v>U0032701</v>
      </c>
      <c r="W776" s="1">
        <v>1</v>
      </c>
      <c r="Y776" s="1">
        <v>0</v>
      </c>
      <c r="Z776" s="1">
        <v>0</v>
      </c>
      <c r="AB776" s="1" t="str">
        <f t="shared" si="522"/>
        <v>SMU</v>
      </c>
      <c r="AI776" s="1" t="str">
        <f t="shared" si="523"/>
        <v>F11</v>
      </c>
      <c r="AJ776" s="1" t="str">
        <f t="shared" si="535"/>
        <v>WOMAN</v>
      </c>
      <c r="AK776" s="1" t="str">
        <f t="shared" si="536"/>
        <v>PA</v>
      </c>
      <c r="AP776" s="1" t="str">
        <f t="shared" si="537"/>
        <v>False</v>
      </c>
      <c r="AR776" s="1" t="str">
        <f t="shared" si="524"/>
        <v>DECOR</v>
      </c>
      <c r="AY776" s="1" t="str">
        <f t="shared" si="538"/>
        <v>PF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 t="str">
        <f t="shared" si="525"/>
        <v>R GOMMA CANVAS</v>
      </c>
      <c r="BF776" s="1" t="str">
        <f t="shared" si="539"/>
        <v>Bonis SpA</v>
      </c>
    </row>
    <row r="777" spans="2:58" x14ac:dyDescent="0.25">
      <c r="B777" s="1">
        <v>2494</v>
      </c>
      <c r="C777" s="1" t="str">
        <f t="shared" si="520"/>
        <v>DECOR4237S7/C1</v>
      </c>
      <c r="E777" s="1" t="str">
        <f>"38"</f>
        <v>38</v>
      </c>
      <c r="F777" s="1" t="str">
        <f t="shared" si="527"/>
        <v>BONIS SPA</v>
      </c>
      <c r="G777" s="1" t="str">
        <f t="shared" si="517"/>
        <v>STOCK SCAFFALE MP</v>
      </c>
      <c r="H777" s="1" t="str">
        <f t="shared" si="526"/>
        <v>WHI</v>
      </c>
      <c r="K777" s="1">
        <v>1</v>
      </c>
      <c r="L777" s="1" t="str">
        <f t="shared" si="528"/>
        <v>01</v>
      </c>
      <c r="M777" s="1" t="str">
        <f t="shared" si="518"/>
        <v>408</v>
      </c>
      <c r="N777" s="1" t="str">
        <f t="shared" si="521"/>
        <v>013</v>
      </c>
      <c r="O777" s="1" t="str">
        <f t="shared" si="529"/>
        <v>00</v>
      </c>
      <c r="P777" s="1" t="str">
        <f t="shared" si="530"/>
        <v>S</v>
      </c>
      <c r="Q777" s="1" t="str">
        <f t="shared" si="531"/>
        <v>P</v>
      </c>
      <c r="R777" s="1" t="str">
        <f t="shared" si="532"/>
        <v>01</v>
      </c>
      <c r="S777" s="1" t="str">
        <f t="shared" si="519"/>
        <v>04</v>
      </c>
      <c r="T777" s="1" t="str">
        <f t="shared" si="533"/>
        <v>False</v>
      </c>
      <c r="U777" s="1" t="str">
        <f t="shared" si="534"/>
        <v>True</v>
      </c>
      <c r="V777" s="1" t="str">
        <f>"U0032701"</f>
        <v>U0032701</v>
      </c>
      <c r="W777" s="1">
        <v>1</v>
      </c>
      <c r="Y777" s="1">
        <v>0</v>
      </c>
      <c r="Z777" s="1">
        <v>0</v>
      </c>
      <c r="AB777" s="1" t="str">
        <f t="shared" si="522"/>
        <v>SMU</v>
      </c>
      <c r="AI777" s="1" t="str">
        <f t="shared" si="523"/>
        <v>F11</v>
      </c>
      <c r="AJ777" s="1" t="str">
        <f t="shared" si="535"/>
        <v>WOMAN</v>
      </c>
      <c r="AK777" s="1" t="str">
        <f t="shared" si="536"/>
        <v>PA</v>
      </c>
      <c r="AP777" s="1" t="str">
        <f t="shared" si="537"/>
        <v>False</v>
      </c>
      <c r="AR777" s="1" t="str">
        <f t="shared" si="524"/>
        <v>DECOR</v>
      </c>
      <c r="AY777" s="1" t="str">
        <f t="shared" si="538"/>
        <v>PF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 t="str">
        <f t="shared" si="525"/>
        <v>R GOMMA CANVAS</v>
      </c>
      <c r="BF777" s="1" t="str">
        <f t="shared" si="539"/>
        <v>Bonis SpA</v>
      </c>
    </row>
    <row r="778" spans="2:58" x14ac:dyDescent="0.25">
      <c r="B778" s="1">
        <v>2494</v>
      </c>
      <c r="C778" s="1" t="str">
        <f t="shared" si="520"/>
        <v>DECOR4237S7/C1</v>
      </c>
      <c r="E778" s="1" t="str">
        <f>"40"</f>
        <v>40</v>
      </c>
      <c r="F778" s="1" t="str">
        <f t="shared" si="527"/>
        <v>BONIS SPA</v>
      </c>
      <c r="G778" s="1" t="str">
        <f t="shared" si="517"/>
        <v>STOCK SCAFFALE MP</v>
      </c>
      <c r="H778" s="1" t="str">
        <f t="shared" si="526"/>
        <v>WHI</v>
      </c>
      <c r="K778" s="1">
        <v>3</v>
      </c>
      <c r="L778" s="1" t="str">
        <f t="shared" si="528"/>
        <v>01</v>
      </c>
      <c r="M778" s="1" t="str">
        <f t="shared" si="518"/>
        <v>408</v>
      </c>
      <c r="N778" s="1" t="str">
        <f t="shared" si="521"/>
        <v>013</v>
      </c>
      <c r="O778" s="1" t="str">
        <f t="shared" si="529"/>
        <v>00</v>
      </c>
      <c r="P778" s="1" t="str">
        <f t="shared" si="530"/>
        <v>S</v>
      </c>
      <c r="Q778" s="1" t="str">
        <f t="shared" si="531"/>
        <v>P</v>
      </c>
      <c r="R778" s="1" t="str">
        <f t="shared" si="532"/>
        <v>01</v>
      </c>
      <c r="S778" s="1" t="str">
        <f t="shared" si="519"/>
        <v>04</v>
      </c>
      <c r="T778" s="1" t="str">
        <f t="shared" si="533"/>
        <v>False</v>
      </c>
      <c r="U778" s="1" t="str">
        <f t="shared" si="534"/>
        <v>True</v>
      </c>
      <c r="V778" s="1" t="str">
        <f>"U0032701"</f>
        <v>U0032701</v>
      </c>
      <c r="W778" s="1">
        <v>1</v>
      </c>
      <c r="Y778" s="1">
        <v>0</v>
      </c>
      <c r="Z778" s="1">
        <v>0</v>
      </c>
      <c r="AB778" s="1" t="str">
        <f t="shared" si="522"/>
        <v>SMU</v>
      </c>
      <c r="AI778" s="1" t="str">
        <f t="shared" si="523"/>
        <v>F11</v>
      </c>
      <c r="AJ778" s="1" t="str">
        <f t="shared" si="535"/>
        <v>WOMAN</v>
      </c>
      <c r="AK778" s="1" t="str">
        <f t="shared" si="536"/>
        <v>PA</v>
      </c>
      <c r="AP778" s="1" t="str">
        <f t="shared" si="537"/>
        <v>False</v>
      </c>
      <c r="AR778" s="1" t="str">
        <f t="shared" si="524"/>
        <v>DECOR</v>
      </c>
      <c r="AY778" s="1" t="str">
        <f t="shared" si="538"/>
        <v>PF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 t="str">
        <f t="shared" si="525"/>
        <v>R GOMMA CANVAS</v>
      </c>
      <c r="BF778" s="1" t="str">
        <f t="shared" si="539"/>
        <v>Bonis SpA</v>
      </c>
    </row>
    <row r="779" spans="2:58" x14ac:dyDescent="0.25">
      <c r="B779" s="1">
        <v>2494</v>
      </c>
      <c r="C779" s="1" t="str">
        <f t="shared" si="520"/>
        <v>DECOR4237S7/C1</v>
      </c>
      <c r="E779" s="1" t="str">
        <f>"41"</f>
        <v>41</v>
      </c>
      <c r="F779" s="1" t="str">
        <f t="shared" si="527"/>
        <v>BONIS SPA</v>
      </c>
      <c r="G779" s="1" t="str">
        <f t="shared" si="517"/>
        <v>STOCK SCAFFALE MP</v>
      </c>
      <c r="H779" s="1" t="str">
        <f t="shared" si="526"/>
        <v>WHI</v>
      </c>
      <c r="K779" s="1">
        <v>1</v>
      </c>
      <c r="L779" s="1" t="str">
        <f t="shared" si="528"/>
        <v>01</v>
      </c>
      <c r="M779" s="1" t="str">
        <f t="shared" si="518"/>
        <v>408</v>
      </c>
      <c r="N779" s="1" t="str">
        <f t="shared" si="521"/>
        <v>013</v>
      </c>
      <c r="O779" s="1" t="str">
        <f t="shared" si="529"/>
        <v>00</v>
      </c>
      <c r="P779" s="1" t="str">
        <f t="shared" si="530"/>
        <v>S</v>
      </c>
      <c r="Q779" s="1" t="str">
        <f t="shared" si="531"/>
        <v>P</v>
      </c>
      <c r="R779" s="1" t="str">
        <f t="shared" si="532"/>
        <v>01</v>
      </c>
      <c r="S779" s="1" t="str">
        <f t="shared" si="519"/>
        <v>04</v>
      </c>
      <c r="T779" s="1" t="str">
        <f t="shared" si="533"/>
        <v>False</v>
      </c>
      <c r="U779" s="1" t="str">
        <f t="shared" si="534"/>
        <v>True</v>
      </c>
      <c r="V779" s="1" t="str">
        <f>"U0032701"</f>
        <v>U0032701</v>
      </c>
      <c r="W779" s="1">
        <v>1</v>
      </c>
      <c r="Y779" s="1">
        <v>0</v>
      </c>
      <c r="Z779" s="1">
        <v>0</v>
      </c>
      <c r="AB779" s="1" t="str">
        <f t="shared" si="522"/>
        <v>SMU</v>
      </c>
      <c r="AI779" s="1" t="str">
        <f t="shared" si="523"/>
        <v>F11</v>
      </c>
      <c r="AJ779" s="1" t="str">
        <f t="shared" si="535"/>
        <v>WOMAN</v>
      </c>
      <c r="AK779" s="1" t="str">
        <f t="shared" si="536"/>
        <v>PA</v>
      </c>
      <c r="AP779" s="1" t="str">
        <f t="shared" si="537"/>
        <v>False</v>
      </c>
      <c r="AR779" s="1" t="str">
        <f t="shared" si="524"/>
        <v>DECOR</v>
      </c>
      <c r="AY779" s="1" t="str">
        <f t="shared" si="538"/>
        <v>PF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 t="str">
        <f t="shared" si="525"/>
        <v>R GOMMA CANVAS</v>
      </c>
      <c r="BF779" s="1" t="str">
        <f t="shared" si="539"/>
        <v>Bonis SpA</v>
      </c>
    </row>
    <row r="780" spans="2:58" x14ac:dyDescent="0.25">
      <c r="B780" s="1">
        <v>2494</v>
      </c>
      <c r="C780" s="1" t="str">
        <f t="shared" si="520"/>
        <v>DECOR4237S7/C1</v>
      </c>
      <c r="E780" s="1" t="str">
        <f>"37"</f>
        <v>37</v>
      </c>
      <c r="F780" s="1" t="str">
        <f t="shared" si="527"/>
        <v>BONIS SPA</v>
      </c>
      <c r="G780" s="1" t="str">
        <f t="shared" si="517"/>
        <v>STOCK SCAFFALE MP</v>
      </c>
      <c r="H780" s="1" t="str">
        <f t="shared" si="526"/>
        <v>WHI</v>
      </c>
      <c r="K780" s="1">
        <v>1</v>
      </c>
      <c r="L780" s="1" t="str">
        <f t="shared" si="528"/>
        <v>01</v>
      </c>
      <c r="M780" s="1" t="str">
        <f t="shared" si="518"/>
        <v>408</v>
      </c>
      <c r="N780" s="1" t="str">
        <f t="shared" si="521"/>
        <v>013</v>
      </c>
      <c r="O780" s="1" t="str">
        <f t="shared" si="529"/>
        <v>00</v>
      </c>
      <c r="P780" s="1" t="str">
        <f t="shared" si="530"/>
        <v>S</v>
      </c>
      <c r="Q780" s="1" t="str">
        <f t="shared" si="531"/>
        <v>P</v>
      </c>
      <c r="R780" s="1" t="str">
        <f t="shared" si="532"/>
        <v>01</v>
      </c>
      <c r="S780" s="1" t="str">
        <f t="shared" si="519"/>
        <v>04</v>
      </c>
      <c r="T780" s="1" t="str">
        <f t="shared" si="533"/>
        <v>False</v>
      </c>
      <c r="U780" s="1" t="str">
        <f t="shared" si="534"/>
        <v>True</v>
      </c>
      <c r="V780" s="1" t="str">
        <f>"U0032701"</f>
        <v>U0032701</v>
      </c>
      <c r="W780" s="1">
        <v>1</v>
      </c>
      <c r="Y780" s="1">
        <v>0</v>
      </c>
      <c r="Z780" s="1">
        <v>0</v>
      </c>
      <c r="AB780" s="1" t="str">
        <f t="shared" si="522"/>
        <v>SMU</v>
      </c>
      <c r="AI780" s="1" t="str">
        <f t="shared" si="523"/>
        <v>F11</v>
      </c>
      <c r="AJ780" s="1" t="str">
        <f t="shared" si="535"/>
        <v>WOMAN</v>
      </c>
      <c r="AK780" s="1" t="str">
        <f t="shared" si="536"/>
        <v>PA</v>
      </c>
      <c r="AP780" s="1" t="str">
        <f t="shared" si="537"/>
        <v>False</v>
      </c>
      <c r="AR780" s="1" t="str">
        <f t="shared" si="524"/>
        <v>DECOR</v>
      </c>
      <c r="AY780" s="1" t="str">
        <f t="shared" si="538"/>
        <v>PF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 t="str">
        <f t="shared" si="525"/>
        <v>R GOMMA CANVAS</v>
      </c>
      <c r="BF780" s="1" t="str">
        <f t="shared" si="539"/>
        <v>Bonis SpA</v>
      </c>
    </row>
    <row r="781" spans="2:58" x14ac:dyDescent="0.25">
      <c r="B781" s="1">
        <v>2494</v>
      </c>
      <c r="C781" s="1" t="str">
        <f t="shared" si="520"/>
        <v>DECOR4237S7/C1</v>
      </c>
      <c r="E781" s="1" t="str">
        <f>"40"</f>
        <v>40</v>
      </c>
      <c r="F781" s="1" t="str">
        <f t="shared" si="527"/>
        <v>BONIS SPA</v>
      </c>
      <c r="G781" s="1" t="str">
        <f t="shared" si="517"/>
        <v>STOCK SCAFFALE MP</v>
      </c>
      <c r="H781" s="1" t="str">
        <f t="shared" si="526"/>
        <v>WHI</v>
      </c>
      <c r="K781" s="1">
        <v>4</v>
      </c>
      <c r="L781" s="1" t="str">
        <f t="shared" si="528"/>
        <v>01</v>
      </c>
      <c r="M781" s="1" t="str">
        <f t="shared" si="518"/>
        <v>408</v>
      </c>
      <c r="N781" s="1" t="str">
        <f t="shared" si="521"/>
        <v>013</v>
      </c>
      <c r="O781" s="1" t="str">
        <f t="shared" si="529"/>
        <v>00</v>
      </c>
      <c r="P781" s="1" t="str">
        <f t="shared" si="530"/>
        <v>S</v>
      </c>
      <c r="Q781" s="1" t="str">
        <f t="shared" si="531"/>
        <v>P</v>
      </c>
      <c r="R781" s="1" t="str">
        <f t="shared" si="532"/>
        <v>01</v>
      </c>
      <c r="S781" s="1" t="str">
        <f t="shared" si="519"/>
        <v>04</v>
      </c>
      <c r="T781" s="1" t="str">
        <f t="shared" si="533"/>
        <v>False</v>
      </c>
      <c r="U781" s="1" t="str">
        <f t="shared" si="534"/>
        <v>True</v>
      </c>
      <c r="V781" s="1" t="str">
        <f>"U0032700"</f>
        <v>U0032700</v>
      </c>
      <c r="W781" s="1">
        <v>1</v>
      </c>
      <c r="Y781" s="1">
        <v>0</v>
      </c>
      <c r="Z781" s="1">
        <v>0</v>
      </c>
      <c r="AB781" s="1" t="str">
        <f t="shared" si="522"/>
        <v>SMU</v>
      </c>
      <c r="AI781" s="1" t="str">
        <f t="shared" si="523"/>
        <v>F11</v>
      </c>
      <c r="AJ781" s="1" t="str">
        <f t="shared" si="535"/>
        <v>WOMAN</v>
      </c>
      <c r="AK781" s="1" t="str">
        <f t="shared" si="536"/>
        <v>PA</v>
      </c>
      <c r="AP781" s="1" t="str">
        <f t="shared" si="537"/>
        <v>False</v>
      </c>
      <c r="AR781" s="1" t="str">
        <f t="shared" si="524"/>
        <v>DECOR</v>
      </c>
      <c r="AY781" s="1" t="str">
        <f t="shared" si="538"/>
        <v>PF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 t="str">
        <f t="shared" si="525"/>
        <v>R GOMMA CANVAS</v>
      </c>
      <c r="BF781" s="1" t="str">
        <f t="shared" si="539"/>
        <v>Bonis SpA</v>
      </c>
    </row>
    <row r="782" spans="2:58" x14ac:dyDescent="0.25">
      <c r="B782" s="1">
        <v>2494</v>
      </c>
      <c r="C782" s="1" t="str">
        <f t="shared" si="520"/>
        <v>DECOR4237S7/C1</v>
      </c>
      <c r="E782" s="1" t="str">
        <f>"41"</f>
        <v>41</v>
      </c>
      <c r="F782" s="1" t="str">
        <f t="shared" si="527"/>
        <v>BONIS SPA</v>
      </c>
      <c r="G782" s="1" t="str">
        <f t="shared" si="517"/>
        <v>STOCK SCAFFALE MP</v>
      </c>
      <c r="H782" s="1" t="str">
        <f t="shared" si="526"/>
        <v>WHI</v>
      </c>
      <c r="K782" s="1">
        <v>5</v>
      </c>
      <c r="L782" s="1" t="str">
        <f t="shared" si="528"/>
        <v>01</v>
      </c>
      <c r="M782" s="1" t="str">
        <f t="shared" si="518"/>
        <v>408</v>
      </c>
      <c r="N782" s="1" t="str">
        <f t="shared" si="521"/>
        <v>013</v>
      </c>
      <c r="O782" s="1" t="str">
        <f t="shared" si="529"/>
        <v>00</v>
      </c>
      <c r="P782" s="1" t="str">
        <f t="shared" si="530"/>
        <v>S</v>
      </c>
      <c r="Q782" s="1" t="str">
        <f t="shared" si="531"/>
        <v>P</v>
      </c>
      <c r="R782" s="1" t="str">
        <f t="shared" si="532"/>
        <v>01</v>
      </c>
      <c r="S782" s="1" t="str">
        <f t="shared" si="519"/>
        <v>04</v>
      </c>
      <c r="T782" s="1" t="str">
        <f t="shared" si="533"/>
        <v>False</v>
      </c>
      <c r="U782" s="1" t="str">
        <f t="shared" si="534"/>
        <v>True</v>
      </c>
      <c r="V782" s="1" t="str">
        <f>"U0032700"</f>
        <v>U0032700</v>
      </c>
      <c r="W782" s="1">
        <v>1</v>
      </c>
      <c r="Y782" s="1">
        <v>0</v>
      </c>
      <c r="Z782" s="1">
        <v>0</v>
      </c>
      <c r="AB782" s="1" t="str">
        <f t="shared" si="522"/>
        <v>SMU</v>
      </c>
      <c r="AI782" s="1" t="str">
        <f t="shared" si="523"/>
        <v>F11</v>
      </c>
      <c r="AJ782" s="1" t="str">
        <f t="shared" si="535"/>
        <v>WOMAN</v>
      </c>
      <c r="AK782" s="1" t="str">
        <f t="shared" si="536"/>
        <v>PA</v>
      </c>
      <c r="AP782" s="1" t="str">
        <f t="shared" si="537"/>
        <v>False</v>
      </c>
      <c r="AR782" s="1" t="str">
        <f t="shared" si="524"/>
        <v>DECOR</v>
      </c>
      <c r="AY782" s="1" t="str">
        <f t="shared" si="538"/>
        <v>PF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 t="str">
        <f t="shared" si="525"/>
        <v>R GOMMA CANVAS</v>
      </c>
      <c r="BF782" s="1" t="str">
        <f t="shared" si="539"/>
        <v>Bonis SpA</v>
      </c>
    </row>
    <row r="783" spans="2:58" x14ac:dyDescent="0.25">
      <c r="B783" s="1">
        <v>2494</v>
      </c>
      <c r="C783" s="1" t="str">
        <f t="shared" si="520"/>
        <v>DECOR4237S7/C1</v>
      </c>
      <c r="E783" s="1" t="str">
        <f>"37"</f>
        <v>37</v>
      </c>
      <c r="F783" s="1" t="str">
        <f t="shared" si="527"/>
        <v>BONIS SPA</v>
      </c>
      <c r="G783" s="1" t="str">
        <f t="shared" si="517"/>
        <v>STOCK SCAFFALE MP</v>
      </c>
      <c r="H783" s="1" t="str">
        <f t="shared" si="526"/>
        <v>WHI</v>
      </c>
      <c r="K783" s="1">
        <v>2</v>
      </c>
      <c r="L783" s="1" t="str">
        <f t="shared" si="528"/>
        <v>01</v>
      </c>
      <c r="M783" s="1" t="str">
        <f t="shared" si="518"/>
        <v>408</v>
      </c>
      <c r="N783" s="1" t="str">
        <f t="shared" si="521"/>
        <v>013</v>
      </c>
      <c r="O783" s="1" t="str">
        <f t="shared" si="529"/>
        <v>00</v>
      </c>
      <c r="P783" s="1" t="str">
        <f t="shared" si="530"/>
        <v>S</v>
      </c>
      <c r="Q783" s="1" t="str">
        <f t="shared" si="531"/>
        <v>P</v>
      </c>
      <c r="R783" s="1" t="str">
        <f t="shared" si="532"/>
        <v>01</v>
      </c>
      <c r="S783" s="1" t="str">
        <f t="shared" si="519"/>
        <v>04</v>
      </c>
      <c r="T783" s="1" t="str">
        <f t="shared" si="533"/>
        <v>False</v>
      </c>
      <c r="U783" s="1" t="str">
        <f t="shared" si="534"/>
        <v>True</v>
      </c>
      <c r="V783" s="1" t="str">
        <f>"U0032700"</f>
        <v>U0032700</v>
      </c>
      <c r="W783" s="1">
        <v>1</v>
      </c>
      <c r="Y783" s="1">
        <v>0</v>
      </c>
      <c r="Z783" s="1">
        <v>0</v>
      </c>
      <c r="AB783" s="1" t="str">
        <f t="shared" si="522"/>
        <v>SMU</v>
      </c>
      <c r="AI783" s="1" t="str">
        <f t="shared" si="523"/>
        <v>F11</v>
      </c>
      <c r="AJ783" s="1" t="str">
        <f t="shared" si="535"/>
        <v>WOMAN</v>
      </c>
      <c r="AK783" s="1" t="str">
        <f t="shared" si="536"/>
        <v>PA</v>
      </c>
      <c r="AP783" s="1" t="str">
        <f t="shared" si="537"/>
        <v>False</v>
      </c>
      <c r="AR783" s="1" t="str">
        <f t="shared" si="524"/>
        <v>DECOR</v>
      </c>
      <c r="AY783" s="1" t="str">
        <f t="shared" si="538"/>
        <v>PF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 t="str">
        <f t="shared" si="525"/>
        <v>R GOMMA CANVAS</v>
      </c>
      <c r="BF783" s="1" t="str">
        <f t="shared" si="539"/>
        <v>Bonis SpA</v>
      </c>
    </row>
    <row r="784" spans="2:58" x14ac:dyDescent="0.25">
      <c r="B784" s="1">
        <v>2494</v>
      </c>
      <c r="C784" s="1" t="str">
        <f t="shared" si="520"/>
        <v>DECOR4237S7/C1</v>
      </c>
      <c r="E784" s="1" t="str">
        <f>"39"</f>
        <v>39</v>
      </c>
      <c r="F784" s="1" t="str">
        <f t="shared" si="527"/>
        <v>BONIS SPA</v>
      </c>
      <c r="G784" s="1" t="str">
        <f t="shared" si="517"/>
        <v>STOCK SCAFFALE MP</v>
      </c>
      <c r="H784" s="1" t="str">
        <f t="shared" si="526"/>
        <v>WHI</v>
      </c>
      <c r="K784" s="1">
        <v>1</v>
      </c>
      <c r="L784" s="1" t="str">
        <f t="shared" si="528"/>
        <v>01</v>
      </c>
      <c r="M784" s="1" t="str">
        <f t="shared" si="518"/>
        <v>408</v>
      </c>
      <c r="N784" s="1" t="str">
        <f t="shared" si="521"/>
        <v>013</v>
      </c>
      <c r="O784" s="1" t="str">
        <f t="shared" si="529"/>
        <v>00</v>
      </c>
      <c r="P784" s="1" t="str">
        <f t="shared" si="530"/>
        <v>S</v>
      </c>
      <c r="Q784" s="1" t="str">
        <f t="shared" si="531"/>
        <v>P</v>
      </c>
      <c r="R784" s="1" t="str">
        <f t="shared" si="532"/>
        <v>01</v>
      </c>
      <c r="S784" s="1" t="str">
        <f t="shared" si="519"/>
        <v>04</v>
      </c>
      <c r="T784" s="1" t="str">
        <f t="shared" si="533"/>
        <v>False</v>
      </c>
      <c r="U784" s="1" t="str">
        <f t="shared" si="534"/>
        <v>True</v>
      </c>
      <c r="V784" s="1" t="str">
        <f>"U0032700"</f>
        <v>U0032700</v>
      </c>
      <c r="W784" s="1">
        <v>1</v>
      </c>
      <c r="Y784" s="1">
        <v>0</v>
      </c>
      <c r="Z784" s="1">
        <v>0</v>
      </c>
      <c r="AB784" s="1" t="str">
        <f t="shared" si="522"/>
        <v>SMU</v>
      </c>
      <c r="AI784" s="1" t="str">
        <f t="shared" si="523"/>
        <v>F11</v>
      </c>
      <c r="AJ784" s="1" t="str">
        <f t="shared" si="535"/>
        <v>WOMAN</v>
      </c>
      <c r="AK784" s="1" t="str">
        <f t="shared" si="536"/>
        <v>PA</v>
      </c>
      <c r="AP784" s="1" t="str">
        <f t="shared" si="537"/>
        <v>False</v>
      </c>
      <c r="AR784" s="1" t="str">
        <f t="shared" si="524"/>
        <v>DECOR</v>
      </c>
      <c r="AY784" s="1" t="str">
        <f t="shared" si="538"/>
        <v>PF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 t="str">
        <f t="shared" si="525"/>
        <v>R GOMMA CANVAS</v>
      </c>
      <c r="BF784" s="1" t="str">
        <f t="shared" si="539"/>
        <v>Bonis SpA</v>
      </c>
    </row>
    <row r="785" spans="2:58" x14ac:dyDescent="0.25">
      <c r="B785" s="1">
        <v>2494</v>
      </c>
      <c r="C785" s="1" t="str">
        <f t="shared" si="520"/>
        <v>DECOR4237S7/C1</v>
      </c>
      <c r="E785" s="1" t="str">
        <f>"39"</f>
        <v>39</v>
      </c>
      <c r="F785" s="1" t="str">
        <f t="shared" si="527"/>
        <v>BONIS SPA</v>
      </c>
      <c r="G785" s="1" t="str">
        <f t="shared" si="517"/>
        <v>STOCK SCAFFALE MP</v>
      </c>
      <c r="H785" s="1" t="str">
        <f t="shared" si="526"/>
        <v>WHI</v>
      </c>
      <c r="K785" s="1">
        <v>3</v>
      </c>
      <c r="L785" s="1" t="str">
        <f t="shared" si="528"/>
        <v>01</v>
      </c>
      <c r="M785" s="1" t="str">
        <f t="shared" si="518"/>
        <v>408</v>
      </c>
      <c r="N785" s="1" t="str">
        <f t="shared" si="521"/>
        <v>013</v>
      </c>
      <c r="O785" s="1" t="str">
        <f t="shared" si="529"/>
        <v>00</v>
      </c>
      <c r="P785" s="1" t="str">
        <f t="shared" si="530"/>
        <v>S</v>
      </c>
      <c r="Q785" s="1" t="str">
        <f t="shared" si="531"/>
        <v>P</v>
      </c>
      <c r="R785" s="1" t="str">
        <f t="shared" si="532"/>
        <v>01</v>
      </c>
      <c r="S785" s="1" t="str">
        <f t="shared" si="519"/>
        <v>04</v>
      </c>
      <c r="T785" s="1" t="str">
        <f t="shared" si="533"/>
        <v>False</v>
      </c>
      <c r="U785" s="1" t="str">
        <f t="shared" si="534"/>
        <v>True</v>
      </c>
      <c r="V785" s="1" t="str">
        <f>"U0032720"</f>
        <v>U0032720</v>
      </c>
      <c r="W785" s="1">
        <v>1</v>
      </c>
      <c r="Y785" s="1">
        <v>0</v>
      </c>
      <c r="Z785" s="1">
        <v>0</v>
      </c>
      <c r="AB785" s="1" t="str">
        <f t="shared" si="522"/>
        <v>SMU</v>
      </c>
      <c r="AI785" s="1" t="str">
        <f>"106"</f>
        <v>106</v>
      </c>
      <c r="AJ785" s="1" t="str">
        <f t="shared" si="535"/>
        <v>WOMAN</v>
      </c>
      <c r="AK785" s="1" t="str">
        <f t="shared" si="536"/>
        <v>PA</v>
      </c>
      <c r="AP785" s="1" t="str">
        <f t="shared" si="537"/>
        <v>False</v>
      </c>
      <c r="AR785" s="1" t="str">
        <f t="shared" si="524"/>
        <v>DECOR</v>
      </c>
      <c r="AY785" s="1" t="str">
        <f t="shared" si="538"/>
        <v>PF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 t="str">
        <f t="shared" si="525"/>
        <v>R GOMMA CANVAS</v>
      </c>
      <c r="BF785" s="1" t="str">
        <f t="shared" si="539"/>
        <v>Bonis SpA</v>
      </c>
    </row>
    <row r="786" spans="2:58" x14ac:dyDescent="0.25">
      <c r="B786" s="1">
        <v>2494</v>
      </c>
      <c r="C786" s="1" t="str">
        <f t="shared" si="520"/>
        <v>DECOR4237S7/C1</v>
      </c>
      <c r="E786" s="1" t="str">
        <f>"40"</f>
        <v>40</v>
      </c>
      <c r="F786" s="1" t="str">
        <f t="shared" si="527"/>
        <v>BONIS SPA</v>
      </c>
      <c r="G786" s="1" t="str">
        <f t="shared" si="517"/>
        <v>STOCK SCAFFALE MP</v>
      </c>
      <c r="H786" s="1" t="str">
        <f t="shared" si="526"/>
        <v>WHI</v>
      </c>
      <c r="K786" s="1">
        <v>2</v>
      </c>
      <c r="L786" s="1" t="str">
        <f t="shared" si="528"/>
        <v>01</v>
      </c>
      <c r="M786" s="1" t="str">
        <f t="shared" si="518"/>
        <v>408</v>
      </c>
      <c r="N786" s="1" t="str">
        <f t="shared" si="521"/>
        <v>013</v>
      </c>
      <c r="O786" s="1" t="str">
        <f t="shared" si="529"/>
        <v>00</v>
      </c>
      <c r="P786" s="1" t="str">
        <f t="shared" si="530"/>
        <v>S</v>
      </c>
      <c r="Q786" s="1" t="str">
        <f t="shared" si="531"/>
        <v>P</v>
      </c>
      <c r="R786" s="1" t="str">
        <f t="shared" si="532"/>
        <v>01</v>
      </c>
      <c r="S786" s="1" t="str">
        <f t="shared" si="519"/>
        <v>04</v>
      </c>
      <c r="T786" s="1" t="str">
        <f t="shared" si="533"/>
        <v>False</v>
      </c>
      <c r="U786" s="1" t="str">
        <f t="shared" si="534"/>
        <v>True</v>
      </c>
      <c r="V786" s="1" t="str">
        <f>"U0032705"</f>
        <v>U0032705</v>
      </c>
      <c r="W786" s="1">
        <v>1</v>
      </c>
      <c r="Y786" s="1">
        <v>0</v>
      </c>
      <c r="Z786" s="1">
        <v>0</v>
      </c>
      <c r="AB786" s="1" t="str">
        <f t="shared" si="522"/>
        <v>SMU</v>
      </c>
      <c r="AI786" s="1" t="str">
        <f>"106"</f>
        <v>106</v>
      </c>
      <c r="AJ786" s="1" t="str">
        <f t="shared" si="535"/>
        <v>WOMAN</v>
      </c>
      <c r="AK786" s="1" t="str">
        <f t="shared" si="536"/>
        <v>PA</v>
      </c>
      <c r="AP786" s="1" t="str">
        <f t="shared" si="537"/>
        <v>False</v>
      </c>
      <c r="AR786" s="1" t="str">
        <f t="shared" si="524"/>
        <v>DECOR</v>
      </c>
      <c r="AY786" s="1" t="str">
        <f t="shared" si="538"/>
        <v>PF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 t="str">
        <f t="shared" si="525"/>
        <v>R GOMMA CANVAS</v>
      </c>
      <c r="BF786" s="1" t="str">
        <f t="shared" si="539"/>
        <v>Bonis SpA</v>
      </c>
    </row>
    <row r="787" spans="2:58" x14ac:dyDescent="0.25">
      <c r="B787" s="1">
        <v>2494</v>
      </c>
      <c r="C787" s="1" t="str">
        <f t="shared" si="520"/>
        <v>DECOR4237S7/C1</v>
      </c>
      <c r="E787" s="1" t="str">
        <f>"37"</f>
        <v>37</v>
      </c>
      <c r="F787" s="1" t="str">
        <f t="shared" si="527"/>
        <v>BONIS SPA</v>
      </c>
      <c r="G787" s="1" t="str">
        <f t="shared" si="517"/>
        <v>STOCK SCAFFALE MP</v>
      </c>
      <c r="H787" s="1" t="str">
        <f t="shared" si="526"/>
        <v>WHI</v>
      </c>
      <c r="K787" s="1">
        <v>1</v>
      </c>
      <c r="L787" s="1" t="str">
        <f t="shared" si="528"/>
        <v>01</v>
      </c>
      <c r="M787" s="1" t="str">
        <f t="shared" si="518"/>
        <v>408</v>
      </c>
      <c r="N787" s="1" t="str">
        <f t="shared" si="521"/>
        <v>013</v>
      </c>
      <c r="O787" s="1" t="str">
        <f t="shared" si="529"/>
        <v>00</v>
      </c>
      <c r="P787" s="1" t="str">
        <f t="shared" si="530"/>
        <v>S</v>
      </c>
      <c r="Q787" s="1" t="str">
        <f t="shared" si="531"/>
        <v>P</v>
      </c>
      <c r="R787" s="1" t="str">
        <f t="shared" si="532"/>
        <v>01</v>
      </c>
      <c r="S787" s="1" t="str">
        <f t="shared" si="519"/>
        <v>04</v>
      </c>
      <c r="T787" s="1" t="str">
        <f t="shared" si="533"/>
        <v>False</v>
      </c>
      <c r="U787" s="1" t="str">
        <f t="shared" si="534"/>
        <v>True</v>
      </c>
      <c r="V787" s="1" t="str">
        <f>"U0032705"</f>
        <v>U0032705</v>
      </c>
      <c r="W787" s="1">
        <v>1</v>
      </c>
      <c r="Y787" s="1">
        <v>0</v>
      </c>
      <c r="Z787" s="1">
        <v>0</v>
      </c>
      <c r="AB787" s="1" t="str">
        <f t="shared" si="522"/>
        <v>SMU</v>
      </c>
      <c r="AI787" s="1" t="str">
        <f>"106"</f>
        <v>106</v>
      </c>
      <c r="AJ787" s="1" t="str">
        <f t="shared" si="535"/>
        <v>WOMAN</v>
      </c>
      <c r="AK787" s="1" t="str">
        <f t="shared" si="536"/>
        <v>PA</v>
      </c>
      <c r="AP787" s="1" t="str">
        <f t="shared" si="537"/>
        <v>False</v>
      </c>
      <c r="AR787" s="1" t="str">
        <f t="shared" si="524"/>
        <v>DECOR</v>
      </c>
      <c r="AY787" s="1" t="str">
        <f t="shared" si="538"/>
        <v>PF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 t="str">
        <f t="shared" si="525"/>
        <v>R GOMMA CANVAS</v>
      </c>
      <c r="BF787" s="1" t="str">
        <f t="shared" si="539"/>
        <v>Bonis SpA</v>
      </c>
    </row>
    <row r="788" spans="2:58" x14ac:dyDescent="0.25">
      <c r="B788" s="1">
        <v>2494</v>
      </c>
      <c r="C788" s="1" t="str">
        <f t="shared" ref="C788:C798" si="540">"DECOR4237S7/C1"</f>
        <v>DECOR4237S7/C1</v>
      </c>
      <c r="E788" s="1" t="str">
        <f>"38"</f>
        <v>38</v>
      </c>
      <c r="F788" s="1" t="str">
        <f t="shared" si="527"/>
        <v>BONIS SPA</v>
      </c>
      <c r="G788" s="1" t="str">
        <f t="shared" si="517"/>
        <v>STOCK SCAFFALE MP</v>
      </c>
      <c r="H788" s="1" t="str">
        <f t="shared" si="526"/>
        <v>WHI</v>
      </c>
      <c r="K788" s="1">
        <v>1</v>
      </c>
      <c r="L788" s="1" t="str">
        <f t="shared" si="528"/>
        <v>01</v>
      </c>
      <c r="M788" s="1" t="str">
        <f t="shared" si="518"/>
        <v>408</v>
      </c>
      <c r="N788" s="1" t="str">
        <f t="shared" ref="N788:N798" si="541">"013"</f>
        <v>013</v>
      </c>
      <c r="O788" s="1" t="str">
        <f t="shared" si="529"/>
        <v>00</v>
      </c>
      <c r="P788" s="1" t="str">
        <f t="shared" si="530"/>
        <v>S</v>
      </c>
      <c r="Q788" s="1" t="str">
        <f t="shared" si="531"/>
        <v>P</v>
      </c>
      <c r="R788" s="1" t="str">
        <f t="shared" si="532"/>
        <v>01</v>
      </c>
      <c r="S788" s="1" t="str">
        <f t="shared" si="519"/>
        <v>04</v>
      </c>
      <c r="T788" s="1" t="str">
        <f t="shared" si="533"/>
        <v>False</v>
      </c>
      <c r="U788" s="1" t="str">
        <f t="shared" si="534"/>
        <v>True</v>
      </c>
      <c r="V788" s="1" t="str">
        <f>"U0032706"</f>
        <v>U0032706</v>
      </c>
      <c r="W788" s="1">
        <v>1</v>
      </c>
      <c r="Y788" s="1">
        <v>0</v>
      </c>
      <c r="Z788" s="1">
        <v>0</v>
      </c>
      <c r="AB788" s="1" t="str">
        <f t="shared" ref="AB788:AB798" si="542">"SMU"</f>
        <v>SMU</v>
      </c>
      <c r="AI788" s="1" t="str">
        <f>"106"</f>
        <v>106</v>
      </c>
      <c r="AJ788" s="1" t="str">
        <f t="shared" si="535"/>
        <v>WOMAN</v>
      </c>
      <c r="AK788" s="1" t="str">
        <f t="shared" si="536"/>
        <v>PA</v>
      </c>
      <c r="AP788" s="1" t="str">
        <f t="shared" si="537"/>
        <v>False</v>
      </c>
      <c r="AR788" s="1" t="str">
        <f t="shared" ref="AR788:AR798" si="543">"DECOR"</f>
        <v>DECOR</v>
      </c>
      <c r="AY788" s="1" t="str">
        <f t="shared" si="538"/>
        <v>PF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 t="str">
        <f t="shared" ref="BE788:BE798" si="544">"R GOMMA CANVAS"</f>
        <v>R GOMMA CANVAS</v>
      </c>
      <c r="BF788" s="1" t="str">
        <f t="shared" si="539"/>
        <v>Bonis SpA</v>
      </c>
    </row>
    <row r="789" spans="2:58" x14ac:dyDescent="0.25">
      <c r="B789" s="1">
        <v>2494</v>
      </c>
      <c r="C789" s="1" t="str">
        <f t="shared" si="540"/>
        <v>DECOR4237S7/C1</v>
      </c>
      <c r="E789" s="1" t="str">
        <f>"38"</f>
        <v>38</v>
      </c>
      <c r="F789" s="1" t="str">
        <f t="shared" si="527"/>
        <v>BONIS SPA</v>
      </c>
      <c r="G789" s="1" t="str">
        <f t="shared" si="517"/>
        <v>STOCK SCAFFALE MP</v>
      </c>
      <c r="H789" s="1" t="str">
        <f t="shared" si="526"/>
        <v>WHI</v>
      </c>
      <c r="K789" s="1">
        <v>3</v>
      </c>
      <c r="L789" s="1" t="str">
        <f t="shared" si="528"/>
        <v>01</v>
      </c>
      <c r="M789" s="1" t="str">
        <f t="shared" si="518"/>
        <v>408</v>
      </c>
      <c r="N789" s="1" t="str">
        <f t="shared" si="541"/>
        <v>013</v>
      </c>
      <c r="O789" s="1" t="str">
        <f t="shared" si="529"/>
        <v>00</v>
      </c>
      <c r="P789" s="1" t="str">
        <f t="shared" si="530"/>
        <v>S</v>
      </c>
      <c r="Q789" s="1" t="str">
        <f t="shared" si="531"/>
        <v>P</v>
      </c>
      <c r="R789" s="1" t="str">
        <f t="shared" si="532"/>
        <v>01</v>
      </c>
      <c r="S789" s="1" t="str">
        <f t="shared" si="519"/>
        <v>04</v>
      </c>
      <c r="T789" s="1" t="str">
        <f t="shared" si="533"/>
        <v>False</v>
      </c>
      <c r="U789" s="1" t="str">
        <f t="shared" si="534"/>
        <v>True</v>
      </c>
      <c r="V789" s="1" t="str">
        <f>"U0032698"</f>
        <v>U0032698</v>
      </c>
      <c r="W789" s="1">
        <v>1</v>
      </c>
      <c r="Y789" s="1">
        <v>0</v>
      </c>
      <c r="Z789" s="1">
        <v>0</v>
      </c>
      <c r="AB789" s="1" t="str">
        <f t="shared" si="542"/>
        <v>SMU</v>
      </c>
      <c r="AI789" s="1" t="str">
        <f t="shared" ref="AI789:AI798" si="545">"F11"</f>
        <v>F11</v>
      </c>
      <c r="AJ789" s="1" t="str">
        <f t="shared" si="535"/>
        <v>WOMAN</v>
      </c>
      <c r="AK789" s="1" t="str">
        <f t="shared" si="536"/>
        <v>PA</v>
      </c>
      <c r="AP789" s="1" t="str">
        <f t="shared" si="537"/>
        <v>False</v>
      </c>
      <c r="AR789" s="1" t="str">
        <f t="shared" si="543"/>
        <v>DECOR</v>
      </c>
      <c r="AY789" s="1" t="str">
        <f t="shared" si="538"/>
        <v>PF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 t="str">
        <f t="shared" si="544"/>
        <v>R GOMMA CANVAS</v>
      </c>
      <c r="BF789" s="1" t="str">
        <f t="shared" si="539"/>
        <v>Bonis SpA</v>
      </c>
    </row>
    <row r="790" spans="2:58" x14ac:dyDescent="0.25">
      <c r="B790" s="1">
        <v>2494</v>
      </c>
      <c r="C790" s="1" t="str">
        <f t="shared" si="540"/>
        <v>DECOR4237S7/C1</v>
      </c>
      <c r="E790" s="1" t="str">
        <f>"40"</f>
        <v>40</v>
      </c>
      <c r="F790" s="1" t="str">
        <f t="shared" si="527"/>
        <v>BONIS SPA</v>
      </c>
      <c r="G790" s="1" t="str">
        <f t="shared" si="517"/>
        <v>STOCK SCAFFALE MP</v>
      </c>
      <c r="H790" s="1" t="str">
        <f t="shared" si="526"/>
        <v>WHI</v>
      </c>
      <c r="K790" s="1">
        <v>2</v>
      </c>
      <c r="L790" s="1" t="str">
        <f t="shared" si="528"/>
        <v>01</v>
      </c>
      <c r="M790" s="1" t="str">
        <f t="shared" si="518"/>
        <v>408</v>
      </c>
      <c r="N790" s="1" t="str">
        <f t="shared" si="541"/>
        <v>013</v>
      </c>
      <c r="O790" s="1" t="str">
        <f t="shared" si="529"/>
        <v>00</v>
      </c>
      <c r="P790" s="1" t="str">
        <f t="shared" si="530"/>
        <v>S</v>
      </c>
      <c r="Q790" s="1" t="str">
        <f t="shared" si="531"/>
        <v>P</v>
      </c>
      <c r="R790" s="1" t="str">
        <f t="shared" si="532"/>
        <v>01</v>
      </c>
      <c r="S790" s="1" t="str">
        <f t="shared" si="519"/>
        <v>04</v>
      </c>
      <c r="T790" s="1" t="str">
        <f t="shared" si="533"/>
        <v>False</v>
      </c>
      <c r="U790" s="1" t="str">
        <f t="shared" si="534"/>
        <v>True</v>
      </c>
      <c r="V790" s="1" t="str">
        <f>"U0032698"</f>
        <v>U0032698</v>
      </c>
      <c r="W790" s="1">
        <v>1</v>
      </c>
      <c r="Y790" s="1">
        <v>0</v>
      </c>
      <c r="Z790" s="1">
        <v>0</v>
      </c>
      <c r="AB790" s="1" t="str">
        <f t="shared" si="542"/>
        <v>SMU</v>
      </c>
      <c r="AI790" s="1" t="str">
        <f t="shared" si="545"/>
        <v>F11</v>
      </c>
      <c r="AJ790" s="1" t="str">
        <f t="shared" si="535"/>
        <v>WOMAN</v>
      </c>
      <c r="AK790" s="1" t="str">
        <f t="shared" si="536"/>
        <v>PA</v>
      </c>
      <c r="AP790" s="1" t="str">
        <f t="shared" si="537"/>
        <v>False</v>
      </c>
      <c r="AR790" s="1" t="str">
        <f t="shared" si="543"/>
        <v>DECOR</v>
      </c>
      <c r="AY790" s="1" t="str">
        <f t="shared" si="538"/>
        <v>PF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 t="str">
        <f t="shared" si="544"/>
        <v>R GOMMA CANVAS</v>
      </c>
      <c r="BF790" s="1" t="str">
        <f t="shared" si="539"/>
        <v>Bonis SpA</v>
      </c>
    </row>
    <row r="791" spans="2:58" x14ac:dyDescent="0.25">
      <c r="B791" s="1">
        <v>2494</v>
      </c>
      <c r="C791" s="1" t="str">
        <f t="shared" si="540"/>
        <v>DECOR4237S7/C1</v>
      </c>
      <c r="E791" s="1" t="str">
        <f>"39"</f>
        <v>39</v>
      </c>
      <c r="F791" s="1" t="str">
        <f t="shared" si="527"/>
        <v>BONIS SPA</v>
      </c>
      <c r="G791" s="1" t="str">
        <f t="shared" si="517"/>
        <v>STOCK SCAFFALE MP</v>
      </c>
      <c r="H791" s="1" t="str">
        <f t="shared" si="526"/>
        <v>WHI</v>
      </c>
      <c r="K791" s="1">
        <v>4</v>
      </c>
      <c r="L791" s="1" t="str">
        <f t="shared" si="528"/>
        <v>01</v>
      </c>
      <c r="M791" s="1" t="str">
        <f t="shared" si="518"/>
        <v>408</v>
      </c>
      <c r="N791" s="1" t="str">
        <f t="shared" si="541"/>
        <v>013</v>
      </c>
      <c r="O791" s="1" t="str">
        <f t="shared" si="529"/>
        <v>00</v>
      </c>
      <c r="P791" s="1" t="str">
        <f t="shared" si="530"/>
        <v>S</v>
      </c>
      <c r="Q791" s="1" t="str">
        <f t="shared" si="531"/>
        <v>P</v>
      </c>
      <c r="R791" s="1" t="str">
        <f t="shared" si="532"/>
        <v>01</v>
      </c>
      <c r="S791" s="1" t="str">
        <f t="shared" si="519"/>
        <v>04</v>
      </c>
      <c r="T791" s="1" t="str">
        <f t="shared" si="533"/>
        <v>False</v>
      </c>
      <c r="U791" s="1" t="str">
        <f t="shared" si="534"/>
        <v>True</v>
      </c>
      <c r="V791" s="1" t="str">
        <f>"U0032698"</f>
        <v>U0032698</v>
      </c>
      <c r="W791" s="1">
        <v>1</v>
      </c>
      <c r="Y791" s="1">
        <v>0</v>
      </c>
      <c r="Z791" s="1">
        <v>0</v>
      </c>
      <c r="AB791" s="1" t="str">
        <f t="shared" si="542"/>
        <v>SMU</v>
      </c>
      <c r="AI791" s="1" t="str">
        <f t="shared" si="545"/>
        <v>F11</v>
      </c>
      <c r="AJ791" s="1" t="str">
        <f t="shared" si="535"/>
        <v>WOMAN</v>
      </c>
      <c r="AK791" s="1" t="str">
        <f t="shared" si="536"/>
        <v>PA</v>
      </c>
      <c r="AP791" s="1" t="str">
        <f t="shared" si="537"/>
        <v>False</v>
      </c>
      <c r="AR791" s="1" t="str">
        <f t="shared" si="543"/>
        <v>DECOR</v>
      </c>
      <c r="AY791" s="1" t="str">
        <f t="shared" si="538"/>
        <v>PF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 t="str">
        <f t="shared" si="544"/>
        <v>R GOMMA CANVAS</v>
      </c>
      <c r="BF791" s="1" t="str">
        <f t="shared" si="539"/>
        <v>Bonis SpA</v>
      </c>
    </row>
    <row r="792" spans="2:58" x14ac:dyDescent="0.25">
      <c r="B792" s="1">
        <v>2494</v>
      </c>
      <c r="C792" s="1" t="str">
        <f t="shared" si="540"/>
        <v>DECOR4237S7/C1</v>
      </c>
      <c r="E792" s="1" t="str">
        <f>"37"</f>
        <v>37</v>
      </c>
      <c r="F792" s="1" t="str">
        <f t="shared" si="527"/>
        <v>BONIS SPA</v>
      </c>
      <c r="G792" s="1" t="str">
        <f t="shared" si="517"/>
        <v>STOCK SCAFFALE MP</v>
      </c>
      <c r="H792" s="1" t="str">
        <f t="shared" si="526"/>
        <v>WHI</v>
      </c>
      <c r="K792" s="1">
        <v>2</v>
      </c>
      <c r="L792" s="1" t="str">
        <f t="shared" si="528"/>
        <v>01</v>
      </c>
      <c r="M792" s="1" t="str">
        <f t="shared" si="518"/>
        <v>408</v>
      </c>
      <c r="N792" s="1" t="str">
        <f t="shared" si="541"/>
        <v>013</v>
      </c>
      <c r="O792" s="1" t="str">
        <f t="shared" si="529"/>
        <v>00</v>
      </c>
      <c r="P792" s="1" t="str">
        <f t="shared" si="530"/>
        <v>S</v>
      </c>
      <c r="Q792" s="1" t="str">
        <f t="shared" si="531"/>
        <v>P</v>
      </c>
      <c r="R792" s="1" t="str">
        <f t="shared" si="532"/>
        <v>01</v>
      </c>
      <c r="S792" s="1" t="str">
        <f t="shared" si="519"/>
        <v>04</v>
      </c>
      <c r="T792" s="1" t="str">
        <f t="shared" si="533"/>
        <v>False</v>
      </c>
      <c r="U792" s="1" t="str">
        <f t="shared" si="534"/>
        <v>True</v>
      </c>
      <c r="V792" s="1" t="str">
        <f>"U0032698"</f>
        <v>U0032698</v>
      </c>
      <c r="W792" s="1">
        <v>1</v>
      </c>
      <c r="Y792" s="1">
        <v>0</v>
      </c>
      <c r="Z792" s="1">
        <v>0</v>
      </c>
      <c r="AB792" s="1" t="str">
        <f t="shared" si="542"/>
        <v>SMU</v>
      </c>
      <c r="AI792" s="1" t="str">
        <f t="shared" si="545"/>
        <v>F11</v>
      </c>
      <c r="AJ792" s="1" t="str">
        <f t="shared" si="535"/>
        <v>WOMAN</v>
      </c>
      <c r="AK792" s="1" t="str">
        <f t="shared" si="536"/>
        <v>PA</v>
      </c>
      <c r="AP792" s="1" t="str">
        <f t="shared" si="537"/>
        <v>False</v>
      </c>
      <c r="AR792" s="1" t="str">
        <f t="shared" si="543"/>
        <v>DECOR</v>
      </c>
      <c r="AY792" s="1" t="str">
        <f t="shared" si="538"/>
        <v>PF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 t="str">
        <f t="shared" si="544"/>
        <v>R GOMMA CANVAS</v>
      </c>
      <c r="BF792" s="1" t="str">
        <f t="shared" si="539"/>
        <v>Bonis SpA</v>
      </c>
    </row>
    <row r="793" spans="2:58" x14ac:dyDescent="0.25">
      <c r="B793" s="1">
        <v>2494</v>
      </c>
      <c r="C793" s="1" t="str">
        <f t="shared" si="540"/>
        <v>DECOR4237S7/C1</v>
      </c>
      <c r="E793" s="1" t="str">
        <f>"41"</f>
        <v>41</v>
      </c>
      <c r="F793" s="1" t="str">
        <f t="shared" si="527"/>
        <v>BONIS SPA</v>
      </c>
      <c r="G793" s="1" t="str">
        <f t="shared" si="517"/>
        <v>STOCK SCAFFALE MP</v>
      </c>
      <c r="H793" s="1" t="str">
        <f t="shared" si="526"/>
        <v>WHI</v>
      </c>
      <c r="K793" s="1">
        <v>1</v>
      </c>
      <c r="L793" s="1" t="str">
        <f t="shared" si="528"/>
        <v>01</v>
      </c>
      <c r="M793" s="1" t="str">
        <f t="shared" si="518"/>
        <v>408</v>
      </c>
      <c r="N793" s="1" t="str">
        <f t="shared" si="541"/>
        <v>013</v>
      </c>
      <c r="O793" s="1" t="str">
        <f t="shared" si="529"/>
        <v>00</v>
      </c>
      <c r="P793" s="1" t="str">
        <f t="shared" si="530"/>
        <v>S</v>
      </c>
      <c r="Q793" s="1" t="str">
        <f t="shared" si="531"/>
        <v>P</v>
      </c>
      <c r="R793" s="1" t="str">
        <f t="shared" si="532"/>
        <v>01</v>
      </c>
      <c r="S793" s="1" t="str">
        <f t="shared" si="519"/>
        <v>04</v>
      </c>
      <c r="T793" s="1" t="str">
        <f t="shared" si="533"/>
        <v>False</v>
      </c>
      <c r="U793" s="1" t="str">
        <f t="shared" si="534"/>
        <v>True</v>
      </c>
      <c r="V793" s="1" t="str">
        <f>"U0032698"</f>
        <v>U0032698</v>
      </c>
      <c r="W793" s="1">
        <v>1</v>
      </c>
      <c r="Y793" s="1">
        <v>0</v>
      </c>
      <c r="Z793" s="1">
        <v>0</v>
      </c>
      <c r="AB793" s="1" t="str">
        <f t="shared" si="542"/>
        <v>SMU</v>
      </c>
      <c r="AI793" s="1" t="str">
        <f t="shared" si="545"/>
        <v>F11</v>
      </c>
      <c r="AJ793" s="1" t="str">
        <f t="shared" si="535"/>
        <v>WOMAN</v>
      </c>
      <c r="AK793" s="1" t="str">
        <f t="shared" si="536"/>
        <v>PA</v>
      </c>
      <c r="AP793" s="1" t="str">
        <f t="shared" si="537"/>
        <v>False</v>
      </c>
      <c r="AR793" s="1" t="str">
        <f t="shared" si="543"/>
        <v>DECOR</v>
      </c>
      <c r="AY793" s="1" t="str">
        <f t="shared" si="538"/>
        <v>PF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 t="str">
        <f t="shared" si="544"/>
        <v>R GOMMA CANVAS</v>
      </c>
      <c r="BF793" s="1" t="str">
        <f t="shared" si="539"/>
        <v>Bonis SpA</v>
      </c>
    </row>
    <row r="794" spans="2:58" x14ac:dyDescent="0.25">
      <c r="B794" s="1">
        <v>2494</v>
      </c>
      <c r="C794" s="1" t="str">
        <f t="shared" si="540"/>
        <v>DECOR4237S7/C1</v>
      </c>
      <c r="E794" s="1" t="str">
        <f>"38"</f>
        <v>38</v>
      </c>
      <c r="F794" s="1" t="str">
        <f t="shared" si="527"/>
        <v>BONIS SPA</v>
      </c>
      <c r="G794" s="1" t="str">
        <f t="shared" si="517"/>
        <v>STOCK SCAFFALE MP</v>
      </c>
      <c r="H794" s="1" t="str">
        <f t="shared" si="526"/>
        <v>WHI</v>
      </c>
      <c r="K794" s="1">
        <v>3</v>
      </c>
      <c r="L794" s="1" t="str">
        <f t="shared" si="528"/>
        <v>01</v>
      </c>
      <c r="M794" s="1" t="str">
        <f t="shared" si="518"/>
        <v>408</v>
      </c>
      <c r="N794" s="1" t="str">
        <f t="shared" si="541"/>
        <v>013</v>
      </c>
      <c r="O794" s="1" t="str">
        <f t="shared" si="529"/>
        <v>00</v>
      </c>
      <c r="P794" s="1" t="str">
        <f t="shared" si="530"/>
        <v>S</v>
      </c>
      <c r="Q794" s="1" t="str">
        <f t="shared" si="531"/>
        <v>P</v>
      </c>
      <c r="R794" s="1" t="str">
        <f t="shared" si="532"/>
        <v>01</v>
      </c>
      <c r="S794" s="1" t="str">
        <f t="shared" si="519"/>
        <v>04</v>
      </c>
      <c r="T794" s="1" t="str">
        <f t="shared" si="533"/>
        <v>False</v>
      </c>
      <c r="U794" s="1" t="str">
        <f t="shared" si="534"/>
        <v>True</v>
      </c>
      <c r="V794" s="1" t="str">
        <f>"U0032697"</f>
        <v>U0032697</v>
      </c>
      <c r="W794" s="1">
        <v>1</v>
      </c>
      <c r="Y794" s="1">
        <v>0</v>
      </c>
      <c r="Z794" s="1">
        <v>0</v>
      </c>
      <c r="AB794" s="1" t="str">
        <f t="shared" si="542"/>
        <v>SMU</v>
      </c>
      <c r="AI794" s="1" t="str">
        <f t="shared" si="545"/>
        <v>F11</v>
      </c>
      <c r="AJ794" s="1" t="str">
        <f t="shared" si="535"/>
        <v>WOMAN</v>
      </c>
      <c r="AK794" s="1" t="str">
        <f t="shared" si="536"/>
        <v>PA</v>
      </c>
      <c r="AP794" s="1" t="str">
        <f t="shared" si="537"/>
        <v>False</v>
      </c>
      <c r="AR794" s="1" t="str">
        <f t="shared" si="543"/>
        <v>DECOR</v>
      </c>
      <c r="AY794" s="1" t="str">
        <f t="shared" si="538"/>
        <v>PF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 t="str">
        <f t="shared" si="544"/>
        <v>R GOMMA CANVAS</v>
      </c>
      <c r="BF794" s="1" t="str">
        <f t="shared" si="539"/>
        <v>Bonis SpA</v>
      </c>
    </row>
    <row r="795" spans="2:58" x14ac:dyDescent="0.25">
      <c r="B795" s="1">
        <v>2494</v>
      </c>
      <c r="C795" s="1" t="str">
        <f t="shared" si="540"/>
        <v>DECOR4237S7/C1</v>
      </c>
      <c r="E795" s="1" t="str">
        <f>"39"</f>
        <v>39</v>
      </c>
      <c r="F795" s="1" t="str">
        <f t="shared" si="527"/>
        <v>BONIS SPA</v>
      </c>
      <c r="G795" s="1" t="str">
        <f t="shared" si="517"/>
        <v>STOCK SCAFFALE MP</v>
      </c>
      <c r="H795" s="1" t="str">
        <f t="shared" si="526"/>
        <v>WHI</v>
      </c>
      <c r="K795" s="1">
        <v>3</v>
      </c>
      <c r="L795" s="1" t="str">
        <f t="shared" si="528"/>
        <v>01</v>
      </c>
      <c r="M795" s="1" t="str">
        <f t="shared" si="518"/>
        <v>408</v>
      </c>
      <c r="N795" s="1" t="str">
        <f t="shared" si="541"/>
        <v>013</v>
      </c>
      <c r="O795" s="1" t="str">
        <f t="shared" si="529"/>
        <v>00</v>
      </c>
      <c r="P795" s="1" t="str">
        <f t="shared" si="530"/>
        <v>S</v>
      </c>
      <c r="Q795" s="1" t="str">
        <f t="shared" si="531"/>
        <v>P</v>
      </c>
      <c r="R795" s="1" t="str">
        <f t="shared" si="532"/>
        <v>01</v>
      </c>
      <c r="S795" s="1" t="str">
        <f t="shared" si="519"/>
        <v>04</v>
      </c>
      <c r="T795" s="1" t="str">
        <f t="shared" si="533"/>
        <v>False</v>
      </c>
      <c r="U795" s="1" t="str">
        <f t="shared" si="534"/>
        <v>True</v>
      </c>
      <c r="V795" s="1" t="str">
        <f>"U0032697"</f>
        <v>U0032697</v>
      </c>
      <c r="W795" s="1">
        <v>1</v>
      </c>
      <c r="Y795" s="1">
        <v>0</v>
      </c>
      <c r="Z795" s="1">
        <v>0</v>
      </c>
      <c r="AB795" s="1" t="str">
        <f t="shared" si="542"/>
        <v>SMU</v>
      </c>
      <c r="AI795" s="1" t="str">
        <f t="shared" si="545"/>
        <v>F11</v>
      </c>
      <c r="AJ795" s="1" t="str">
        <f t="shared" si="535"/>
        <v>WOMAN</v>
      </c>
      <c r="AK795" s="1" t="str">
        <f t="shared" si="536"/>
        <v>PA</v>
      </c>
      <c r="AP795" s="1" t="str">
        <f t="shared" si="537"/>
        <v>False</v>
      </c>
      <c r="AR795" s="1" t="str">
        <f t="shared" si="543"/>
        <v>DECOR</v>
      </c>
      <c r="AY795" s="1" t="str">
        <f t="shared" si="538"/>
        <v>PF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 t="str">
        <f t="shared" si="544"/>
        <v>R GOMMA CANVAS</v>
      </c>
      <c r="BF795" s="1" t="str">
        <f t="shared" si="539"/>
        <v>Bonis SpA</v>
      </c>
    </row>
    <row r="796" spans="2:58" x14ac:dyDescent="0.25">
      <c r="B796" s="1">
        <v>2494</v>
      </c>
      <c r="C796" s="1" t="str">
        <f t="shared" si="540"/>
        <v>DECOR4237S7/C1</v>
      </c>
      <c r="E796" s="1" t="str">
        <f>"40"</f>
        <v>40</v>
      </c>
      <c r="F796" s="1" t="str">
        <f t="shared" si="527"/>
        <v>BONIS SPA</v>
      </c>
      <c r="G796" s="1" t="str">
        <f t="shared" si="517"/>
        <v>STOCK SCAFFALE MP</v>
      </c>
      <c r="H796" s="1" t="str">
        <f t="shared" si="526"/>
        <v>WHI</v>
      </c>
      <c r="K796" s="1">
        <v>2</v>
      </c>
      <c r="L796" s="1" t="str">
        <f t="shared" si="528"/>
        <v>01</v>
      </c>
      <c r="M796" s="1" t="str">
        <f t="shared" si="518"/>
        <v>408</v>
      </c>
      <c r="N796" s="1" t="str">
        <f t="shared" si="541"/>
        <v>013</v>
      </c>
      <c r="O796" s="1" t="str">
        <f t="shared" si="529"/>
        <v>00</v>
      </c>
      <c r="P796" s="1" t="str">
        <f t="shared" si="530"/>
        <v>S</v>
      </c>
      <c r="Q796" s="1" t="str">
        <f t="shared" si="531"/>
        <v>P</v>
      </c>
      <c r="R796" s="1" t="str">
        <f t="shared" si="532"/>
        <v>01</v>
      </c>
      <c r="S796" s="1" t="str">
        <f t="shared" si="519"/>
        <v>04</v>
      </c>
      <c r="T796" s="1" t="str">
        <f t="shared" si="533"/>
        <v>False</v>
      </c>
      <c r="U796" s="1" t="str">
        <f t="shared" si="534"/>
        <v>True</v>
      </c>
      <c r="V796" s="1" t="str">
        <f>"U0032697"</f>
        <v>U0032697</v>
      </c>
      <c r="W796" s="1">
        <v>1</v>
      </c>
      <c r="Y796" s="1">
        <v>0</v>
      </c>
      <c r="Z796" s="1">
        <v>0</v>
      </c>
      <c r="AB796" s="1" t="str">
        <f t="shared" si="542"/>
        <v>SMU</v>
      </c>
      <c r="AI796" s="1" t="str">
        <f t="shared" si="545"/>
        <v>F11</v>
      </c>
      <c r="AJ796" s="1" t="str">
        <f t="shared" si="535"/>
        <v>WOMAN</v>
      </c>
      <c r="AK796" s="1" t="str">
        <f t="shared" si="536"/>
        <v>PA</v>
      </c>
      <c r="AP796" s="1" t="str">
        <f t="shared" si="537"/>
        <v>False</v>
      </c>
      <c r="AR796" s="1" t="str">
        <f t="shared" si="543"/>
        <v>DECOR</v>
      </c>
      <c r="AY796" s="1" t="str">
        <f t="shared" si="538"/>
        <v>PF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 t="str">
        <f t="shared" si="544"/>
        <v>R GOMMA CANVAS</v>
      </c>
      <c r="BF796" s="1" t="str">
        <f t="shared" si="539"/>
        <v>Bonis SpA</v>
      </c>
    </row>
    <row r="797" spans="2:58" x14ac:dyDescent="0.25">
      <c r="B797" s="1">
        <v>2494</v>
      </c>
      <c r="C797" s="1" t="str">
        <f t="shared" si="540"/>
        <v>DECOR4237S7/C1</v>
      </c>
      <c r="E797" s="1" t="str">
        <f>"37"</f>
        <v>37</v>
      </c>
      <c r="F797" s="1" t="str">
        <f t="shared" si="527"/>
        <v>BONIS SPA</v>
      </c>
      <c r="G797" s="1" t="str">
        <f t="shared" si="517"/>
        <v>STOCK SCAFFALE MP</v>
      </c>
      <c r="H797" s="1" t="str">
        <f t="shared" si="526"/>
        <v>WHI</v>
      </c>
      <c r="K797" s="1">
        <v>2</v>
      </c>
      <c r="L797" s="1" t="str">
        <f t="shared" si="528"/>
        <v>01</v>
      </c>
      <c r="M797" s="1" t="str">
        <f t="shared" si="518"/>
        <v>408</v>
      </c>
      <c r="N797" s="1" t="str">
        <f t="shared" si="541"/>
        <v>013</v>
      </c>
      <c r="O797" s="1" t="str">
        <f t="shared" si="529"/>
        <v>00</v>
      </c>
      <c r="P797" s="1" t="str">
        <f t="shared" si="530"/>
        <v>S</v>
      </c>
      <c r="Q797" s="1" t="str">
        <f t="shared" si="531"/>
        <v>P</v>
      </c>
      <c r="R797" s="1" t="str">
        <f t="shared" si="532"/>
        <v>01</v>
      </c>
      <c r="S797" s="1" t="str">
        <f t="shared" si="519"/>
        <v>04</v>
      </c>
      <c r="T797" s="1" t="str">
        <f t="shared" si="533"/>
        <v>False</v>
      </c>
      <c r="U797" s="1" t="str">
        <f t="shared" si="534"/>
        <v>True</v>
      </c>
      <c r="V797" s="1" t="str">
        <f>"U0032697"</f>
        <v>U0032697</v>
      </c>
      <c r="W797" s="1">
        <v>1</v>
      </c>
      <c r="Y797" s="1">
        <v>0</v>
      </c>
      <c r="Z797" s="1">
        <v>0</v>
      </c>
      <c r="AB797" s="1" t="str">
        <f t="shared" si="542"/>
        <v>SMU</v>
      </c>
      <c r="AI797" s="1" t="str">
        <f t="shared" si="545"/>
        <v>F11</v>
      </c>
      <c r="AJ797" s="1" t="str">
        <f t="shared" si="535"/>
        <v>WOMAN</v>
      </c>
      <c r="AK797" s="1" t="str">
        <f t="shared" si="536"/>
        <v>PA</v>
      </c>
      <c r="AP797" s="1" t="str">
        <f t="shared" si="537"/>
        <v>False</v>
      </c>
      <c r="AR797" s="1" t="str">
        <f t="shared" si="543"/>
        <v>DECOR</v>
      </c>
      <c r="AY797" s="1" t="str">
        <f t="shared" si="538"/>
        <v>PF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 t="str">
        <f t="shared" si="544"/>
        <v>R GOMMA CANVAS</v>
      </c>
      <c r="BF797" s="1" t="str">
        <f t="shared" si="539"/>
        <v>Bonis SpA</v>
      </c>
    </row>
    <row r="798" spans="2:58" x14ac:dyDescent="0.25">
      <c r="B798" s="1">
        <v>2494</v>
      </c>
      <c r="C798" s="1" t="str">
        <f t="shared" si="540"/>
        <v>DECOR4237S7/C1</v>
      </c>
      <c r="E798" s="1" t="str">
        <f>"41"</f>
        <v>41</v>
      </c>
      <c r="F798" s="1" t="str">
        <f t="shared" si="527"/>
        <v>BONIS SPA</v>
      </c>
      <c r="G798" s="1" t="str">
        <f t="shared" si="517"/>
        <v>STOCK SCAFFALE MP</v>
      </c>
      <c r="H798" s="1" t="str">
        <f t="shared" si="526"/>
        <v>WHI</v>
      </c>
      <c r="K798" s="1">
        <v>2</v>
      </c>
      <c r="L798" s="1" t="str">
        <f t="shared" si="528"/>
        <v>01</v>
      </c>
      <c r="M798" s="1" t="str">
        <f t="shared" si="518"/>
        <v>408</v>
      </c>
      <c r="N798" s="1" t="str">
        <f t="shared" si="541"/>
        <v>013</v>
      </c>
      <c r="O798" s="1" t="str">
        <f t="shared" si="529"/>
        <v>00</v>
      </c>
      <c r="P798" s="1" t="str">
        <f t="shared" si="530"/>
        <v>S</v>
      </c>
      <c r="Q798" s="1" t="str">
        <f t="shared" si="531"/>
        <v>P</v>
      </c>
      <c r="R798" s="1" t="str">
        <f t="shared" si="532"/>
        <v>01</v>
      </c>
      <c r="S798" s="1" t="str">
        <f t="shared" si="519"/>
        <v>04</v>
      </c>
      <c r="T798" s="1" t="str">
        <f t="shared" si="533"/>
        <v>False</v>
      </c>
      <c r="U798" s="1" t="str">
        <f t="shared" si="534"/>
        <v>True</v>
      </c>
      <c r="V798" s="1" t="str">
        <f>"U0032697"</f>
        <v>U0032697</v>
      </c>
      <c r="W798" s="1">
        <v>1</v>
      </c>
      <c r="Y798" s="1">
        <v>0</v>
      </c>
      <c r="Z798" s="1">
        <v>0</v>
      </c>
      <c r="AB798" s="1" t="str">
        <f t="shared" si="542"/>
        <v>SMU</v>
      </c>
      <c r="AI798" s="1" t="str">
        <f t="shared" si="545"/>
        <v>F11</v>
      </c>
      <c r="AJ798" s="1" t="str">
        <f t="shared" si="535"/>
        <v>WOMAN</v>
      </c>
      <c r="AK798" s="1" t="str">
        <f t="shared" si="536"/>
        <v>PA</v>
      </c>
      <c r="AP798" s="1" t="str">
        <f t="shared" si="537"/>
        <v>False</v>
      </c>
      <c r="AR798" s="1" t="str">
        <f t="shared" si="543"/>
        <v>DECOR</v>
      </c>
      <c r="AY798" s="1" t="str">
        <f t="shared" si="538"/>
        <v>PF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 t="str">
        <f t="shared" si="544"/>
        <v>R GOMMA CANVAS</v>
      </c>
      <c r="BF798" s="1" t="str">
        <f t="shared" si="539"/>
        <v>Bonis SpA</v>
      </c>
    </row>
    <row r="799" spans="2:58" x14ac:dyDescent="0.25">
      <c r="B799" s="1">
        <v>2473</v>
      </c>
      <c r="C799" s="1" t="str">
        <f t="shared" ref="C799:C830" si="546">"EBONY4175S7/Y2"</f>
        <v>EBONY4175S7/Y2</v>
      </c>
      <c r="E799" s="1" t="str">
        <f>"31"</f>
        <v>31</v>
      </c>
      <c r="F799" s="1" t="str">
        <f t="shared" si="527"/>
        <v>BONIS SPA</v>
      </c>
      <c r="G799" s="1" t="str">
        <f t="shared" si="517"/>
        <v>STOCK SCAFFALE MP</v>
      </c>
      <c r="H799" s="1" t="str">
        <f t="shared" ref="H799:H830" si="547">"BLK"</f>
        <v>BLK</v>
      </c>
      <c r="K799" s="1">
        <v>2</v>
      </c>
      <c r="L799" s="1" t="str">
        <f t="shared" si="528"/>
        <v>01</v>
      </c>
      <c r="M799" s="1" t="str">
        <f t="shared" si="518"/>
        <v>408</v>
      </c>
      <c r="N799" s="1" t="str">
        <f t="shared" ref="N799:N830" si="548">"006"</f>
        <v>006</v>
      </c>
      <c r="O799" s="1" t="str">
        <f t="shared" si="529"/>
        <v>00</v>
      </c>
      <c r="P799" s="1" t="str">
        <f t="shared" si="530"/>
        <v>S</v>
      </c>
      <c r="Q799" s="1" t="str">
        <f t="shared" si="531"/>
        <v>P</v>
      </c>
      <c r="R799" s="1" t="str">
        <f t="shared" si="532"/>
        <v>01</v>
      </c>
      <c r="S799" s="1" t="str">
        <f t="shared" si="519"/>
        <v>04</v>
      </c>
      <c r="T799" s="1" t="str">
        <f t="shared" si="533"/>
        <v>False</v>
      </c>
      <c r="U799" s="1" t="str">
        <f t="shared" si="534"/>
        <v>True</v>
      </c>
      <c r="V799" s="1" t="str">
        <f t="shared" ref="V799:V806" si="549">"U0032696"</f>
        <v>U0032696</v>
      </c>
      <c r="W799" s="1">
        <v>1</v>
      </c>
      <c r="Y799" s="1">
        <v>0</v>
      </c>
      <c r="Z799" s="1">
        <v>0</v>
      </c>
      <c r="AI799" s="1" t="str">
        <f t="shared" ref="AI799:AI830" si="550">"F10"</f>
        <v>F10</v>
      </c>
      <c r="AJ799" s="1" t="str">
        <f t="shared" ref="AJ799:AJ830" si="551">"KID"</f>
        <v>KID</v>
      </c>
      <c r="AK799" s="1" t="str">
        <f t="shared" si="536"/>
        <v>PA</v>
      </c>
      <c r="AP799" s="1" t="str">
        <f t="shared" si="537"/>
        <v>False</v>
      </c>
      <c r="AR799" s="1" t="str">
        <f t="shared" ref="AR799:AR830" si="552">"EBONY"</f>
        <v>EBONY</v>
      </c>
      <c r="AY799" s="1" t="str">
        <f t="shared" si="538"/>
        <v>PF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 t="str">
        <f t="shared" ref="BE799:BE830" si="553">"A EVA TOMAIA SYNTHETIC GLITTER"</f>
        <v>A EVA TOMAIA SYNTHETIC GLITTER</v>
      </c>
      <c r="BF799" s="1" t="str">
        <f t="shared" si="539"/>
        <v>Bonis SpA</v>
      </c>
    </row>
    <row r="800" spans="2:58" x14ac:dyDescent="0.25">
      <c r="B800" s="1">
        <v>2473</v>
      </c>
      <c r="C800" s="1" t="str">
        <f t="shared" si="546"/>
        <v>EBONY4175S7/Y2</v>
      </c>
      <c r="E800" s="1" t="str">
        <f>"30"</f>
        <v>30</v>
      </c>
      <c r="F800" s="1" t="str">
        <f t="shared" si="527"/>
        <v>BONIS SPA</v>
      </c>
      <c r="G800" s="1" t="str">
        <f t="shared" si="517"/>
        <v>STOCK SCAFFALE MP</v>
      </c>
      <c r="H800" s="1" t="str">
        <f t="shared" si="547"/>
        <v>BLK</v>
      </c>
      <c r="K800" s="1">
        <v>2</v>
      </c>
      <c r="L800" s="1" t="str">
        <f t="shared" si="528"/>
        <v>01</v>
      </c>
      <c r="M800" s="1" t="str">
        <f t="shared" si="518"/>
        <v>408</v>
      </c>
      <c r="N800" s="1" t="str">
        <f t="shared" si="548"/>
        <v>006</v>
      </c>
      <c r="O800" s="1" t="str">
        <f t="shared" si="529"/>
        <v>00</v>
      </c>
      <c r="P800" s="1" t="str">
        <f t="shared" si="530"/>
        <v>S</v>
      </c>
      <c r="Q800" s="1" t="str">
        <f t="shared" si="531"/>
        <v>P</v>
      </c>
      <c r="R800" s="1" t="str">
        <f t="shared" si="532"/>
        <v>01</v>
      </c>
      <c r="S800" s="1" t="str">
        <f t="shared" si="519"/>
        <v>04</v>
      </c>
      <c r="T800" s="1" t="str">
        <f t="shared" si="533"/>
        <v>False</v>
      </c>
      <c r="U800" s="1" t="str">
        <f t="shared" si="534"/>
        <v>True</v>
      </c>
      <c r="V800" s="1" t="str">
        <f t="shared" si="549"/>
        <v>U0032696</v>
      </c>
      <c r="W800" s="1">
        <v>1</v>
      </c>
      <c r="Y800" s="1">
        <v>0</v>
      </c>
      <c r="Z800" s="1">
        <v>0</v>
      </c>
      <c r="AI800" s="1" t="str">
        <f t="shared" si="550"/>
        <v>F10</v>
      </c>
      <c r="AJ800" s="1" t="str">
        <f t="shared" si="551"/>
        <v>KID</v>
      </c>
      <c r="AK800" s="1" t="str">
        <f t="shared" si="536"/>
        <v>PA</v>
      </c>
      <c r="AP800" s="1" t="str">
        <f t="shared" si="537"/>
        <v>False</v>
      </c>
      <c r="AR800" s="1" t="str">
        <f t="shared" si="552"/>
        <v>EBONY</v>
      </c>
      <c r="AY800" s="1" t="str">
        <f t="shared" si="538"/>
        <v>PF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 t="str">
        <f t="shared" si="553"/>
        <v>A EVA TOMAIA SYNTHETIC GLITTER</v>
      </c>
      <c r="BF800" s="1" t="str">
        <f t="shared" si="539"/>
        <v>Bonis SpA</v>
      </c>
    </row>
    <row r="801" spans="2:58" x14ac:dyDescent="0.25">
      <c r="B801" s="1">
        <v>2473</v>
      </c>
      <c r="C801" s="1" t="str">
        <f t="shared" si="546"/>
        <v>EBONY4175S7/Y2</v>
      </c>
      <c r="E801" s="1" t="str">
        <f>"28"</f>
        <v>28</v>
      </c>
      <c r="F801" s="1" t="str">
        <f t="shared" si="527"/>
        <v>BONIS SPA</v>
      </c>
      <c r="G801" s="1" t="str">
        <f t="shared" si="517"/>
        <v>STOCK SCAFFALE MP</v>
      </c>
      <c r="H801" s="1" t="str">
        <f t="shared" si="547"/>
        <v>BLK</v>
      </c>
      <c r="K801" s="1">
        <v>1</v>
      </c>
      <c r="L801" s="1" t="str">
        <f t="shared" si="528"/>
        <v>01</v>
      </c>
      <c r="M801" s="1" t="str">
        <f t="shared" si="518"/>
        <v>408</v>
      </c>
      <c r="N801" s="1" t="str">
        <f t="shared" si="548"/>
        <v>006</v>
      </c>
      <c r="O801" s="1" t="str">
        <f t="shared" si="529"/>
        <v>00</v>
      </c>
      <c r="P801" s="1" t="str">
        <f t="shared" si="530"/>
        <v>S</v>
      </c>
      <c r="Q801" s="1" t="str">
        <f t="shared" si="531"/>
        <v>P</v>
      </c>
      <c r="R801" s="1" t="str">
        <f t="shared" si="532"/>
        <v>01</v>
      </c>
      <c r="S801" s="1" t="str">
        <f t="shared" si="519"/>
        <v>04</v>
      </c>
      <c r="T801" s="1" t="str">
        <f t="shared" si="533"/>
        <v>False</v>
      </c>
      <c r="U801" s="1" t="str">
        <f t="shared" si="534"/>
        <v>True</v>
      </c>
      <c r="V801" s="1" t="str">
        <f t="shared" si="549"/>
        <v>U0032696</v>
      </c>
      <c r="W801" s="1">
        <v>1</v>
      </c>
      <c r="Y801" s="1">
        <v>0</v>
      </c>
      <c r="Z801" s="1">
        <v>0</v>
      </c>
      <c r="AI801" s="1" t="str">
        <f t="shared" si="550"/>
        <v>F10</v>
      </c>
      <c r="AJ801" s="1" t="str">
        <f t="shared" si="551"/>
        <v>KID</v>
      </c>
      <c r="AK801" s="1" t="str">
        <f t="shared" si="536"/>
        <v>PA</v>
      </c>
      <c r="AP801" s="1" t="str">
        <f t="shared" si="537"/>
        <v>False</v>
      </c>
      <c r="AR801" s="1" t="str">
        <f t="shared" si="552"/>
        <v>EBONY</v>
      </c>
      <c r="AY801" s="1" t="str">
        <f t="shared" si="538"/>
        <v>PF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 t="str">
        <f t="shared" si="553"/>
        <v>A EVA TOMAIA SYNTHETIC GLITTER</v>
      </c>
      <c r="BF801" s="1" t="str">
        <f t="shared" si="539"/>
        <v>Bonis SpA</v>
      </c>
    </row>
    <row r="802" spans="2:58" x14ac:dyDescent="0.25">
      <c r="B802" s="1">
        <v>2473</v>
      </c>
      <c r="C802" s="1" t="str">
        <f t="shared" si="546"/>
        <v>EBONY4175S7/Y2</v>
      </c>
      <c r="E802" s="1" t="str">
        <f>"29"</f>
        <v>29</v>
      </c>
      <c r="F802" s="1" t="str">
        <f t="shared" si="527"/>
        <v>BONIS SPA</v>
      </c>
      <c r="G802" s="1" t="str">
        <f t="shared" si="517"/>
        <v>STOCK SCAFFALE MP</v>
      </c>
      <c r="H802" s="1" t="str">
        <f t="shared" si="547"/>
        <v>BLK</v>
      </c>
      <c r="K802" s="1">
        <v>2</v>
      </c>
      <c r="L802" s="1" t="str">
        <f t="shared" si="528"/>
        <v>01</v>
      </c>
      <c r="M802" s="1" t="str">
        <f t="shared" si="518"/>
        <v>408</v>
      </c>
      <c r="N802" s="1" t="str">
        <f t="shared" si="548"/>
        <v>006</v>
      </c>
      <c r="O802" s="1" t="str">
        <f t="shared" si="529"/>
        <v>00</v>
      </c>
      <c r="P802" s="1" t="str">
        <f t="shared" si="530"/>
        <v>S</v>
      </c>
      <c r="Q802" s="1" t="str">
        <f t="shared" si="531"/>
        <v>P</v>
      </c>
      <c r="R802" s="1" t="str">
        <f t="shared" si="532"/>
        <v>01</v>
      </c>
      <c r="S802" s="1" t="str">
        <f t="shared" si="519"/>
        <v>04</v>
      </c>
      <c r="T802" s="1" t="str">
        <f t="shared" si="533"/>
        <v>False</v>
      </c>
      <c r="U802" s="1" t="str">
        <f t="shared" si="534"/>
        <v>True</v>
      </c>
      <c r="V802" s="1" t="str">
        <f t="shared" si="549"/>
        <v>U0032696</v>
      </c>
      <c r="W802" s="1">
        <v>1</v>
      </c>
      <c r="Y802" s="1">
        <v>0</v>
      </c>
      <c r="Z802" s="1">
        <v>0</v>
      </c>
      <c r="AI802" s="1" t="str">
        <f t="shared" si="550"/>
        <v>F10</v>
      </c>
      <c r="AJ802" s="1" t="str">
        <f t="shared" si="551"/>
        <v>KID</v>
      </c>
      <c r="AK802" s="1" t="str">
        <f t="shared" si="536"/>
        <v>PA</v>
      </c>
      <c r="AP802" s="1" t="str">
        <f t="shared" si="537"/>
        <v>False</v>
      </c>
      <c r="AR802" s="1" t="str">
        <f t="shared" si="552"/>
        <v>EBONY</v>
      </c>
      <c r="AY802" s="1" t="str">
        <f t="shared" si="538"/>
        <v>PF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 t="str">
        <f t="shared" si="553"/>
        <v>A EVA TOMAIA SYNTHETIC GLITTER</v>
      </c>
      <c r="BF802" s="1" t="str">
        <f t="shared" si="539"/>
        <v>Bonis SpA</v>
      </c>
    </row>
    <row r="803" spans="2:58" x14ac:dyDescent="0.25">
      <c r="B803" s="1">
        <v>2473</v>
      </c>
      <c r="C803" s="1" t="str">
        <f t="shared" si="546"/>
        <v>EBONY4175S7/Y2</v>
      </c>
      <c r="E803" s="1" t="str">
        <f>"32"</f>
        <v>32</v>
      </c>
      <c r="F803" s="1" t="str">
        <f t="shared" si="527"/>
        <v>BONIS SPA</v>
      </c>
      <c r="G803" s="1" t="str">
        <f t="shared" si="517"/>
        <v>STOCK SCAFFALE MP</v>
      </c>
      <c r="H803" s="1" t="str">
        <f t="shared" si="547"/>
        <v>BLK</v>
      </c>
      <c r="K803" s="1">
        <v>1</v>
      </c>
      <c r="L803" s="1" t="str">
        <f t="shared" si="528"/>
        <v>01</v>
      </c>
      <c r="M803" s="1" t="str">
        <f t="shared" si="518"/>
        <v>408</v>
      </c>
      <c r="N803" s="1" t="str">
        <f t="shared" si="548"/>
        <v>006</v>
      </c>
      <c r="O803" s="1" t="str">
        <f t="shared" si="529"/>
        <v>00</v>
      </c>
      <c r="P803" s="1" t="str">
        <f t="shared" si="530"/>
        <v>S</v>
      </c>
      <c r="Q803" s="1" t="str">
        <f t="shared" si="531"/>
        <v>P</v>
      </c>
      <c r="R803" s="1" t="str">
        <f t="shared" si="532"/>
        <v>01</v>
      </c>
      <c r="S803" s="1" t="str">
        <f t="shared" si="519"/>
        <v>04</v>
      </c>
      <c r="T803" s="1" t="str">
        <f t="shared" si="533"/>
        <v>False</v>
      </c>
      <c r="U803" s="1" t="str">
        <f t="shared" si="534"/>
        <v>True</v>
      </c>
      <c r="V803" s="1" t="str">
        <f t="shared" si="549"/>
        <v>U0032696</v>
      </c>
      <c r="W803" s="1">
        <v>1</v>
      </c>
      <c r="Y803" s="1">
        <v>0</v>
      </c>
      <c r="Z803" s="1">
        <v>0</v>
      </c>
      <c r="AI803" s="1" t="str">
        <f t="shared" si="550"/>
        <v>F10</v>
      </c>
      <c r="AJ803" s="1" t="str">
        <f t="shared" si="551"/>
        <v>KID</v>
      </c>
      <c r="AK803" s="1" t="str">
        <f t="shared" si="536"/>
        <v>PA</v>
      </c>
      <c r="AP803" s="1" t="str">
        <f t="shared" si="537"/>
        <v>False</v>
      </c>
      <c r="AR803" s="1" t="str">
        <f t="shared" si="552"/>
        <v>EBONY</v>
      </c>
      <c r="AY803" s="1" t="str">
        <f t="shared" si="538"/>
        <v>PF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 t="str">
        <f t="shared" si="553"/>
        <v>A EVA TOMAIA SYNTHETIC GLITTER</v>
      </c>
      <c r="BF803" s="1" t="str">
        <f t="shared" si="539"/>
        <v>Bonis SpA</v>
      </c>
    </row>
    <row r="804" spans="2:58" x14ac:dyDescent="0.25">
      <c r="B804" s="1">
        <v>2473</v>
      </c>
      <c r="C804" s="1" t="str">
        <f t="shared" si="546"/>
        <v>EBONY4175S7/Y2</v>
      </c>
      <c r="E804" s="1" t="str">
        <f>"33"</f>
        <v>33</v>
      </c>
      <c r="F804" s="1" t="str">
        <f t="shared" si="527"/>
        <v>BONIS SPA</v>
      </c>
      <c r="G804" s="1" t="str">
        <f t="shared" si="517"/>
        <v>STOCK SCAFFALE MP</v>
      </c>
      <c r="H804" s="1" t="str">
        <f t="shared" si="547"/>
        <v>BLK</v>
      </c>
      <c r="K804" s="1">
        <v>1</v>
      </c>
      <c r="L804" s="1" t="str">
        <f t="shared" si="528"/>
        <v>01</v>
      </c>
      <c r="M804" s="1" t="str">
        <f t="shared" si="518"/>
        <v>408</v>
      </c>
      <c r="N804" s="1" t="str">
        <f t="shared" si="548"/>
        <v>006</v>
      </c>
      <c r="O804" s="1" t="str">
        <f t="shared" si="529"/>
        <v>00</v>
      </c>
      <c r="P804" s="1" t="str">
        <f t="shared" si="530"/>
        <v>S</v>
      </c>
      <c r="Q804" s="1" t="str">
        <f t="shared" si="531"/>
        <v>P</v>
      </c>
      <c r="R804" s="1" t="str">
        <f t="shared" si="532"/>
        <v>01</v>
      </c>
      <c r="S804" s="1" t="str">
        <f t="shared" si="519"/>
        <v>04</v>
      </c>
      <c r="T804" s="1" t="str">
        <f t="shared" si="533"/>
        <v>False</v>
      </c>
      <c r="U804" s="1" t="str">
        <f t="shared" si="534"/>
        <v>True</v>
      </c>
      <c r="V804" s="1" t="str">
        <f t="shared" si="549"/>
        <v>U0032696</v>
      </c>
      <c r="W804" s="1">
        <v>1</v>
      </c>
      <c r="Y804" s="1">
        <v>0</v>
      </c>
      <c r="Z804" s="1">
        <v>0</v>
      </c>
      <c r="AI804" s="1" t="str">
        <f t="shared" si="550"/>
        <v>F10</v>
      </c>
      <c r="AJ804" s="1" t="str">
        <f t="shared" si="551"/>
        <v>KID</v>
      </c>
      <c r="AK804" s="1" t="str">
        <f t="shared" si="536"/>
        <v>PA</v>
      </c>
      <c r="AP804" s="1" t="str">
        <f t="shared" si="537"/>
        <v>False</v>
      </c>
      <c r="AR804" s="1" t="str">
        <f t="shared" si="552"/>
        <v>EBONY</v>
      </c>
      <c r="AY804" s="1" t="str">
        <f t="shared" si="538"/>
        <v>PF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 t="str">
        <f t="shared" si="553"/>
        <v>A EVA TOMAIA SYNTHETIC GLITTER</v>
      </c>
      <c r="BF804" s="1" t="str">
        <f t="shared" si="539"/>
        <v>Bonis SpA</v>
      </c>
    </row>
    <row r="805" spans="2:58" x14ac:dyDescent="0.25">
      <c r="B805" s="1">
        <v>2473</v>
      </c>
      <c r="C805" s="1" t="str">
        <f t="shared" si="546"/>
        <v>EBONY4175S7/Y2</v>
      </c>
      <c r="E805" s="1" t="str">
        <f>"34"</f>
        <v>34</v>
      </c>
      <c r="F805" s="1" t="str">
        <f t="shared" si="527"/>
        <v>BONIS SPA</v>
      </c>
      <c r="G805" s="1" t="str">
        <f t="shared" si="517"/>
        <v>STOCK SCAFFALE MP</v>
      </c>
      <c r="H805" s="1" t="str">
        <f t="shared" si="547"/>
        <v>BLK</v>
      </c>
      <c r="K805" s="1">
        <v>2</v>
      </c>
      <c r="L805" s="1" t="str">
        <f t="shared" si="528"/>
        <v>01</v>
      </c>
      <c r="M805" s="1" t="str">
        <f t="shared" si="518"/>
        <v>408</v>
      </c>
      <c r="N805" s="1" t="str">
        <f t="shared" si="548"/>
        <v>006</v>
      </c>
      <c r="O805" s="1" t="str">
        <f t="shared" si="529"/>
        <v>00</v>
      </c>
      <c r="P805" s="1" t="str">
        <f t="shared" si="530"/>
        <v>S</v>
      </c>
      <c r="Q805" s="1" t="str">
        <f t="shared" si="531"/>
        <v>P</v>
      </c>
      <c r="R805" s="1" t="str">
        <f t="shared" si="532"/>
        <v>01</v>
      </c>
      <c r="S805" s="1" t="str">
        <f t="shared" si="519"/>
        <v>04</v>
      </c>
      <c r="T805" s="1" t="str">
        <f t="shared" si="533"/>
        <v>False</v>
      </c>
      <c r="U805" s="1" t="str">
        <f t="shared" si="534"/>
        <v>True</v>
      </c>
      <c r="V805" s="1" t="str">
        <f t="shared" si="549"/>
        <v>U0032696</v>
      </c>
      <c r="W805" s="1">
        <v>1</v>
      </c>
      <c r="Y805" s="1">
        <v>0</v>
      </c>
      <c r="Z805" s="1">
        <v>0</v>
      </c>
      <c r="AI805" s="1" t="str">
        <f t="shared" si="550"/>
        <v>F10</v>
      </c>
      <c r="AJ805" s="1" t="str">
        <f t="shared" si="551"/>
        <v>KID</v>
      </c>
      <c r="AK805" s="1" t="str">
        <f t="shared" si="536"/>
        <v>PA</v>
      </c>
      <c r="AP805" s="1" t="str">
        <f t="shared" si="537"/>
        <v>False</v>
      </c>
      <c r="AR805" s="1" t="str">
        <f t="shared" si="552"/>
        <v>EBONY</v>
      </c>
      <c r="AY805" s="1" t="str">
        <f t="shared" si="538"/>
        <v>PF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 t="str">
        <f t="shared" si="553"/>
        <v>A EVA TOMAIA SYNTHETIC GLITTER</v>
      </c>
      <c r="BF805" s="1" t="str">
        <f t="shared" si="539"/>
        <v>Bonis SpA</v>
      </c>
    </row>
    <row r="806" spans="2:58" x14ac:dyDescent="0.25">
      <c r="B806" s="1">
        <v>2473</v>
      </c>
      <c r="C806" s="1" t="str">
        <f t="shared" si="546"/>
        <v>EBONY4175S7/Y2</v>
      </c>
      <c r="E806" s="1" t="str">
        <f>"35"</f>
        <v>35</v>
      </c>
      <c r="F806" s="1" t="str">
        <f t="shared" si="527"/>
        <v>BONIS SPA</v>
      </c>
      <c r="G806" s="1" t="str">
        <f t="shared" si="517"/>
        <v>STOCK SCAFFALE MP</v>
      </c>
      <c r="H806" s="1" t="str">
        <f t="shared" si="547"/>
        <v>BLK</v>
      </c>
      <c r="K806" s="1">
        <v>1</v>
      </c>
      <c r="L806" s="1" t="str">
        <f t="shared" si="528"/>
        <v>01</v>
      </c>
      <c r="M806" s="1" t="str">
        <f t="shared" si="518"/>
        <v>408</v>
      </c>
      <c r="N806" s="1" t="str">
        <f t="shared" si="548"/>
        <v>006</v>
      </c>
      <c r="O806" s="1" t="str">
        <f t="shared" si="529"/>
        <v>00</v>
      </c>
      <c r="P806" s="1" t="str">
        <f t="shared" si="530"/>
        <v>S</v>
      </c>
      <c r="Q806" s="1" t="str">
        <f t="shared" si="531"/>
        <v>P</v>
      </c>
      <c r="R806" s="1" t="str">
        <f t="shared" si="532"/>
        <v>01</v>
      </c>
      <c r="S806" s="1" t="str">
        <f t="shared" si="519"/>
        <v>04</v>
      </c>
      <c r="T806" s="1" t="str">
        <f t="shared" si="533"/>
        <v>False</v>
      </c>
      <c r="U806" s="1" t="str">
        <f t="shared" si="534"/>
        <v>True</v>
      </c>
      <c r="V806" s="1" t="str">
        <f t="shared" si="549"/>
        <v>U0032696</v>
      </c>
      <c r="W806" s="1">
        <v>1</v>
      </c>
      <c r="Y806" s="1">
        <v>0</v>
      </c>
      <c r="Z806" s="1">
        <v>0</v>
      </c>
      <c r="AI806" s="1" t="str">
        <f t="shared" si="550"/>
        <v>F10</v>
      </c>
      <c r="AJ806" s="1" t="str">
        <f t="shared" si="551"/>
        <v>KID</v>
      </c>
      <c r="AK806" s="1" t="str">
        <f t="shared" si="536"/>
        <v>PA</v>
      </c>
      <c r="AP806" s="1" t="str">
        <f t="shared" si="537"/>
        <v>False</v>
      </c>
      <c r="AR806" s="1" t="str">
        <f t="shared" si="552"/>
        <v>EBONY</v>
      </c>
      <c r="AY806" s="1" t="str">
        <f t="shared" si="538"/>
        <v>PF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 t="str">
        <f t="shared" si="553"/>
        <v>A EVA TOMAIA SYNTHETIC GLITTER</v>
      </c>
      <c r="BF806" s="1" t="str">
        <f t="shared" si="539"/>
        <v>Bonis SpA</v>
      </c>
    </row>
    <row r="807" spans="2:58" x14ac:dyDescent="0.25">
      <c r="B807" s="1">
        <v>2473</v>
      </c>
      <c r="C807" s="1" t="str">
        <f t="shared" si="546"/>
        <v>EBONY4175S7/Y2</v>
      </c>
      <c r="E807" s="1" t="str">
        <f>"34"</f>
        <v>34</v>
      </c>
      <c r="F807" s="1" t="str">
        <f t="shared" si="527"/>
        <v>BONIS SPA</v>
      </c>
      <c r="G807" s="1" t="str">
        <f t="shared" si="517"/>
        <v>STOCK SCAFFALE MP</v>
      </c>
      <c r="H807" s="1" t="str">
        <f t="shared" si="547"/>
        <v>BLK</v>
      </c>
      <c r="K807" s="1">
        <v>2</v>
      </c>
      <c r="L807" s="1" t="str">
        <f t="shared" si="528"/>
        <v>01</v>
      </c>
      <c r="M807" s="1" t="str">
        <f t="shared" si="518"/>
        <v>408</v>
      </c>
      <c r="N807" s="1" t="str">
        <f t="shared" si="548"/>
        <v>006</v>
      </c>
      <c r="O807" s="1" t="str">
        <f t="shared" si="529"/>
        <v>00</v>
      </c>
      <c r="P807" s="1" t="str">
        <f t="shared" si="530"/>
        <v>S</v>
      </c>
      <c r="Q807" s="1" t="str">
        <f t="shared" si="531"/>
        <v>P</v>
      </c>
      <c r="R807" s="1" t="str">
        <f t="shared" si="532"/>
        <v>01</v>
      </c>
      <c r="S807" s="1" t="str">
        <f t="shared" si="519"/>
        <v>04</v>
      </c>
      <c r="T807" s="1" t="str">
        <f t="shared" si="533"/>
        <v>False</v>
      </c>
      <c r="U807" s="1" t="str">
        <f t="shared" si="534"/>
        <v>True</v>
      </c>
      <c r="V807" s="1" t="str">
        <f t="shared" ref="V807:V814" si="554">"U0032695"</f>
        <v>U0032695</v>
      </c>
      <c r="W807" s="1">
        <v>1</v>
      </c>
      <c r="Y807" s="1">
        <v>0</v>
      </c>
      <c r="Z807" s="1">
        <v>0</v>
      </c>
      <c r="AI807" s="1" t="str">
        <f t="shared" si="550"/>
        <v>F10</v>
      </c>
      <c r="AJ807" s="1" t="str">
        <f t="shared" si="551"/>
        <v>KID</v>
      </c>
      <c r="AK807" s="1" t="str">
        <f t="shared" si="536"/>
        <v>PA</v>
      </c>
      <c r="AP807" s="1" t="str">
        <f t="shared" si="537"/>
        <v>False</v>
      </c>
      <c r="AR807" s="1" t="str">
        <f t="shared" si="552"/>
        <v>EBONY</v>
      </c>
      <c r="AY807" s="1" t="str">
        <f t="shared" si="538"/>
        <v>PF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 t="str">
        <f t="shared" si="553"/>
        <v>A EVA TOMAIA SYNTHETIC GLITTER</v>
      </c>
      <c r="BF807" s="1" t="str">
        <f t="shared" si="539"/>
        <v>Bonis SpA</v>
      </c>
    </row>
    <row r="808" spans="2:58" x14ac:dyDescent="0.25">
      <c r="B808" s="1">
        <v>2473</v>
      </c>
      <c r="C808" s="1" t="str">
        <f t="shared" si="546"/>
        <v>EBONY4175S7/Y2</v>
      </c>
      <c r="E808" s="1" t="str">
        <f>"32"</f>
        <v>32</v>
      </c>
      <c r="F808" s="1" t="str">
        <f t="shared" si="527"/>
        <v>BONIS SPA</v>
      </c>
      <c r="G808" s="1" t="str">
        <f t="shared" si="517"/>
        <v>STOCK SCAFFALE MP</v>
      </c>
      <c r="H808" s="1" t="str">
        <f t="shared" si="547"/>
        <v>BLK</v>
      </c>
      <c r="K808" s="1">
        <v>2</v>
      </c>
      <c r="L808" s="1" t="str">
        <f t="shared" si="528"/>
        <v>01</v>
      </c>
      <c r="M808" s="1" t="str">
        <f t="shared" si="518"/>
        <v>408</v>
      </c>
      <c r="N808" s="1" t="str">
        <f t="shared" si="548"/>
        <v>006</v>
      </c>
      <c r="O808" s="1" t="str">
        <f t="shared" si="529"/>
        <v>00</v>
      </c>
      <c r="P808" s="1" t="str">
        <f t="shared" si="530"/>
        <v>S</v>
      </c>
      <c r="Q808" s="1" t="str">
        <f t="shared" si="531"/>
        <v>P</v>
      </c>
      <c r="R808" s="1" t="str">
        <f t="shared" si="532"/>
        <v>01</v>
      </c>
      <c r="S808" s="1" t="str">
        <f t="shared" si="519"/>
        <v>04</v>
      </c>
      <c r="T808" s="1" t="str">
        <f t="shared" si="533"/>
        <v>False</v>
      </c>
      <c r="U808" s="1" t="str">
        <f t="shared" si="534"/>
        <v>True</v>
      </c>
      <c r="V808" s="1" t="str">
        <f t="shared" si="554"/>
        <v>U0032695</v>
      </c>
      <c r="W808" s="1">
        <v>1</v>
      </c>
      <c r="Y808" s="1">
        <v>0</v>
      </c>
      <c r="Z808" s="1">
        <v>0</v>
      </c>
      <c r="AI808" s="1" t="str">
        <f t="shared" si="550"/>
        <v>F10</v>
      </c>
      <c r="AJ808" s="1" t="str">
        <f t="shared" si="551"/>
        <v>KID</v>
      </c>
      <c r="AK808" s="1" t="str">
        <f t="shared" si="536"/>
        <v>PA</v>
      </c>
      <c r="AP808" s="1" t="str">
        <f t="shared" si="537"/>
        <v>False</v>
      </c>
      <c r="AR808" s="1" t="str">
        <f t="shared" si="552"/>
        <v>EBONY</v>
      </c>
      <c r="AY808" s="1" t="str">
        <f t="shared" si="538"/>
        <v>PF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 t="str">
        <f t="shared" si="553"/>
        <v>A EVA TOMAIA SYNTHETIC GLITTER</v>
      </c>
      <c r="BF808" s="1" t="str">
        <f t="shared" si="539"/>
        <v>Bonis SpA</v>
      </c>
    </row>
    <row r="809" spans="2:58" x14ac:dyDescent="0.25">
      <c r="B809" s="1">
        <v>2473</v>
      </c>
      <c r="C809" s="1" t="str">
        <f t="shared" si="546"/>
        <v>EBONY4175S7/Y2</v>
      </c>
      <c r="E809" s="1" t="str">
        <f>"29"</f>
        <v>29</v>
      </c>
      <c r="F809" s="1" t="str">
        <f t="shared" si="527"/>
        <v>BONIS SPA</v>
      </c>
      <c r="G809" s="1" t="str">
        <f t="shared" si="517"/>
        <v>STOCK SCAFFALE MP</v>
      </c>
      <c r="H809" s="1" t="str">
        <f t="shared" si="547"/>
        <v>BLK</v>
      </c>
      <c r="K809" s="1">
        <v>2</v>
      </c>
      <c r="L809" s="1" t="str">
        <f t="shared" si="528"/>
        <v>01</v>
      </c>
      <c r="M809" s="1" t="str">
        <f t="shared" si="518"/>
        <v>408</v>
      </c>
      <c r="N809" s="1" t="str">
        <f t="shared" si="548"/>
        <v>006</v>
      </c>
      <c r="O809" s="1" t="str">
        <f t="shared" si="529"/>
        <v>00</v>
      </c>
      <c r="P809" s="1" t="str">
        <f t="shared" si="530"/>
        <v>S</v>
      </c>
      <c r="Q809" s="1" t="str">
        <f t="shared" si="531"/>
        <v>P</v>
      </c>
      <c r="R809" s="1" t="str">
        <f t="shared" si="532"/>
        <v>01</v>
      </c>
      <c r="S809" s="1" t="str">
        <f t="shared" si="519"/>
        <v>04</v>
      </c>
      <c r="T809" s="1" t="str">
        <f t="shared" si="533"/>
        <v>False</v>
      </c>
      <c r="U809" s="1" t="str">
        <f t="shared" si="534"/>
        <v>True</v>
      </c>
      <c r="V809" s="1" t="str">
        <f t="shared" si="554"/>
        <v>U0032695</v>
      </c>
      <c r="W809" s="1">
        <v>1</v>
      </c>
      <c r="Y809" s="1">
        <v>0</v>
      </c>
      <c r="Z809" s="1">
        <v>0</v>
      </c>
      <c r="AI809" s="1" t="str">
        <f t="shared" si="550"/>
        <v>F10</v>
      </c>
      <c r="AJ809" s="1" t="str">
        <f t="shared" si="551"/>
        <v>KID</v>
      </c>
      <c r="AK809" s="1" t="str">
        <f t="shared" si="536"/>
        <v>PA</v>
      </c>
      <c r="AP809" s="1" t="str">
        <f t="shared" si="537"/>
        <v>False</v>
      </c>
      <c r="AR809" s="1" t="str">
        <f t="shared" si="552"/>
        <v>EBONY</v>
      </c>
      <c r="AY809" s="1" t="str">
        <f t="shared" si="538"/>
        <v>PF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 t="str">
        <f t="shared" si="553"/>
        <v>A EVA TOMAIA SYNTHETIC GLITTER</v>
      </c>
      <c r="BF809" s="1" t="str">
        <f t="shared" si="539"/>
        <v>Bonis SpA</v>
      </c>
    </row>
    <row r="810" spans="2:58" x14ac:dyDescent="0.25">
      <c r="B810" s="1">
        <v>2473</v>
      </c>
      <c r="C810" s="1" t="str">
        <f t="shared" si="546"/>
        <v>EBONY4175S7/Y2</v>
      </c>
      <c r="E810" s="1" t="str">
        <f>"35"</f>
        <v>35</v>
      </c>
      <c r="F810" s="1" t="str">
        <f t="shared" si="527"/>
        <v>BONIS SPA</v>
      </c>
      <c r="G810" s="1" t="str">
        <f t="shared" si="517"/>
        <v>STOCK SCAFFALE MP</v>
      </c>
      <c r="H810" s="1" t="str">
        <f t="shared" si="547"/>
        <v>BLK</v>
      </c>
      <c r="K810" s="1">
        <v>1</v>
      </c>
      <c r="L810" s="1" t="str">
        <f t="shared" si="528"/>
        <v>01</v>
      </c>
      <c r="M810" s="1" t="str">
        <f t="shared" si="518"/>
        <v>408</v>
      </c>
      <c r="N810" s="1" t="str">
        <f t="shared" si="548"/>
        <v>006</v>
      </c>
      <c r="O810" s="1" t="str">
        <f t="shared" si="529"/>
        <v>00</v>
      </c>
      <c r="P810" s="1" t="str">
        <f t="shared" si="530"/>
        <v>S</v>
      </c>
      <c r="Q810" s="1" t="str">
        <f t="shared" si="531"/>
        <v>P</v>
      </c>
      <c r="R810" s="1" t="str">
        <f t="shared" si="532"/>
        <v>01</v>
      </c>
      <c r="S810" s="1" t="str">
        <f t="shared" si="519"/>
        <v>04</v>
      </c>
      <c r="T810" s="1" t="str">
        <f t="shared" si="533"/>
        <v>False</v>
      </c>
      <c r="U810" s="1" t="str">
        <f t="shared" si="534"/>
        <v>True</v>
      </c>
      <c r="V810" s="1" t="str">
        <f t="shared" si="554"/>
        <v>U0032695</v>
      </c>
      <c r="W810" s="1">
        <v>1</v>
      </c>
      <c r="Y810" s="1">
        <v>0</v>
      </c>
      <c r="Z810" s="1">
        <v>0</v>
      </c>
      <c r="AI810" s="1" t="str">
        <f t="shared" si="550"/>
        <v>F10</v>
      </c>
      <c r="AJ810" s="1" t="str">
        <f t="shared" si="551"/>
        <v>KID</v>
      </c>
      <c r="AK810" s="1" t="str">
        <f t="shared" si="536"/>
        <v>PA</v>
      </c>
      <c r="AP810" s="1" t="str">
        <f t="shared" si="537"/>
        <v>False</v>
      </c>
      <c r="AR810" s="1" t="str">
        <f t="shared" si="552"/>
        <v>EBONY</v>
      </c>
      <c r="AY810" s="1" t="str">
        <f t="shared" si="538"/>
        <v>PF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 t="str">
        <f t="shared" si="553"/>
        <v>A EVA TOMAIA SYNTHETIC GLITTER</v>
      </c>
      <c r="BF810" s="1" t="str">
        <f t="shared" si="539"/>
        <v>Bonis SpA</v>
      </c>
    </row>
    <row r="811" spans="2:58" x14ac:dyDescent="0.25">
      <c r="B811" s="1">
        <v>2473</v>
      </c>
      <c r="C811" s="1" t="str">
        <f t="shared" si="546"/>
        <v>EBONY4175S7/Y2</v>
      </c>
      <c r="E811" s="1" t="str">
        <f>"31"</f>
        <v>31</v>
      </c>
      <c r="F811" s="1" t="str">
        <f t="shared" si="527"/>
        <v>BONIS SPA</v>
      </c>
      <c r="G811" s="1" t="str">
        <f t="shared" si="517"/>
        <v>STOCK SCAFFALE MP</v>
      </c>
      <c r="H811" s="1" t="str">
        <f t="shared" si="547"/>
        <v>BLK</v>
      </c>
      <c r="K811" s="1">
        <v>2</v>
      </c>
      <c r="L811" s="1" t="str">
        <f t="shared" si="528"/>
        <v>01</v>
      </c>
      <c r="M811" s="1" t="str">
        <f t="shared" si="518"/>
        <v>408</v>
      </c>
      <c r="N811" s="1" t="str">
        <f t="shared" si="548"/>
        <v>006</v>
      </c>
      <c r="O811" s="1" t="str">
        <f t="shared" si="529"/>
        <v>00</v>
      </c>
      <c r="P811" s="1" t="str">
        <f t="shared" si="530"/>
        <v>S</v>
      </c>
      <c r="Q811" s="1" t="str">
        <f t="shared" si="531"/>
        <v>P</v>
      </c>
      <c r="R811" s="1" t="str">
        <f t="shared" si="532"/>
        <v>01</v>
      </c>
      <c r="S811" s="1" t="str">
        <f t="shared" si="519"/>
        <v>04</v>
      </c>
      <c r="T811" s="1" t="str">
        <f t="shared" si="533"/>
        <v>False</v>
      </c>
      <c r="U811" s="1" t="str">
        <f t="shared" si="534"/>
        <v>True</v>
      </c>
      <c r="V811" s="1" t="str">
        <f t="shared" si="554"/>
        <v>U0032695</v>
      </c>
      <c r="W811" s="1">
        <v>1</v>
      </c>
      <c r="Y811" s="1">
        <v>0</v>
      </c>
      <c r="Z811" s="1">
        <v>0</v>
      </c>
      <c r="AI811" s="1" t="str">
        <f t="shared" si="550"/>
        <v>F10</v>
      </c>
      <c r="AJ811" s="1" t="str">
        <f t="shared" si="551"/>
        <v>KID</v>
      </c>
      <c r="AK811" s="1" t="str">
        <f t="shared" si="536"/>
        <v>PA</v>
      </c>
      <c r="AP811" s="1" t="str">
        <f t="shared" si="537"/>
        <v>False</v>
      </c>
      <c r="AR811" s="1" t="str">
        <f t="shared" si="552"/>
        <v>EBONY</v>
      </c>
      <c r="AY811" s="1" t="str">
        <f t="shared" si="538"/>
        <v>PF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 t="str">
        <f t="shared" si="553"/>
        <v>A EVA TOMAIA SYNTHETIC GLITTER</v>
      </c>
      <c r="BF811" s="1" t="str">
        <f t="shared" si="539"/>
        <v>Bonis SpA</v>
      </c>
    </row>
    <row r="812" spans="2:58" x14ac:dyDescent="0.25">
      <c r="B812" s="1">
        <v>2473</v>
      </c>
      <c r="C812" s="1" t="str">
        <f t="shared" si="546"/>
        <v>EBONY4175S7/Y2</v>
      </c>
      <c r="E812" s="1" t="str">
        <f>"30"</f>
        <v>30</v>
      </c>
      <c r="F812" s="1" t="str">
        <f t="shared" si="527"/>
        <v>BONIS SPA</v>
      </c>
      <c r="G812" s="1" t="str">
        <f t="shared" si="517"/>
        <v>STOCK SCAFFALE MP</v>
      </c>
      <c r="H812" s="1" t="str">
        <f t="shared" si="547"/>
        <v>BLK</v>
      </c>
      <c r="K812" s="1">
        <v>2</v>
      </c>
      <c r="L812" s="1" t="str">
        <f t="shared" si="528"/>
        <v>01</v>
      </c>
      <c r="M812" s="1" t="str">
        <f t="shared" si="518"/>
        <v>408</v>
      </c>
      <c r="N812" s="1" t="str">
        <f t="shared" si="548"/>
        <v>006</v>
      </c>
      <c r="O812" s="1" t="str">
        <f t="shared" si="529"/>
        <v>00</v>
      </c>
      <c r="P812" s="1" t="str">
        <f t="shared" si="530"/>
        <v>S</v>
      </c>
      <c r="Q812" s="1" t="str">
        <f t="shared" si="531"/>
        <v>P</v>
      </c>
      <c r="R812" s="1" t="str">
        <f t="shared" si="532"/>
        <v>01</v>
      </c>
      <c r="S812" s="1" t="str">
        <f t="shared" si="519"/>
        <v>04</v>
      </c>
      <c r="T812" s="1" t="str">
        <f t="shared" si="533"/>
        <v>False</v>
      </c>
      <c r="U812" s="1" t="str">
        <f t="shared" si="534"/>
        <v>True</v>
      </c>
      <c r="V812" s="1" t="str">
        <f t="shared" si="554"/>
        <v>U0032695</v>
      </c>
      <c r="W812" s="1">
        <v>1</v>
      </c>
      <c r="Y812" s="1">
        <v>0</v>
      </c>
      <c r="Z812" s="1">
        <v>0</v>
      </c>
      <c r="AI812" s="1" t="str">
        <f t="shared" si="550"/>
        <v>F10</v>
      </c>
      <c r="AJ812" s="1" t="str">
        <f t="shared" si="551"/>
        <v>KID</v>
      </c>
      <c r="AK812" s="1" t="str">
        <f t="shared" si="536"/>
        <v>PA</v>
      </c>
      <c r="AP812" s="1" t="str">
        <f t="shared" si="537"/>
        <v>False</v>
      </c>
      <c r="AR812" s="1" t="str">
        <f t="shared" si="552"/>
        <v>EBONY</v>
      </c>
      <c r="AY812" s="1" t="str">
        <f t="shared" si="538"/>
        <v>PF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 t="str">
        <f t="shared" si="553"/>
        <v>A EVA TOMAIA SYNTHETIC GLITTER</v>
      </c>
      <c r="BF812" s="1" t="str">
        <f t="shared" si="539"/>
        <v>Bonis SpA</v>
      </c>
    </row>
    <row r="813" spans="2:58" x14ac:dyDescent="0.25">
      <c r="B813" s="1">
        <v>2473</v>
      </c>
      <c r="C813" s="1" t="str">
        <f t="shared" si="546"/>
        <v>EBONY4175S7/Y2</v>
      </c>
      <c r="E813" s="1" t="str">
        <f>"28"</f>
        <v>28</v>
      </c>
      <c r="F813" s="1" t="str">
        <f t="shared" si="527"/>
        <v>BONIS SPA</v>
      </c>
      <c r="G813" s="1" t="str">
        <f t="shared" si="517"/>
        <v>STOCK SCAFFALE MP</v>
      </c>
      <c r="H813" s="1" t="str">
        <f t="shared" si="547"/>
        <v>BLK</v>
      </c>
      <c r="K813" s="1">
        <v>1</v>
      </c>
      <c r="L813" s="1" t="str">
        <f t="shared" si="528"/>
        <v>01</v>
      </c>
      <c r="M813" s="1" t="str">
        <f t="shared" si="518"/>
        <v>408</v>
      </c>
      <c r="N813" s="1" t="str">
        <f t="shared" si="548"/>
        <v>006</v>
      </c>
      <c r="O813" s="1" t="str">
        <f t="shared" si="529"/>
        <v>00</v>
      </c>
      <c r="P813" s="1" t="str">
        <f t="shared" si="530"/>
        <v>S</v>
      </c>
      <c r="Q813" s="1" t="str">
        <f t="shared" si="531"/>
        <v>P</v>
      </c>
      <c r="R813" s="1" t="str">
        <f t="shared" si="532"/>
        <v>01</v>
      </c>
      <c r="S813" s="1" t="str">
        <f t="shared" si="519"/>
        <v>04</v>
      </c>
      <c r="T813" s="1" t="str">
        <f t="shared" si="533"/>
        <v>False</v>
      </c>
      <c r="U813" s="1" t="str">
        <f t="shared" si="534"/>
        <v>True</v>
      </c>
      <c r="V813" s="1" t="str">
        <f t="shared" si="554"/>
        <v>U0032695</v>
      </c>
      <c r="W813" s="1">
        <v>1</v>
      </c>
      <c r="Y813" s="1">
        <v>0</v>
      </c>
      <c r="Z813" s="1">
        <v>0</v>
      </c>
      <c r="AI813" s="1" t="str">
        <f t="shared" si="550"/>
        <v>F10</v>
      </c>
      <c r="AJ813" s="1" t="str">
        <f t="shared" si="551"/>
        <v>KID</v>
      </c>
      <c r="AK813" s="1" t="str">
        <f t="shared" si="536"/>
        <v>PA</v>
      </c>
      <c r="AP813" s="1" t="str">
        <f t="shared" si="537"/>
        <v>False</v>
      </c>
      <c r="AR813" s="1" t="str">
        <f t="shared" si="552"/>
        <v>EBONY</v>
      </c>
      <c r="AY813" s="1" t="str">
        <f t="shared" si="538"/>
        <v>PF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 t="str">
        <f t="shared" si="553"/>
        <v>A EVA TOMAIA SYNTHETIC GLITTER</v>
      </c>
      <c r="BF813" s="1" t="str">
        <f t="shared" si="539"/>
        <v>Bonis SpA</v>
      </c>
    </row>
    <row r="814" spans="2:58" x14ac:dyDescent="0.25">
      <c r="B814" s="1">
        <v>2473</v>
      </c>
      <c r="C814" s="1" t="str">
        <f t="shared" si="546"/>
        <v>EBONY4175S7/Y2</v>
      </c>
      <c r="E814" s="1" t="str">
        <f>"33"</f>
        <v>33</v>
      </c>
      <c r="F814" s="1" t="str">
        <f t="shared" si="527"/>
        <v>BONIS SPA</v>
      </c>
      <c r="G814" s="1" t="str">
        <f t="shared" si="517"/>
        <v>STOCK SCAFFALE MP</v>
      </c>
      <c r="H814" s="1" t="str">
        <f t="shared" si="547"/>
        <v>BLK</v>
      </c>
      <c r="K814" s="1">
        <v>1</v>
      </c>
      <c r="L814" s="1" t="str">
        <f t="shared" si="528"/>
        <v>01</v>
      </c>
      <c r="M814" s="1" t="str">
        <f t="shared" si="518"/>
        <v>408</v>
      </c>
      <c r="N814" s="1" t="str">
        <f t="shared" si="548"/>
        <v>006</v>
      </c>
      <c r="O814" s="1" t="str">
        <f t="shared" si="529"/>
        <v>00</v>
      </c>
      <c r="P814" s="1" t="str">
        <f t="shared" si="530"/>
        <v>S</v>
      </c>
      <c r="Q814" s="1" t="str">
        <f t="shared" si="531"/>
        <v>P</v>
      </c>
      <c r="R814" s="1" t="str">
        <f t="shared" si="532"/>
        <v>01</v>
      </c>
      <c r="S814" s="1" t="str">
        <f t="shared" si="519"/>
        <v>04</v>
      </c>
      <c r="T814" s="1" t="str">
        <f t="shared" si="533"/>
        <v>False</v>
      </c>
      <c r="U814" s="1" t="str">
        <f t="shared" si="534"/>
        <v>True</v>
      </c>
      <c r="V814" s="1" t="str">
        <f t="shared" si="554"/>
        <v>U0032695</v>
      </c>
      <c r="W814" s="1">
        <v>1</v>
      </c>
      <c r="Y814" s="1">
        <v>0</v>
      </c>
      <c r="Z814" s="1">
        <v>0</v>
      </c>
      <c r="AI814" s="1" t="str">
        <f t="shared" si="550"/>
        <v>F10</v>
      </c>
      <c r="AJ814" s="1" t="str">
        <f t="shared" si="551"/>
        <v>KID</v>
      </c>
      <c r="AK814" s="1" t="str">
        <f t="shared" si="536"/>
        <v>PA</v>
      </c>
      <c r="AP814" s="1" t="str">
        <f t="shared" si="537"/>
        <v>False</v>
      </c>
      <c r="AR814" s="1" t="str">
        <f t="shared" si="552"/>
        <v>EBONY</v>
      </c>
      <c r="AY814" s="1" t="str">
        <f t="shared" si="538"/>
        <v>PF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 t="str">
        <f t="shared" si="553"/>
        <v>A EVA TOMAIA SYNTHETIC GLITTER</v>
      </c>
      <c r="BF814" s="1" t="str">
        <f t="shared" si="539"/>
        <v>Bonis SpA</v>
      </c>
    </row>
    <row r="815" spans="2:58" x14ac:dyDescent="0.25">
      <c r="B815" s="1">
        <v>2473</v>
      </c>
      <c r="C815" s="1" t="str">
        <f t="shared" si="546"/>
        <v>EBONY4175S7/Y2</v>
      </c>
      <c r="E815" s="1" t="str">
        <f>"36"</f>
        <v>36</v>
      </c>
      <c r="F815" s="1" t="str">
        <f t="shared" si="527"/>
        <v>BONIS SPA</v>
      </c>
      <c r="G815" s="1" t="str">
        <f t="shared" si="517"/>
        <v>STOCK SCAFFALE MP</v>
      </c>
      <c r="H815" s="1" t="str">
        <f t="shared" si="547"/>
        <v>BLK</v>
      </c>
      <c r="K815" s="1">
        <v>1</v>
      </c>
      <c r="L815" s="1" t="str">
        <f t="shared" si="528"/>
        <v>01</v>
      </c>
      <c r="M815" s="1" t="str">
        <f t="shared" si="518"/>
        <v>408</v>
      </c>
      <c r="N815" s="1" t="str">
        <f t="shared" si="548"/>
        <v>006</v>
      </c>
      <c r="O815" s="1" t="str">
        <f t="shared" si="529"/>
        <v>00</v>
      </c>
      <c r="P815" s="1" t="str">
        <f t="shared" si="530"/>
        <v>S</v>
      </c>
      <c r="Q815" s="1" t="str">
        <f t="shared" si="531"/>
        <v>P</v>
      </c>
      <c r="R815" s="1" t="str">
        <f t="shared" si="532"/>
        <v>01</v>
      </c>
      <c r="S815" s="1" t="str">
        <f t="shared" si="519"/>
        <v>04</v>
      </c>
      <c r="T815" s="1" t="str">
        <f t="shared" si="533"/>
        <v>False</v>
      </c>
      <c r="U815" s="1" t="str">
        <f t="shared" si="534"/>
        <v>True</v>
      </c>
      <c r="V815" s="1" t="str">
        <f t="shared" ref="V815:V823" si="555">"U0032694"</f>
        <v>U0032694</v>
      </c>
      <c r="W815" s="1">
        <v>1</v>
      </c>
      <c r="Y815" s="1">
        <v>0</v>
      </c>
      <c r="Z815" s="1">
        <v>0</v>
      </c>
      <c r="AI815" s="1" t="str">
        <f t="shared" si="550"/>
        <v>F10</v>
      </c>
      <c r="AJ815" s="1" t="str">
        <f t="shared" si="551"/>
        <v>KID</v>
      </c>
      <c r="AK815" s="1" t="str">
        <f t="shared" si="536"/>
        <v>PA</v>
      </c>
      <c r="AP815" s="1" t="str">
        <f t="shared" si="537"/>
        <v>False</v>
      </c>
      <c r="AR815" s="1" t="str">
        <f t="shared" si="552"/>
        <v>EBONY</v>
      </c>
      <c r="AY815" s="1" t="str">
        <f t="shared" si="538"/>
        <v>PF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 t="str">
        <f t="shared" si="553"/>
        <v>A EVA TOMAIA SYNTHETIC GLITTER</v>
      </c>
      <c r="BF815" s="1" t="str">
        <f t="shared" si="539"/>
        <v>Bonis SpA</v>
      </c>
    </row>
    <row r="816" spans="2:58" x14ac:dyDescent="0.25">
      <c r="B816" s="1">
        <v>2473</v>
      </c>
      <c r="C816" s="1" t="str">
        <f t="shared" si="546"/>
        <v>EBONY4175S7/Y2</v>
      </c>
      <c r="E816" s="1" t="str">
        <f>"31"</f>
        <v>31</v>
      </c>
      <c r="F816" s="1" t="str">
        <f t="shared" si="527"/>
        <v>BONIS SPA</v>
      </c>
      <c r="G816" s="1" t="str">
        <f t="shared" ref="G816:G879" si="556">"STOCK SCAFFALE MP"</f>
        <v>STOCK SCAFFALE MP</v>
      </c>
      <c r="H816" s="1" t="str">
        <f t="shared" si="547"/>
        <v>BLK</v>
      </c>
      <c r="K816" s="1">
        <v>2</v>
      </c>
      <c r="L816" s="1" t="str">
        <f t="shared" si="528"/>
        <v>01</v>
      </c>
      <c r="M816" s="1" t="str">
        <f t="shared" ref="M816:M879" si="557">"408"</f>
        <v>408</v>
      </c>
      <c r="N816" s="1" t="str">
        <f t="shared" si="548"/>
        <v>006</v>
      </c>
      <c r="O816" s="1" t="str">
        <f t="shared" si="529"/>
        <v>00</v>
      </c>
      <c r="P816" s="1" t="str">
        <f t="shared" si="530"/>
        <v>S</v>
      </c>
      <c r="Q816" s="1" t="str">
        <f t="shared" si="531"/>
        <v>P</v>
      </c>
      <c r="R816" s="1" t="str">
        <f t="shared" si="532"/>
        <v>01</v>
      </c>
      <c r="S816" s="1" t="str">
        <f t="shared" ref="S816:S879" si="558">"04"</f>
        <v>04</v>
      </c>
      <c r="T816" s="1" t="str">
        <f t="shared" si="533"/>
        <v>False</v>
      </c>
      <c r="U816" s="1" t="str">
        <f t="shared" si="534"/>
        <v>True</v>
      </c>
      <c r="V816" s="1" t="str">
        <f t="shared" si="555"/>
        <v>U0032694</v>
      </c>
      <c r="W816" s="1">
        <v>1</v>
      </c>
      <c r="Y816" s="1">
        <v>0</v>
      </c>
      <c r="Z816" s="1">
        <v>0</v>
      </c>
      <c r="AI816" s="1" t="str">
        <f t="shared" si="550"/>
        <v>F10</v>
      </c>
      <c r="AJ816" s="1" t="str">
        <f t="shared" si="551"/>
        <v>KID</v>
      </c>
      <c r="AK816" s="1" t="str">
        <f t="shared" si="536"/>
        <v>PA</v>
      </c>
      <c r="AP816" s="1" t="str">
        <f t="shared" si="537"/>
        <v>False</v>
      </c>
      <c r="AR816" s="1" t="str">
        <f t="shared" si="552"/>
        <v>EBONY</v>
      </c>
      <c r="AY816" s="1" t="str">
        <f t="shared" si="538"/>
        <v>PF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 t="str">
        <f t="shared" si="553"/>
        <v>A EVA TOMAIA SYNTHETIC GLITTER</v>
      </c>
      <c r="BF816" s="1" t="str">
        <f t="shared" si="539"/>
        <v>Bonis SpA</v>
      </c>
    </row>
    <row r="817" spans="2:58" x14ac:dyDescent="0.25">
      <c r="B817" s="1">
        <v>2473</v>
      </c>
      <c r="C817" s="1" t="str">
        <f t="shared" si="546"/>
        <v>EBONY4175S7/Y2</v>
      </c>
      <c r="E817" s="1" t="str">
        <f>"33"</f>
        <v>33</v>
      </c>
      <c r="F817" s="1" t="str">
        <f t="shared" si="527"/>
        <v>BONIS SPA</v>
      </c>
      <c r="G817" s="1" t="str">
        <f t="shared" si="556"/>
        <v>STOCK SCAFFALE MP</v>
      </c>
      <c r="H817" s="1" t="str">
        <f t="shared" si="547"/>
        <v>BLK</v>
      </c>
      <c r="K817" s="1">
        <v>2</v>
      </c>
      <c r="L817" s="1" t="str">
        <f t="shared" si="528"/>
        <v>01</v>
      </c>
      <c r="M817" s="1" t="str">
        <f t="shared" si="557"/>
        <v>408</v>
      </c>
      <c r="N817" s="1" t="str">
        <f t="shared" si="548"/>
        <v>006</v>
      </c>
      <c r="O817" s="1" t="str">
        <f t="shared" si="529"/>
        <v>00</v>
      </c>
      <c r="P817" s="1" t="str">
        <f t="shared" si="530"/>
        <v>S</v>
      </c>
      <c r="Q817" s="1" t="str">
        <f t="shared" si="531"/>
        <v>P</v>
      </c>
      <c r="R817" s="1" t="str">
        <f t="shared" si="532"/>
        <v>01</v>
      </c>
      <c r="S817" s="1" t="str">
        <f t="shared" si="558"/>
        <v>04</v>
      </c>
      <c r="T817" s="1" t="str">
        <f t="shared" si="533"/>
        <v>False</v>
      </c>
      <c r="U817" s="1" t="str">
        <f t="shared" si="534"/>
        <v>True</v>
      </c>
      <c r="V817" s="1" t="str">
        <f t="shared" si="555"/>
        <v>U0032694</v>
      </c>
      <c r="W817" s="1">
        <v>1</v>
      </c>
      <c r="Y817" s="1">
        <v>0</v>
      </c>
      <c r="Z817" s="1">
        <v>0</v>
      </c>
      <c r="AI817" s="1" t="str">
        <f t="shared" si="550"/>
        <v>F10</v>
      </c>
      <c r="AJ817" s="1" t="str">
        <f t="shared" si="551"/>
        <v>KID</v>
      </c>
      <c r="AK817" s="1" t="str">
        <f t="shared" si="536"/>
        <v>PA</v>
      </c>
      <c r="AP817" s="1" t="str">
        <f t="shared" si="537"/>
        <v>False</v>
      </c>
      <c r="AR817" s="1" t="str">
        <f t="shared" si="552"/>
        <v>EBONY</v>
      </c>
      <c r="AY817" s="1" t="str">
        <f t="shared" si="538"/>
        <v>PF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 t="str">
        <f t="shared" si="553"/>
        <v>A EVA TOMAIA SYNTHETIC GLITTER</v>
      </c>
      <c r="BF817" s="1" t="str">
        <f t="shared" si="539"/>
        <v>Bonis SpA</v>
      </c>
    </row>
    <row r="818" spans="2:58" x14ac:dyDescent="0.25">
      <c r="B818" s="1">
        <v>2473</v>
      </c>
      <c r="C818" s="1" t="str">
        <f t="shared" si="546"/>
        <v>EBONY4175S7/Y2</v>
      </c>
      <c r="E818" s="1" t="str">
        <f>"30"</f>
        <v>30</v>
      </c>
      <c r="F818" s="1" t="str">
        <f t="shared" si="527"/>
        <v>BONIS SPA</v>
      </c>
      <c r="G818" s="1" t="str">
        <f t="shared" si="556"/>
        <v>STOCK SCAFFALE MP</v>
      </c>
      <c r="H818" s="1" t="str">
        <f t="shared" si="547"/>
        <v>BLK</v>
      </c>
      <c r="K818" s="1">
        <v>2</v>
      </c>
      <c r="L818" s="1" t="str">
        <f t="shared" si="528"/>
        <v>01</v>
      </c>
      <c r="M818" s="1" t="str">
        <f t="shared" si="557"/>
        <v>408</v>
      </c>
      <c r="N818" s="1" t="str">
        <f t="shared" si="548"/>
        <v>006</v>
      </c>
      <c r="O818" s="1" t="str">
        <f t="shared" si="529"/>
        <v>00</v>
      </c>
      <c r="P818" s="1" t="str">
        <f t="shared" si="530"/>
        <v>S</v>
      </c>
      <c r="Q818" s="1" t="str">
        <f t="shared" si="531"/>
        <v>P</v>
      </c>
      <c r="R818" s="1" t="str">
        <f t="shared" si="532"/>
        <v>01</v>
      </c>
      <c r="S818" s="1" t="str">
        <f t="shared" si="558"/>
        <v>04</v>
      </c>
      <c r="T818" s="1" t="str">
        <f t="shared" si="533"/>
        <v>False</v>
      </c>
      <c r="U818" s="1" t="str">
        <f t="shared" si="534"/>
        <v>True</v>
      </c>
      <c r="V818" s="1" t="str">
        <f t="shared" si="555"/>
        <v>U0032694</v>
      </c>
      <c r="W818" s="1">
        <v>1</v>
      </c>
      <c r="Y818" s="1">
        <v>0</v>
      </c>
      <c r="Z818" s="1">
        <v>0</v>
      </c>
      <c r="AI818" s="1" t="str">
        <f t="shared" si="550"/>
        <v>F10</v>
      </c>
      <c r="AJ818" s="1" t="str">
        <f t="shared" si="551"/>
        <v>KID</v>
      </c>
      <c r="AK818" s="1" t="str">
        <f t="shared" si="536"/>
        <v>PA</v>
      </c>
      <c r="AP818" s="1" t="str">
        <f t="shared" si="537"/>
        <v>False</v>
      </c>
      <c r="AR818" s="1" t="str">
        <f t="shared" si="552"/>
        <v>EBONY</v>
      </c>
      <c r="AY818" s="1" t="str">
        <f t="shared" si="538"/>
        <v>PF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 t="str">
        <f t="shared" si="553"/>
        <v>A EVA TOMAIA SYNTHETIC GLITTER</v>
      </c>
      <c r="BF818" s="1" t="str">
        <f t="shared" si="539"/>
        <v>Bonis SpA</v>
      </c>
    </row>
    <row r="819" spans="2:58" x14ac:dyDescent="0.25">
      <c r="B819" s="1">
        <v>2473</v>
      </c>
      <c r="C819" s="1" t="str">
        <f t="shared" si="546"/>
        <v>EBONY4175S7/Y2</v>
      </c>
      <c r="E819" s="1" t="str">
        <f>"28"</f>
        <v>28</v>
      </c>
      <c r="F819" s="1" t="str">
        <f t="shared" si="527"/>
        <v>BONIS SPA</v>
      </c>
      <c r="G819" s="1" t="str">
        <f t="shared" si="556"/>
        <v>STOCK SCAFFALE MP</v>
      </c>
      <c r="H819" s="1" t="str">
        <f t="shared" si="547"/>
        <v>BLK</v>
      </c>
      <c r="K819" s="1">
        <v>2</v>
      </c>
      <c r="L819" s="1" t="str">
        <f t="shared" si="528"/>
        <v>01</v>
      </c>
      <c r="M819" s="1" t="str">
        <f t="shared" si="557"/>
        <v>408</v>
      </c>
      <c r="N819" s="1" t="str">
        <f t="shared" si="548"/>
        <v>006</v>
      </c>
      <c r="O819" s="1" t="str">
        <f t="shared" si="529"/>
        <v>00</v>
      </c>
      <c r="P819" s="1" t="str">
        <f t="shared" si="530"/>
        <v>S</v>
      </c>
      <c r="Q819" s="1" t="str">
        <f t="shared" si="531"/>
        <v>P</v>
      </c>
      <c r="R819" s="1" t="str">
        <f t="shared" si="532"/>
        <v>01</v>
      </c>
      <c r="S819" s="1" t="str">
        <f t="shared" si="558"/>
        <v>04</v>
      </c>
      <c r="T819" s="1" t="str">
        <f t="shared" si="533"/>
        <v>False</v>
      </c>
      <c r="U819" s="1" t="str">
        <f t="shared" si="534"/>
        <v>True</v>
      </c>
      <c r="V819" s="1" t="str">
        <f t="shared" si="555"/>
        <v>U0032694</v>
      </c>
      <c r="W819" s="1">
        <v>1</v>
      </c>
      <c r="Y819" s="1">
        <v>0</v>
      </c>
      <c r="Z819" s="1">
        <v>0</v>
      </c>
      <c r="AI819" s="1" t="str">
        <f t="shared" si="550"/>
        <v>F10</v>
      </c>
      <c r="AJ819" s="1" t="str">
        <f t="shared" si="551"/>
        <v>KID</v>
      </c>
      <c r="AK819" s="1" t="str">
        <f t="shared" si="536"/>
        <v>PA</v>
      </c>
      <c r="AP819" s="1" t="str">
        <f t="shared" si="537"/>
        <v>False</v>
      </c>
      <c r="AR819" s="1" t="str">
        <f t="shared" si="552"/>
        <v>EBONY</v>
      </c>
      <c r="AY819" s="1" t="str">
        <f t="shared" si="538"/>
        <v>PF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 t="str">
        <f t="shared" si="553"/>
        <v>A EVA TOMAIA SYNTHETIC GLITTER</v>
      </c>
      <c r="BF819" s="1" t="str">
        <f t="shared" si="539"/>
        <v>Bonis SpA</v>
      </c>
    </row>
    <row r="820" spans="2:58" x14ac:dyDescent="0.25">
      <c r="B820" s="1">
        <v>2473</v>
      </c>
      <c r="C820" s="1" t="str">
        <f t="shared" si="546"/>
        <v>EBONY4175S7/Y2</v>
      </c>
      <c r="E820" s="1" t="str">
        <f>"29"</f>
        <v>29</v>
      </c>
      <c r="F820" s="1" t="str">
        <f t="shared" si="527"/>
        <v>BONIS SPA</v>
      </c>
      <c r="G820" s="1" t="str">
        <f t="shared" si="556"/>
        <v>STOCK SCAFFALE MP</v>
      </c>
      <c r="H820" s="1" t="str">
        <f t="shared" si="547"/>
        <v>BLK</v>
      </c>
      <c r="K820" s="1">
        <v>2</v>
      </c>
      <c r="L820" s="1" t="str">
        <f t="shared" si="528"/>
        <v>01</v>
      </c>
      <c r="M820" s="1" t="str">
        <f t="shared" si="557"/>
        <v>408</v>
      </c>
      <c r="N820" s="1" t="str">
        <f t="shared" si="548"/>
        <v>006</v>
      </c>
      <c r="O820" s="1" t="str">
        <f t="shared" si="529"/>
        <v>00</v>
      </c>
      <c r="P820" s="1" t="str">
        <f t="shared" si="530"/>
        <v>S</v>
      </c>
      <c r="Q820" s="1" t="str">
        <f t="shared" si="531"/>
        <v>P</v>
      </c>
      <c r="R820" s="1" t="str">
        <f t="shared" si="532"/>
        <v>01</v>
      </c>
      <c r="S820" s="1" t="str">
        <f t="shared" si="558"/>
        <v>04</v>
      </c>
      <c r="T820" s="1" t="str">
        <f t="shared" si="533"/>
        <v>False</v>
      </c>
      <c r="U820" s="1" t="str">
        <f t="shared" si="534"/>
        <v>True</v>
      </c>
      <c r="V820" s="1" t="str">
        <f t="shared" si="555"/>
        <v>U0032694</v>
      </c>
      <c r="W820" s="1">
        <v>1</v>
      </c>
      <c r="Y820" s="1">
        <v>0</v>
      </c>
      <c r="Z820" s="1">
        <v>0</v>
      </c>
      <c r="AI820" s="1" t="str">
        <f t="shared" si="550"/>
        <v>F10</v>
      </c>
      <c r="AJ820" s="1" t="str">
        <f t="shared" si="551"/>
        <v>KID</v>
      </c>
      <c r="AK820" s="1" t="str">
        <f t="shared" si="536"/>
        <v>PA</v>
      </c>
      <c r="AP820" s="1" t="str">
        <f t="shared" si="537"/>
        <v>False</v>
      </c>
      <c r="AR820" s="1" t="str">
        <f t="shared" si="552"/>
        <v>EBONY</v>
      </c>
      <c r="AY820" s="1" t="str">
        <f t="shared" si="538"/>
        <v>PF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 t="str">
        <f t="shared" si="553"/>
        <v>A EVA TOMAIA SYNTHETIC GLITTER</v>
      </c>
      <c r="BF820" s="1" t="str">
        <f t="shared" si="539"/>
        <v>Bonis SpA</v>
      </c>
    </row>
    <row r="821" spans="2:58" x14ac:dyDescent="0.25">
      <c r="B821" s="1">
        <v>2473</v>
      </c>
      <c r="C821" s="1" t="str">
        <f t="shared" si="546"/>
        <v>EBONY4175S7/Y2</v>
      </c>
      <c r="E821" s="1" t="str">
        <f>"35"</f>
        <v>35</v>
      </c>
      <c r="F821" s="1" t="str">
        <f t="shared" si="527"/>
        <v>BONIS SPA</v>
      </c>
      <c r="G821" s="1" t="str">
        <f t="shared" si="556"/>
        <v>STOCK SCAFFALE MP</v>
      </c>
      <c r="H821" s="1" t="str">
        <f t="shared" si="547"/>
        <v>BLK</v>
      </c>
      <c r="K821" s="1">
        <v>2</v>
      </c>
      <c r="L821" s="1" t="str">
        <f t="shared" si="528"/>
        <v>01</v>
      </c>
      <c r="M821" s="1" t="str">
        <f t="shared" si="557"/>
        <v>408</v>
      </c>
      <c r="N821" s="1" t="str">
        <f t="shared" si="548"/>
        <v>006</v>
      </c>
      <c r="O821" s="1" t="str">
        <f t="shared" si="529"/>
        <v>00</v>
      </c>
      <c r="P821" s="1" t="str">
        <f t="shared" si="530"/>
        <v>S</v>
      </c>
      <c r="Q821" s="1" t="str">
        <f t="shared" si="531"/>
        <v>P</v>
      </c>
      <c r="R821" s="1" t="str">
        <f t="shared" si="532"/>
        <v>01</v>
      </c>
      <c r="S821" s="1" t="str">
        <f t="shared" si="558"/>
        <v>04</v>
      </c>
      <c r="T821" s="1" t="str">
        <f t="shared" si="533"/>
        <v>False</v>
      </c>
      <c r="U821" s="1" t="str">
        <f t="shared" si="534"/>
        <v>True</v>
      </c>
      <c r="V821" s="1" t="str">
        <f t="shared" si="555"/>
        <v>U0032694</v>
      </c>
      <c r="W821" s="1">
        <v>1</v>
      </c>
      <c r="Y821" s="1">
        <v>0</v>
      </c>
      <c r="Z821" s="1">
        <v>0</v>
      </c>
      <c r="AI821" s="1" t="str">
        <f t="shared" si="550"/>
        <v>F10</v>
      </c>
      <c r="AJ821" s="1" t="str">
        <f t="shared" si="551"/>
        <v>KID</v>
      </c>
      <c r="AK821" s="1" t="str">
        <f t="shared" si="536"/>
        <v>PA</v>
      </c>
      <c r="AP821" s="1" t="str">
        <f t="shared" si="537"/>
        <v>False</v>
      </c>
      <c r="AR821" s="1" t="str">
        <f t="shared" si="552"/>
        <v>EBONY</v>
      </c>
      <c r="AY821" s="1" t="str">
        <f t="shared" si="538"/>
        <v>PF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 t="str">
        <f t="shared" si="553"/>
        <v>A EVA TOMAIA SYNTHETIC GLITTER</v>
      </c>
      <c r="BF821" s="1" t="str">
        <f t="shared" si="539"/>
        <v>Bonis SpA</v>
      </c>
    </row>
    <row r="822" spans="2:58" x14ac:dyDescent="0.25">
      <c r="B822" s="1">
        <v>2473</v>
      </c>
      <c r="C822" s="1" t="str">
        <f t="shared" si="546"/>
        <v>EBONY4175S7/Y2</v>
      </c>
      <c r="E822" s="1" t="str">
        <f>"32"</f>
        <v>32</v>
      </c>
      <c r="F822" s="1" t="str">
        <f t="shared" si="527"/>
        <v>BONIS SPA</v>
      </c>
      <c r="G822" s="1" t="str">
        <f t="shared" si="556"/>
        <v>STOCK SCAFFALE MP</v>
      </c>
      <c r="H822" s="1" t="str">
        <f t="shared" si="547"/>
        <v>BLK</v>
      </c>
      <c r="K822" s="1">
        <v>2</v>
      </c>
      <c r="L822" s="1" t="str">
        <f t="shared" si="528"/>
        <v>01</v>
      </c>
      <c r="M822" s="1" t="str">
        <f t="shared" si="557"/>
        <v>408</v>
      </c>
      <c r="N822" s="1" t="str">
        <f t="shared" si="548"/>
        <v>006</v>
      </c>
      <c r="O822" s="1" t="str">
        <f t="shared" si="529"/>
        <v>00</v>
      </c>
      <c r="P822" s="1" t="str">
        <f t="shared" si="530"/>
        <v>S</v>
      </c>
      <c r="Q822" s="1" t="str">
        <f t="shared" si="531"/>
        <v>P</v>
      </c>
      <c r="R822" s="1" t="str">
        <f t="shared" si="532"/>
        <v>01</v>
      </c>
      <c r="S822" s="1" t="str">
        <f t="shared" si="558"/>
        <v>04</v>
      </c>
      <c r="T822" s="1" t="str">
        <f t="shared" si="533"/>
        <v>False</v>
      </c>
      <c r="U822" s="1" t="str">
        <f t="shared" si="534"/>
        <v>True</v>
      </c>
      <c r="V822" s="1" t="str">
        <f t="shared" si="555"/>
        <v>U0032694</v>
      </c>
      <c r="W822" s="1">
        <v>1</v>
      </c>
      <c r="Y822" s="1">
        <v>0</v>
      </c>
      <c r="Z822" s="1">
        <v>0</v>
      </c>
      <c r="AI822" s="1" t="str">
        <f t="shared" si="550"/>
        <v>F10</v>
      </c>
      <c r="AJ822" s="1" t="str">
        <f t="shared" si="551"/>
        <v>KID</v>
      </c>
      <c r="AK822" s="1" t="str">
        <f t="shared" si="536"/>
        <v>PA</v>
      </c>
      <c r="AP822" s="1" t="str">
        <f t="shared" si="537"/>
        <v>False</v>
      </c>
      <c r="AR822" s="1" t="str">
        <f t="shared" si="552"/>
        <v>EBONY</v>
      </c>
      <c r="AY822" s="1" t="str">
        <f t="shared" si="538"/>
        <v>PF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 t="str">
        <f t="shared" si="553"/>
        <v>A EVA TOMAIA SYNTHETIC GLITTER</v>
      </c>
      <c r="BF822" s="1" t="str">
        <f t="shared" si="539"/>
        <v>Bonis SpA</v>
      </c>
    </row>
    <row r="823" spans="2:58" x14ac:dyDescent="0.25">
      <c r="B823" s="1">
        <v>2473</v>
      </c>
      <c r="C823" s="1" t="str">
        <f t="shared" si="546"/>
        <v>EBONY4175S7/Y2</v>
      </c>
      <c r="E823" s="1" t="str">
        <f>"34"</f>
        <v>34</v>
      </c>
      <c r="F823" s="1" t="str">
        <f t="shared" si="527"/>
        <v>BONIS SPA</v>
      </c>
      <c r="G823" s="1" t="str">
        <f t="shared" si="556"/>
        <v>STOCK SCAFFALE MP</v>
      </c>
      <c r="H823" s="1" t="str">
        <f t="shared" si="547"/>
        <v>BLK</v>
      </c>
      <c r="K823" s="1">
        <v>2</v>
      </c>
      <c r="L823" s="1" t="str">
        <f t="shared" si="528"/>
        <v>01</v>
      </c>
      <c r="M823" s="1" t="str">
        <f t="shared" si="557"/>
        <v>408</v>
      </c>
      <c r="N823" s="1" t="str">
        <f t="shared" si="548"/>
        <v>006</v>
      </c>
      <c r="O823" s="1" t="str">
        <f t="shared" si="529"/>
        <v>00</v>
      </c>
      <c r="P823" s="1" t="str">
        <f t="shared" si="530"/>
        <v>S</v>
      </c>
      <c r="Q823" s="1" t="str">
        <f t="shared" si="531"/>
        <v>P</v>
      </c>
      <c r="R823" s="1" t="str">
        <f t="shared" si="532"/>
        <v>01</v>
      </c>
      <c r="S823" s="1" t="str">
        <f t="shared" si="558"/>
        <v>04</v>
      </c>
      <c r="T823" s="1" t="str">
        <f t="shared" si="533"/>
        <v>False</v>
      </c>
      <c r="U823" s="1" t="str">
        <f t="shared" si="534"/>
        <v>True</v>
      </c>
      <c r="V823" s="1" t="str">
        <f t="shared" si="555"/>
        <v>U0032694</v>
      </c>
      <c r="W823" s="1">
        <v>1</v>
      </c>
      <c r="Y823" s="1">
        <v>0</v>
      </c>
      <c r="Z823" s="1">
        <v>0</v>
      </c>
      <c r="AI823" s="1" t="str">
        <f t="shared" si="550"/>
        <v>F10</v>
      </c>
      <c r="AJ823" s="1" t="str">
        <f t="shared" si="551"/>
        <v>KID</v>
      </c>
      <c r="AK823" s="1" t="str">
        <f t="shared" si="536"/>
        <v>PA</v>
      </c>
      <c r="AP823" s="1" t="str">
        <f t="shared" si="537"/>
        <v>False</v>
      </c>
      <c r="AR823" s="1" t="str">
        <f t="shared" si="552"/>
        <v>EBONY</v>
      </c>
      <c r="AY823" s="1" t="str">
        <f t="shared" si="538"/>
        <v>PF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 t="str">
        <f t="shared" si="553"/>
        <v>A EVA TOMAIA SYNTHETIC GLITTER</v>
      </c>
      <c r="BF823" s="1" t="str">
        <f t="shared" si="539"/>
        <v>Bonis SpA</v>
      </c>
    </row>
    <row r="824" spans="2:58" x14ac:dyDescent="0.25">
      <c r="B824" s="1">
        <v>2473</v>
      </c>
      <c r="C824" s="1" t="str">
        <f t="shared" si="546"/>
        <v>EBONY4175S7/Y2</v>
      </c>
      <c r="E824" s="1" t="str">
        <f>"28"</f>
        <v>28</v>
      </c>
      <c r="F824" s="1" t="str">
        <f t="shared" si="527"/>
        <v>BONIS SPA</v>
      </c>
      <c r="G824" s="1" t="str">
        <f t="shared" si="556"/>
        <v>STOCK SCAFFALE MP</v>
      </c>
      <c r="H824" s="1" t="str">
        <f t="shared" si="547"/>
        <v>BLK</v>
      </c>
      <c r="K824" s="1">
        <v>1</v>
      </c>
      <c r="L824" s="1" t="str">
        <f t="shared" si="528"/>
        <v>01</v>
      </c>
      <c r="M824" s="1" t="str">
        <f t="shared" si="557"/>
        <v>408</v>
      </c>
      <c r="N824" s="1" t="str">
        <f t="shared" si="548"/>
        <v>006</v>
      </c>
      <c r="O824" s="1" t="str">
        <f t="shared" si="529"/>
        <v>00</v>
      </c>
      <c r="P824" s="1" t="str">
        <f t="shared" si="530"/>
        <v>S</v>
      </c>
      <c r="Q824" s="1" t="str">
        <f t="shared" si="531"/>
        <v>P</v>
      </c>
      <c r="R824" s="1" t="str">
        <f t="shared" si="532"/>
        <v>01</v>
      </c>
      <c r="S824" s="1" t="str">
        <f t="shared" si="558"/>
        <v>04</v>
      </c>
      <c r="T824" s="1" t="str">
        <f t="shared" si="533"/>
        <v>False</v>
      </c>
      <c r="U824" s="1" t="str">
        <f t="shared" si="534"/>
        <v>True</v>
      </c>
      <c r="V824" s="1" t="str">
        <f t="shared" ref="V824:V832" si="559">"U0032693"</f>
        <v>U0032693</v>
      </c>
      <c r="W824" s="1">
        <v>1</v>
      </c>
      <c r="Y824" s="1">
        <v>0</v>
      </c>
      <c r="Z824" s="1">
        <v>0</v>
      </c>
      <c r="AI824" s="1" t="str">
        <f t="shared" si="550"/>
        <v>F10</v>
      </c>
      <c r="AJ824" s="1" t="str">
        <f t="shared" si="551"/>
        <v>KID</v>
      </c>
      <c r="AK824" s="1" t="str">
        <f t="shared" si="536"/>
        <v>PA</v>
      </c>
      <c r="AP824" s="1" t="str">
        <f t="shared" si="537"/>
        <v>False</v>
      </c>
      <c r="AR824" s="1" t="str">
        <f t="shared" si="552"/>
        <v>EBONY</v>
      </c>
      <c r="AY824" s="1" t="str">
        <f t="shared" si="538"/>
        <v>PF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 t="str">
        <f t="shared" si="553"/>
        <v>A EVA TOMAIA SYNTHETIC GLITTER</v>
      </c>
      <c r="BF824" s="1" t="str">
        <f t="shared" si="539"/>
        <v>Bonis SpA</v>
      </c>
    </row>
    <row r="825" spans="2:58" x14ac:dyDescent="0.25">
      <c r="B825" s="1">
        <v>2473</v>
      </c>
      <c r="C825" s="1" t="str">
        <f t="shared" si="546"/>
        <v>EBONY4175S7/Y2</v>
      </c>
      <c r="E825" s="1" t="str">
        <f>"29"</f>
        <v>29</v>
      </c>
      <c r="F825" s="1" t="str">
        <f t="shared" si="527"/>
        <v>BONIS SPA</v>
      </c>
      <c r="G825" s="1" t="str">
        <f t="shared" si="556"/>
        <v>STOCK SCAFFALE MP</v>
      </c>
      <c r="H825" s="1" t="str">
        <f t="shared" si="547"/>
        <v>BLK</v>
      </c>
      <c r="K825" s="1">
        <v>1</v>
      </c>
      <c r="L825" s="1" t="str">
        <f t="shared" si="528"/>
        <v>01</v>
      </c>
      <c r="M825" s="1" t="str">
        <f t="shared" si="557"/>
        <v>408</v>
      </c>
      <c r="N825" s="1" t="str">
        <f t="shared" si="548"/>
        <v>006</v>
      </c>
      <c r="O825" s="1" t="str">
        <f t="shared" si="529"/>
        <v>00</v>
      </c>
      <c r="P825" s="1" t="str">
        <f t="shared" si="530"/>
        <v>S</v>
      </c>
      <c r="Q825" s="1" t="str">
        <f t="shared" si="531"/>
        <v>P</v>
      </c>
      <c r="R825" s="1" t="str">
        <f t="shared" si="532"/>
        <v>01</v>
      </c>
      <c r="S825" s="1" t="str">
        <f t="shared" si="558"/>
        <v>04</v>
      </c>
      <c r="T825" s="1" t="str">
        <f t="shared" si="533"/>
        <v>False</v>
      </c>
      <c r="U825" s="1" t="str">
        <f t="shared" si="534"/>
        <v>True</v>
      </c>
      <c r="V825" s="1" t="str">
        <f t="shared" si="559"/>
        <v>U0032693</v>
      </c>
      <c r="W825" s="1">
        <v>1</v>
      </c>
      <c r="Y825" s="1">
        <v>0</v>
      </c>
      <c r="Z825" s="1">
        <v>0</v>
      </c>
      <c r="AI825" s="1" t="str">
        <f t="shared" si="550"/>
        <v>F10</v>
      </c>
      <c r="AJ825" s="1" t="str">
        <f t="shared" si="551"/>
        <v>KID</v>
      </c>
      <c r="AK825" s="1" t="str">
        <f t="shared" si="536"/>
        <v>PA</v>
      </c>
      <c r="AP825" s="1" t="str">
        <f t="shared" si="537"/>
        <v>False</v>
      </c>
      <c r="AR825" s="1" t="str">
        <f t="shared" si="552"/>
        <v>EBONY</v>
      </c>
      <c r="AY825" s="1" t="str">
        <f t="shared" si="538"/>
        <v>PF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 t="str">
        <f t="shared" si="553"/>
        <v>A EVA TOMAIA SYNTHETIC GLITTER</v>
      </c>
      <c r="BF825" s="1" t="str">
        <f t="shared" si="539"/>
        <v>Bonis SpA</v>
      </c>
    </row>
    <row r="826" spans="2:58" x14ac:dyDescent="0.25">
      <c r="B826" s="1">
        <v>2473</v>
      </c>
      <c r="C826" s="1" t="str">
        <f t="shared" si="546"/>
        <v>EBONY4175S7/Y2</v>
      </c>
      <c r="E826" s="1" t="str">
        <f>"32"</f>
        <v>32</v>
      </c>
      <c r="F826" s="1" t="str">
        <f t="shared" si="527"/>
        <v>BONIS SPA</v>
      </c>
      <c r="G826" s="1" t="str">
        <f t="shared" si="556"/>
        <v>STOCK SCAFFALE MP</v>
      </c>
      <c r="H826" s="1" t="str">
        <f t="shared" si="547"/>
        <v>BLK</v>
      </c>
      <c r="K826" s="1">
        <v>2</v>
      </c>
      <c r="L826" s="1" t="str">
        <f t="shared" si="528"/>
        <v>01</v>
      </c>
      <c r="M826" s="1" t="str">
        <f t="shared" si="557"/>
        <v>408</v>
      </c>
      <c r="N826" s="1" t="str">
        <f t="shared" si="548"/>
        <v>006</v>
      </c>
      <c r="O826" s="1" t="str">
        <f t="shared" si="529"/>
        <v>00</v>
      </c>
      <c r="P826" s="1" t="str">
        <f t="shared" si="530"/>
        <v>S</v>
      </c>
      <c r="Q826" s="1" t="str">
        <f t="shared" si="531"/>
        <v>P</v>
      </c>
      <c r="R826" s="1" t="str">
        <f t="shared" si="532"/>
        <v>01</v>
      </c>
      <c r="S826" s="1" t="str">
        <f t="shared" si="558"/>
        <v>04</v>
      </c>
      <c r="T826" s="1" t="str">
        <f t="shared" si="533"/>
        <v>False</v>
      </c>
      <c r="U826" s="1" t="str">
        <f t="shared" si="534"/>
        <v>True</v>
      </c>
      <c r="V826" s="1" t="str">
        <f t="shared" si="559"/>
        <v>U0032693</v>
      </c>
      <c r="W826" s="1">
        <v>1</v>
      </c>
      <c r="Y826" s="1">
        <v>0</v>
      </c>
      <c r="Z826" s="1">
        <v>0</v>
      </c>
      <c r="AI826" s="1" t="str">
        <f t="shared" si="550"/>
        <v>F10</v>
      </c>
      <c r="AJ826" s="1" t="str">
        <f t="shared" si="551"/>
        <v>KID</v>
      </c>
      <c r="AK826" s="1" t="str">
        <f t="shared" si="536"/>
        <v>PA</v>
      </c>
      <c r="AP826" s="1" t="str">
        <f t="shared" si="537"/>
        <v>False</v>
      </c>
      <c r="AR826" s="1" t="str">
        <f t="shared" si="552"/>
        <v>EBONY</v>
      </c>
      <c r="AY826" s="1" t="str">
        <f t="shared" si="538"/>
        <v>PF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 t="str">
        <f t="shared" si="553"/>
        <v>A EVA TOMAIA SYNTHETIC GLITTER</v>
      </c>
      <c r="BF826" s="1" t="str">
        <f t="shared" si="539"/>
        <v>Bonis SpA</v>
      </c>
    </row>
    <row r="827" spans="2:58" x14ac:dyDescent="0.25">
      <c r="B827" s="1">
        <v>2473</v>
      </c>
      <c r="C827" s="1" t="str">
        <f t="shared" si="546"/>
        <v>EBONY4175S7/Y2</v>
      </c>
      <c r="E827" s="1" t="str">
        <f>"33"</f>
        <v>33</v>
      </c>
      <c r="F827" s="1" t="str">
        <f t="shared" si="527"/>
        <v>BONIS SPA</v>
      </c>
      <c r="G827" s="1" t="str">
        <f t="shared" si="556"/>
        <v>STOCK SCAFFALE MP</v>
      </c>
      <c r="H827" s="1" t="str">
        <f t="shared" si="547"/>
        <v>BLK</v>
      </c>
      <c r="K827" s="1">
        <v>2</v>
      </c>
      <c r="L827" s="1" t="str">
        <f t="shared" si="528"/>
        <v>01</v>
      </c>
      <c r="M827" s="1" t="str">
        <f t="shared" si="557"/>
        <v>408</v>
      </c>
      <c r="N827" s="1" t="str">
        <f t="shared" si="548"/>
        <v>006</v>
      </c>
      <c r="O827" s="1" t="str">
        <f t="shared" si="529"/>
        <v>00</v>
      </c>
      <c r="P827" s="1" t="str">
        <f t="shared" si="530"/>
        <v>S</v>
      </c>
      <c r="Q827" s="1" t="str">
        <f t="shared" si="531"/>
        <v>P</v>
      </c>
      <c r="R827" s="1" t="str">
        <f t="shared" si="532"/>
        <v>01</v>
      </c>
      <c r="S827" s="1" t="str">
        <f t="shared" si="558"/>
        <v>04</v>
      </c>
      <c r="T827" s="1" t="str">
        <f t="shared" si="533"/>
        <v>False</v>
      </c>
      <c r="U827" s="1" t="str">
        <f t="shared" si="534"/>
        <v>True</v>
      </c>
      <c r="V827" s="1" t="str">
        <f t="shared" si="559"/>
        <v>U0032693</v>
      </c>
      <c r="W827" s="1">
        <v>1</v>
      </c>
      <c r="Y827" s="1">
        <v>0</v>
      </c>
      <c r="Z827" s="1">
        <v>0</v>
      </c>
      <c r="AI827" s="1" t="str">
        <f t="shared" si="550"/>
        <v>F10</v>
      </c>
      <c r="AJ827" s="1" t="str">
        <f t="shared" si="551"/>
        <v>KID</v>
      </c>
      <c r="AK827" s="1" t="str">
        <f t="shared" si="536"/>
        <v>PA</v>
      </c>
      <c r="AP827" s="1" t="str">
        <f t="shared" si="537"/>
        <v>False</v>
      </c>
      <c r="AR827" s="1" t="str">
        <f t="shared" si="552"/>
        <v>EBONY</v>
      </c>
      <c r="AY827" s="1" t="str">
        <f t="shared" si="538"/>
        <v>PF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 t="str">
        <f t="shared" si="553"/>
        <v>A EVA TOMAIA SYNTHETIC GLITTER</v>
      </c>
      <c r="BF827" s="1" t="str">
        <f t="shared" si="539"/>
        <v>Bonis SpA</v>
      </c>
    </row>
    <row r="828" spans="2:58" x14ac:dyDescent="0.25">
      <c r="B828" s="1">
        <v>2473</v>
      </c>
      <c r="C828" s="1" t="str">
        <f t="shared" si="546"/>
        <v>EBONY4175S7/Y2</v>
      </c>
      <c r="E828" s="1" t="str">
        <f>"38"</f>
        <v>38</v>
      </c>
      <c r="F828" s="1" t="str">
        <f t="shared" si="527"/>
        <v>BONIS SPA</v>
      </c>
      <c r="G828" s="1" t="str">
        <f t="shared" si="556"/>
        <v>STOCK SCAFFALE MP</v>
      </c>
      <c r="H828" s="1" t="str">
        <f t="shared" si="547"/>
        <v>BLK</v>
      </c>
      <c r="K828" s="1">
        <v>2</v>
      </c>
      <c r="L828" s="1" t="str">
        <f t="shared" si="528"/>
        <v>01</v>
      </c>
      <c r="M828" s="1" t="str">
        <f t="shared" si="557"/>
        <v>408</v>
      </c>
      <c r="N828" s="1" t="str">
        <f t="shared" si="548"/>
        <v>006</v>
      </c>
      <c r="O828" s="1" t="str">
        <f t="shared" si="529"/>
        <v>00</v>
      </c>
      <c r="P828" s="1" t="str">
        <f t="shared" si="530"/>
        <v>S</v>
      </c>
      <c r="Q828" s="1" t="str">
        <f t="shared" si="531"/>
        <v>P</v>
      </c>
      <c r="R828" s="1" t="str">
        <f t="shared" si="532"/>
        <v>01</v>
      </c>
      <c r="S828" s="1" t="str">
        <f t="shared" si="558"/>
        <v>04</v>
      </c>
      <c r="T828" s="1" t="str">
        <f t="shared" si="533"/>
        <v>False</v>
      </c>
      <c r="U828" s="1" t="str">
        <f t="shared" si="534"/>
        <v>True</v>
      </c>
      <c r="V828" s="1" t="str">
        <f t="shared" si="559"/>
        <v>U0032693</v>
      </c>
      <c r="W828" s="1">
        <v>1</v>
      </c>
      <c r="Y828" s="1">
        <v>0</v>
      </c>
      <c r="Z828" s="1">
        <v>0</v>
      </c>
      <c r="AI828" s="1" t="str">
        <f t="shared" si="550"/>
        <v>F10</v>
      </c>
      <c r="AJ828" s="1" t="str">
        <f t="shared" si="551"/>
        <v>KID</v>
      </c>
      <c r="AK828" s="1" t="str">
        <f t="shared" si="536"/>
        <v>PA</v>
      </c>
      <c r="AP828" s="1" t="str">
        <f t="shared" si="537"/>
        <v>False</v>
      </c>
      <c r="AR828" s="1" t="str">
        <f t="shared" si="552"/>
        <v>EBONY</v>
      </c>
      <c r="AY828" s="1" t="str">
        <f t="shared" si="538"/>
        <v>PF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 t="str">
        <f t="shared" si="553"/>
        <v>A EVA TOMAIA SYNTHETIC GLITTER</v>
      </c>
      <c r="BF828" s="1" t="str">
        <f t="shared" si="539"/>
        <v>Bonis SpA</v>
      </c>
    </row>
    <row r="829" spans="2:58" x14ac:dyDescent="0.25">
      <c r="B829" s="1">
        <v>2473</v>
      </c>
      <c r="C829" s="1" t="str">
        <f t="shared" si="546"/>
        <v>EBONY4175S7/Y2</v>
      </c>
      <c r="E829" s="1" t="str">
        <f>"34"</f>
        <v>34</v>
      </c>
      <c r="F829" s="1" t="str">
        <f t="shared" si="527"/>
        <v>BONIS SPA</v>
      </c>
      <c r="G829" s="1" t="str">
        <f t="shared" si="556"/>
        <v>STOCK SCAFFALE MP</v>
      </c>
      <c r="H829" s="1" t="str">
        <f t="shared" si="547"/>
        <v>BLK</v>
      </c>
      <c r="K829" s="1">
        <v>1</v>
      </c>
      <c r="L829" s="1" t="str">
        <f t="shared" si="528"/>
        <v>01</v>
      </c>
      <c r="M829" s="1" t="str">
        <f t="shared" si="557"/>
        <v>408</v>
      </c>
      <c r="N829" s="1" t="str">
        <f t="shared" si="548"/>
        <v>006</v>
      </c>
      <c r="O829" s="1" t="str">
        <f t="shared" si="529"/>
        <v>00</v>
      </c>
      <c r="P829" s="1" t="str">
        <f t="shared" si="530"/>
        <v>S</v>
      </c>
      <c r="Q829" s="1" t="str">
        <f t="shared" si="531"/>
        <v>P</v>
      </c>
      <c r="R829" s="1" t="str">
        <f t="shared" si="532"/>
        <v>01</v>
      </c>
      <c r="S829" s="1" t="str">
        <f t="shared" si="558"/>
        <v>04</v>
      </c>
      <c r="T829" s="1" t="str">
        <f t="shared" si="533"/>
        <v>False</v>
      </c>
      <c r="U829" s="1" t="str">
        <f t="shared" si="534"/>
        <v>True</v>
      </c>
      <c r="V829" s="1" t="str">
        <f t="shared" si="559"/>
        <v>U0032693</v>
      </c>
      <c r="W829" s="1">
        <v>1</v>
      </c>
      <c r="Y829" s="1">
        <v>0</v>
      </c>
      <c r="Z829" s="1">
        <v>0</v>
      </c>
      <c r="AI829" s="1" t="str">
        <f t="shared" si="550"/>
        <v>F10</v>
      </c>
      <c r="AJ829" s="1" t="str">
        <f t="shared" si="551"/>
        <v>KID</v>
      </c>
      <c r="AK829" s="1" t="str">
        <f t="shared" si="536"/>
        <v>PA</v>
      </c>
      <c r="AP829" s="1" t="str">
        <f t="shared" si="537"/>
        <v>False</v>
      </c>
      <c r="AR829" s="1" t="str">
        <f t="shared" si="552"/>
        <v>EBONY</v>
      </c>
      <c r="AY829" s="1" t="str">
        <f t="shared" si="538"/>
        <v>PF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 t="str">
        <f t="shared" si="553"/>
        <v>A EVA TOMAIA SYNTHETIC GLITTER</v>
      </c>
      <c r="BF829" s="1" t="str">
        <f t="shared" si="539"/>
        <v>Bonis SpA</v>
      </c>
    </row>
    <row r="830" spans="2:58" x14ac:dyDescent="0.25">
      <c r="B830" s="1">
        <v>2473</v>
      </c>
      <c r="C830" s="1" t="str">
        <f t="shared" si="546"/>
        <v>EBONY4175S7/Y2</v>
      </c>
      <c r="E830" s="1" t="str">
        <f>"35"</f>
        <v>35</v>
      </c>
      <c r="F830" s="1" t="str">
        <f t="shared" si="527"/>
        <v>BONIS SPA</v>
      </c>
      <c r="G830" s="1" t="str">
        <f t="shared" si="556"/>
        <v>STOCK SCAFFALE MP</v>
      </c>
      <c r="H830" s="1" t="str">
        <f t="shared" si="547"/>
        <v>BLK</v>
      </c>
      <c r="K830" s="1">
        <v>1</v>
      </c>
      <c r="L830" s="1" t="str">
        <f t="shared" si="528"/>
        <v>01</v>
      </c>
      <c r="M830" s="1" t="str">
        <f t="shared" si="557"/>
        <v>408</v>
      </c>
      <c r="N830" s="1" t="str">
        <f t="shared" si="548"/>
        <v>006</v>
      </c>
      <c r="O830" s="1" t="str">
        <f t="shared" si="529"/>
        <v>00</v>
      </c>
      <c r="P830" s="1" t="str">
        <f t="shared" si="530"/>
        <v>S</v>
      </c>
      <c r="Q830" s="1" t="str">
        <f t="shared" si="531"/>
        <v>P</v>
      </c>
      <c r="R830" s="1" t="str">
        <f t="shared" si="532"/>
        <v>01</v>
      </c>
      <c r="S830" s="1" t="str">
        <f t="shared" si="558"/>
        <v>04</v>
      </c>
      <c r="T830" s="1" t="str">
        <f t="shared" si="533"/>
        <v>False</v>
      </c>
      <c r="U830" s="1" t="str">
        <f t="shared" si="534"/>
        <v>True</v>
      </c>
      <c r="V830" s="1" t="str">
        <f t="shared" si="559"/>
        <v>U0032693</v>
      </c>
      <c r="W830" s="1">
        <v>1</v>
      </c>
      <c r="Y830" s="1">
        <v>0</v>
      </c>
      <c r="Z830" s="1">
        <v>0</v>
      </c>
      <c r="AI830" s="1" t="str">
        <f t="shared" si="550"/>
        <v>F10</v>
      </c>
      <c r="AJ830" s="1" t="str">
        <f t="shared" si="551"/>
        <v>KID</v>
      </c>
      <c r="AK830" s="1" t="str">
        <f t="shared" si="536"/>
        <v>PA</v>
      </c>
      <c r="AP830" s="1" t="str">
        <f t="shared" si="537"/>
        <v>False</v>
      </c>
      <c r="AR830" s="1" t="str">
        <f t="shared" si="552"/>
        <v>EBONY</v>
      </c>
      <c r="AY830" s="1" t="str">
        <f t="shared" si="538"/>
        <v>PF</v>
      </c>
      <c r="AZ830" s="1">
        <v>0</v>
      </c>
      <c r="BA830" s="1">
        <v>0</v>
      </c>
      <c r="BB830" s="1">
        <v>0</v>
      </c>
      <c r="BC830" s="1">
        <v>0</v>
      </c>
      <c r="BD830" s="1">
        <v>0</v>
      </c>
      <c r="BE830" s="1" t="str">
        <f t="shared" si="553"/>
        <v>A EVA TOMAIA SYNTHETIC GLITTER</v>
      </c>
      <c r="BF830" s="1" t="str">
        <f t="shared" si="539"/>
        <v>Bonis SpA</v>
      </c>
    </row>
    <row r="831" spans="2:58" x14ac:dyDescent="0.25">
      <c r="B831" s="1">
        <v>2473</v>
      </c>
      <c r="C831" s="1" t="str">
        <f t="shared" ref="C831:C862" si="560">"EBONY4175S7/Y2"</f>
        <v>EBONY4175S7/Y2</v>
      </c>
      <c r="E831" s="1" t="str">
        <f>"31"</f>
        <v>31</v>
      </c>
      <c r="F831" s="1" t="str">
        <f t="shared" si="527"/>
        <v>BONIS SPA</v>
      </c>
      <c r="G831" s="1" t="str">
        <f t="shared" si="556"/>
        <v>STOCK SCAFFALE MP</v>
      </c>
      <c r="H831" s="1" t="str">
        <f t="shared" ref="H831:H848" si="561">"BLK"</f>
        <v>BLK</v>
      </c>
      <c r="K831" s="1">
        <v>1</v>
      </c>
      <c r="L831" s="1" t="str">
        <f t="shared" si="528"/>
        <v>01</v>
      </c>
      <c r="M831" s="1" t="str">
        <f t="shared" si="557"/>
        <v>408</v>
      </c>
      <c r="N831" s="1" t="str">
        <f t="shared" ref="N831:N862" si="562">"006"</f>
        <v>006</v>
      </c>
      <c r="O831" s="1" t="str">
        <f t="shared" si="529"/>
        <v>00</v>
      </c>
      <c r="P831" s="1" t="str">
        <f t="shared" si="530"/>
        <v>S</v>
      </c>
      <c r="Q831" s="1" t="str">
        <f t="shared" si="531"/>
        <v>P</v>
      </c>
      <c r="R831" s="1" t="str">
        <f t="shared" si="532"/>
        <v>01</v>
      </c>
      <c r="S831" s="1" t="str">
        <f t="shared" si="558"/>
        <v>04</v>
      </c>
      <c r="T831" s="1" t="str">
        <f t="shared" si="533"/>
        <v>False</v>
      </c>
      <c r="U831" s="1" t="str">
        <f t="shared" si="534"/>
        <v>True</v>
      </c>
      <c r="V831" s="1" t="str">
        <f t="shared" si="559"/>
        <v>U0032693</v>
      </c>
      <c r="W831" s="1">
        <v>1</v>
      </c>
      <c r="Y831" s="1">
        <v>0</v>
      </c>
      <c r="Z831" s="1">
        <v>0</v>
      </c>
      <c r="AI831" s="1" t="str">
        <f t="shared" ref="AI831:AI862" si="563">"F10"</f>
        <v>F10</v>
      </c>
      <c r="AJ831" s="1" t="str">
        <f t="shared" ref="AJ831:AJ862" si="564">"KID"</f>
        <v>KID</v>
      </c>
      <c r="AK831" s="1" t="str">
        <f t="shared" si="536"/>
        <v>PA</v>
      </c>
      <c r="AP831" s="1" t="str">
        <f t="shared" si="537"/>
        <v>False</v>
      </c>
      <c r="AR831" s="1" t="str">
        <f t="shared" ref="AR831:AR862" si="565">"EBONY"</f>
        <v>EBONY</v>
      </c>
      <c r="AY831" s="1" t="str">
        <f t="shared" si="538"/>
        <v>PF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 t="str">
        <f t="shared" ref="BE831:BE862" si="566">"A EVA TOMAIA SYNTHETIC GLITTER"</f>
        <v>A EVA TOMAIA SYNTHETIC GLITTER</v>
      </c>
      <c r="BF831" s="1" t="str">
        <f t="shared" si="539"/>
        <v>Bonis SpA</v>
      </c>
    </row>
    <row r="832" spans="2:58" x14ac:dyDescent="0.25">
      <c r="B832" s="1">
        <v>2473</v>
      </c>
      <c r="C832" s="1" t="str">
        <f t="shared" si="560"/>
        <v>EBONY4175S7/Y2</v>
      </c>
      <c r="E832" s="1" t="str">
        <f>"30"</f>
        <v>30</v>
      </c>
      <c r="F832" s="1" t="str">
        <f t="shared" si="527"/>
        <v>BONIS SPA</v>
      </c>
      <c r="G832" s="1" t="str">
        <f t="shared" si="556"/>
        <v>STOCK SCAFFALE MP</v>
      </c>
      <c r="H832" s="1" t="str">
        <f t="shared" si="561"/>
        <v>BLK</v>
      </c>
      <c r="K832" s="1">
        <v>1</v>
      </c>
      <c r="L832" s="1" t="str">
        <f t="shared" si="528"/>
        <v>01</v>
      </c>
      <c r="M832" s="1" t="str">
        <f t="shared" si="557"/>
        <v>408</v>
      </c>
      <c r="N832" s="1" t="str">
        <f t="shared" si="562"/>
        <v>006</v>
      </c>
      <c r="O832" s="1" t="str">
        <f t="shared" si="529"/>
        <v>00</v>
      </c>
      <c r="P832" s="1" t="str">
        <f t="shared" si="530"/>
        <v>S</v>
      </c>
      <c r="Q832" s="1" t="str">
        <f t="shared" si="531"/>
        <v>P</v>
      </c>
      <c r="R832" s="1" t="str">
        <f t="shared" si="532"/>
        <v>01</v>
      </c>
      <c r="S832" s="1" t="str">
        <f t="shared" si="558"/>
        <v>04</v>
      </c>
      <c r="T832" s="1" t="str">
        <f t="shared" si="533"/>
        <v>False</v>
      </c>
      <c r="U832" s="1" t="str">
        <f t="shared" si="534"/>
        <v>True</v>
      </c>
      <c r="V832" s="1" t="str">
        <f t="shared" si="559"/>
        <v>U0032693</v>
      </c>
      <c r="W832" s="1">
        <v>1</v>
      </c>
      <c r="Y832" s="1">
        <v>0</v>
      </c>
      <c r="Z832" s="1">
        <v>0</v>
      </c>
      <c r="AI832" s="1" t="str">
        <f t="shared" si="563"/>
        <v>F10</v>
      </c>
      <c r="AJ832" s="1" t="str">
        <f t="shared" si="564"/>
        <v>KID</v>
      </c>
      <c r="AK832" s="1" t="str">
        <f t="shared" si="536"/>
        <v>PA</v>
      </c>
      <c r="AP832" s="1" t="str">
        <f t="shared" si="537"/>
        <v>False</v>
      </c>
      <c r="AR832" s="1" t="str">
        <f t="shared" si="565"/>
        <v>EBONY</v>
      </c>
      <c r="AY832" s="1" t="str">
        <f t="shared" si="538"/>
        <v>PF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 t="str">
        <f t="shared" si="566"/>
        <v>A EVA TOMAIA SYNTHETIC GLITTER</v>
      </c>
      <c r="BF832" s="1" t="str">
        <f t="shared" si="539"/>
        <v>Bonis SpA</v>
      </c>
    </row>
    <row r="833" spans="2:58" x14ac:dyDescent="0.25">
      <c r="B833" s="1">
        <v>2473</v>
      </c>
      <c r="C833" s="1" t="str">
        <f t="shared" si="560"/>
        <v>EBONY4175S7/Y2</v>
      </c>
      <c r="E833" s="1" t="str">
        <f>"32"</f>
        <v>32</v>
      </c>
      <c r="F833" s="1" t="str">
        <f t="shared" si="527"/>
        <v>BONIS SPA</v>
      </c>
      <c r="G833" s="1" t="str">
        <f t="shared" si="556"/>
        <v>STOCK SCAFFALE MP</v>
      </c>
      <c r="H833" s="1" t="str">
        <f t="shared" si="561"/>
        <v>BLK</v>
      </c>
      <c r="K833" s="1">
        <v>1</v>
      </c>
      <c r="L833" s="1" t="str">
        <f t="shared" si="528"/>
        <v>01</v>
      </c>
      <c r="M833" s="1" t="str">
        <f t="shared" si="557"/>
        <v>408</v>
      </c>
      <c r="N833" s="1" t="str">
        <f t="shared" si="562"/>
        <v>006</v>
      </c>
      <c r="O833" s="1" t="str">
        <f t="shared" si="529"/>
        <v>00</v>
      </c>
      <c r="P833" s="1" t="str">
        <f t="shared" si="530"/>
        <v>S</v>
      </c>
      <c r="Q833" s="1" t="str">
        <f t="shared" si="531"/>
        <v>P</v>
      </c>
      <c r="R833" s="1" t="str">
        <f t="shared" si="532"/>
        <v>01</v>
      </c>
      <c r="S833" s="1" t="str">
        <f t="shared" si="558"/>
        <v>04</v>
      </c>
      <c r="T833" s="1" t="str">
        <f t="shared" si="533"/>
        <v>False</v>
      </c>
      <c r="U833" s="1" t="str">
        <f t="shared" si="534"/>
        <v>True</v>
      </c>
      <c r="V833" s="1" t="str">
        <f t="shared" ref="V833:V840" si="567">"U0032692"</f>
        <v>U0032692</v>
      </c>
      <c r="W833" s="1">
        <v>1</v>
      </c>
      <c r="Y833" s="1">
        <v>0</v>
      </c>
      <c r="Z833" s="1">
        <v>0</v>
      </c>
      <c r="AI833" s="1" t="str">
        <f t="shared" si="563"/>
        <v>F10</v>
      </c>
      <c r="AJ833" s="1" t="str">
        <f t="shared" si="564"/>
        <v>KID</v>
      </c>
      <c r="AK833" s="1" t="str">
        <f t="shared" si="536"/>
        <v>PA</v>
      </c>
      <c r="AP833" s="1" t="str">
        <f t="shared" si="537"/>
        <v>False</v>
      </c>
      <c r="AR833" s="1" t="str">
        <f t="shared" si="565"/>
        <v>EBONY</v>
      </c>
      <c r="AY833" s="1" t="str">
        <f t="shared" si="538"/>
        <v>PF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 t="str">
        <f t="shared" si="566"/>
        <v>A EVA TOMAIA SYNTHETIC GLITTER</v>
      </c>
      <c r="BF833" s="1" t="str">
        <f t="shared" si="539"/>
        <v>Bonis SpA</v>
      </c>
    </row>
    <row r="834" spans="2:58" x14ac:dyDescent="0.25">
      <c r="B834" s="1">
        <v>2473</v>
      </c>
      <c r="C834" s="1" t="str">
        <f t="shared" si="560"/>
        <v>EBONY4175S7/Y2</v>
      </c>
      <c r="E834" s="1" t="str">
        <f>"33"</f>
        <v>33</v>
      </c>
      <c r="F834" s="1" t="str">
        <f t="shared" ref="F834:F897" si="568">"BONIS SPA"</f>
        <v>BONIS SPA</v>
      </c>
      <c r="G834" s="1" t="str">
        <f t="shared" si="556"/>
        <v>STOCK SCAFFALE MP</v>
      </c>
      <c r="H834" s="1" t="str">
        <f t="shared" si="561"/>
        <v>BLK</v>
      </c>
      <c r="K834" s="1">
        <v>1</v>
      </c>
      <c r="L834" s="1" t="str">
        <f t="shared" ref="L834:L897" si="569">"01"</f>
        <v>01</v>
      </c>
      <c r="M834" s="1" t="str">
        <f t="shared" si="557"/>
        <v>408</v>
      </c>
      <c r="N834" s="1" t="str">
        <f t="shared" si="562"/>
        <v>006</v>
      </c>
      <c r="O834" s="1" t="str">
        <f t="shared" ref="O834:O897" si="570">"00"</f>
        <v>00</v>
      </c>
      <c r="P834" s="1" t="str">
        <f t="shared" ref="P834:P897" si="571">"S"</f>
        <v>S</v>
      </c>
      <c r="Q834" s="1" t="str">
        <f t="shared" ref="Q834:Q897" si="572">"P"</f>
        <v>P</v>
      </c>
      <c r="R834" s="1" t="str">
        <f t="shared" ref="R834:R897" si="573">"01"</f>
        <v>01</v>
      </c>
      <c r="S834" s="1" t="str">
        <f t="shared" si="558"/>
        <v>04</v>
      </c>
      <c r="T834" s="1" t="str">
        <f t="shared" ref="T834:T897" si="574">"False"</f>
        <v>False</v>
      </c>
      <c r="U834" s="1" t="str">
        <f t="shared" ref="U834:U897" si="575">"True"</f>
        <v>True</v>
      </c>
      <c r="V834" s="1" t="str">
        <f t="shared" si="567"/>
        <v>U0032692</v>
      </c>
      <c r="W834" s="1">
        <v>1</v>
      </c>
      <c r="Y834" s="1">
        <v>0</v>
      </c>
      <c r="Z834" s="1">
        <v>0</v>
      </c>
      <c r="AI834" s="1" t="str">
        <f t="shared" si="563"/>
        <v>F10</v>
      </c>
      <c r="AJ834" s="1" t="str">
        <f t="shared" si="564"/>
        <v>KID</v>
      </c>
      <c r="AK834" s="1" t="str">
        <f t="shared" ref="AK834:AK897" si="576">"PA"</f>
        <v>PA</v>
      </c>
      <c r="AP834" s="1" t="str">
        <f t="shared" ref="AP834:AP897" si="577">"False"</f>
        <v>False</v>
      </c>
      <c r="AR834" s="1" t="str">
        <f t="shared" si="565"/>
        <v>EBONY</v>
      </c>
      <c r="AY834" s="1" t="str">
        <f t="shared" ref="AY834:AY897" si="578">"PF"</f>
        <v>PF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 t="str">
        <f t="shared" si="566"/>
        <v>A EVA TOMAIA SYNTHETIC GLITTER</v>
      </c>
      <c r="BF834" s="1" t="str">
        <f t="shared" ref="BF834:BF897" si="579">"Bonis SpA"</f>
        <v>Bonis SpA</v>
      </c>
    </row>
    <row r="835" spans="2:58" x14ac:dyDescent="0.25">
      <c r="B835" s="1">
        <v>2473</v>
      </c>
      <c r="C835" s="1" t="str">
        <f t="shared" si="560"/>
        <v>EBONY4175S7/Y2</v>
      </c>
      <c r="E835" s="1" t="str">
        <f>"28"</f>
        <v>28</v>
      </c>
      <c r="F835" s="1" t="str">
        <f t="shared" si="568"/>
        <v>BONIS SPA</v>
      </c>
      <c r="G835" s="1" t="str">
        <f t="shared" si="556"/>
        <v>STOCK SCAFFALE MP</v>
      </c>
      <c r="H835" s="1" t="str">
        <f t="shared" si="561"/>
        <v>BLK</v>
      </c>
      <c r="K835" s="1">
        <v>1</v>
      </c>
      <c r="L835" s="1" t="str">
        <f t="shared" si="569"/>
        <v>01</v>
      </c>
      <c r="M835" s="1" t="str">
        <f t="shared" si="557"/>
        <v>408</v>
      </c>
      <c r="N835" s="1" t="str">
        <f t="shared" si="562"/>
        <v>006</v>
      </c>
      <c r="O835" s="1" t="str">
        <f t="shared" si="570"/>
        <v>00</v>
      </c>
      <c r="P835" s="1" t="str">
        <f t="shared" si="571"/>
        <v>S</v>
      </c>
      <c r="Q835" s="1" t="str">
        <f t="shared" si="572"/>
        <v>P</v>
      </c>
      <c r="R835" s="1" t="str">
        <f t="shared" si="573"/>
        <v>01</v>
      </c>
      <c r="S835" s="1" t="str">
        <f t="shared" si="558"/>
        <v>04</v>
      </c>
      <c r="T835" s="1" t="str">
        <f t="shared" si="574"/>
        <v>False</v>
      </c>
      <c r="U835" s="1" t="str">
        <f t="shared" si="575"/>
        <v>True</v>
      </c>
      <c r="V835" s="1" t="str">
        <f t="shared" si="567"/>
        <v>U0032692</v>
      </c>
      <c r="W835" s="1">
        <v>1</v>
      </c>
      <c r="Y835" s="1">
        <v>0</v>
      </c>
      <c r="Z835" s="1">
        <v>0</v>
      </c>
      <c r="AI835" s="1" t="str">
        <f t="shared" si="563"/>
        <v>F10</v>
      </c>
      <c r="AJ835" s="1" t="str">
        <f t="shared" si="564"/>
        <v>KID</v>
      </c>
      <c r="AK835" s="1" t="str">
        <f t="shared" si="576"/>
        <v>PA</v>
      </c>
      <c r="AP835" s="1" t="str">
        <f t="shared" si="577"/>
        <v>False</v>
      </c>
      <c r="AR835" s="1" t="str">
        <f t="shared" si="565"/>
        <v>EBONY</v>
      </c>
      <c r="AY835" s="1" t="str">
        <f t="shared" si="578"/>
        <v>PF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 t="str">
        <f t="shared" si="566"/>
        <v>A EVA TOMAIA SYNTHETIC GLITTER</v>
      </c>
      <c r="BF835" s="1" t="str">
        <f t="shared" si="579"/>
        <v>Bonis SpA</v>
      </c>
    </row>
    <row r="836" spans="2:58" x14ac:dyDescent="0.25">
      <c r="B836" s="1">
        <v>2473</v>
      </c>
      <c r="C836" s="1" t="str">
        <f t="shared" si="560"/>
        <v>EBONY4175S7/Y2</v>
      </c>
      <c r="E836" s="1" t="str">
        <f>"29"</f>
        <v>29</v>
      </c>
      <c r="F836" s="1" t="str">
        <f t="shared" si="568"/>
        <v>BONIS SPA</v>
      </c>
      <c r="G836" s="1" t="str">
        <f t="shared" si="556"/>
        <v>STOCK SCAFFALE MP</v>
      </c>
      <c r="H836" s="1" t="str">
        <f t="shared" si="561"/>
        <v>BLK</v>
      </c>
      <c r="K836" s="1">
        <v>1</v>
      </c>
      <c r="L836" s="1" t="str">
        <f t="shared" si="569"/>
        <v>01</v>
      </c>
      <c r="M836" s="1" t="str">
        <f t="shared" si="557"/>
        <v>408</v>
      </c>
      <c r="N836" s="1" t="str">
        <f t="shared" si="562"/>
        <v>006</v>
      </c>
      <c r="O836" s="1" t="str">
        <f t="shared" si="570"/>
        <v>00</v>
      </c>
      <c r="P836" s="1" t="str">
        <f t="shared" si="571"/>
        <v>S</v>
      </c>
      <c r="Q836" s="1" t="str">
        <f t="shared" si="572"/>
        <v>P</v>
      </c>
      <c r="R836" s="1" t="str">
        <f t="shared" si="573"/>
        <v>01</v>
      </c>
      <c r="S836" s="1" t="str">
        <f t="shared" si="558"/>
        <v>04</v>
      </c>
      <c r="T836" s="1" t="str">
        <f t="shared" si="574"/>
        <v>False</v>
      </c>
      <c r="U836" s="1" t="str">
        <f t="shared" si="575"/>
        <v>True</v>
      </c>
      <c r="V836" s="1" t="str">
        <f t="shared" si="567"/>
        <v>U0032692</v>
      </c>
      <c r="W836" s="1">
        <v>1</v>
      </c>
      <c r="Y836" s="1">
        <v>0</v>
      </c>
      <c r="Z836" s="1">
        <v>0</v>
      </c>
      <c r="AI836" s="1" t="str">
        <f t="shared" si="563"/>
        <v>F10</v>
      </c>
      <c r="AJ836" s="1" t="str">
        <f t="shared" si="564"/>
        <v>KID</v>
      </c>
      <c r="AK836" s="1" t="str">
        <f t="shared" si="576"/>
        <v>PA</v>
      </c>
      <c r="AP836" s="1" t="str">
        <f t="shared" si="577"/>
        <v>False</v>
      </c>
      <c r="AR836" s="1" t="str">
        <f t="shared" si="565"/>
        <v>EBONY</v>
      </c>
      <c r="AY836" s="1" t="str">
        <f t="shared" si="578"/>
        <v>PF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 t="str">
        <f t="shared" si="566"/>
        <v>A EVA TOMAIA SYNTHETIC GLITTER</v>
      </c>
      <c r="BF836" s="1" t="str">
        <f t="shared" si="579"/>
        <v>Bonis SpA</v>
      </c>
    </row>
    <row r="837" spans="2:58" x14ac:dyDescent="0.25">
      <c r="B837" s="1">
        <v>2473</v>
      </c>
      <c r="C837" s="1" t="str">
        <f t="shared" si="560"/>
        <v>EBONY4175S7/Y2</v>
      </c>
      <c r="E837" s="1" t="str">
        <f>"34"</f>
        <v>34</v>
      </c>
      <c r="F837" s="1" t="str">
        <f t="shared" si="568"/>
        <v>BONIS SPA</v>
      </c>
      <c r="G837" s="1" t="str">
        <f t="shared" si="556"/>
        <v>STOCK SCAFFALE MP</v>
      </c>
      <c r="H837" s="1" t="str">
        <f t="shared" si="561"/>
        <v>BLK</v>
      </c>
      <c r="K837" s="1">
        <v>1</v>
      </c>
      <c r="L837" s="1" t="str">
        <f t="shared" si="569"/>
        <v>01</v>
      </c>
      <c r="M837" s="1" t="str">
        <f t="shared" si="557"/>
        <v>408</v>
      </c>
      <c r="N837" s="1" t="str">
        <f t="shared" si="562"/>
        <v>006</v>
      </c>
      <c r="O837" s="1" t="str">
        <f t="shared" si="570"/>
        <v>00</v>
      </c>
      <c r="P837" s="1" t="str">
        <f t="shared" si="571"/>
        <v>S</v>
      </c>
      <c r="Q837" s="1" t="str">
        <f t="shared" si="572"/>
        <v>P</v>
      </c>
      <c r="R837" s="1" t="str">
        <f t="shared" si="573"/>
        <v>01</v>
      </c>
      <c r="S837" s="1" t="str">
        <f t="shared" si="558"/>
        <v>04</v>
      </c>
      <c r="T837" s="1" t="str">
        <f t="shared" si="574"/>
        <v>False</v>
      </c>
      <c r="U837" s="1" t="str">
        <f t="shared" si="575"/>
        <v>True</v>
      </c>
      <c r="V837" s="1" t="str">
        <f t="shared" si="567"/>
        <v>U0032692</v>
      </c>
      <c r="W837" s="1">
        <v>1</v>
      </c>
      <c r="Y837" s="1">
        <v>0</v>
      </c>
      <c r="Z837" s="1">
        <v>0</v>
      </c>
      <c r="AI837" s="1" t="str">
        <f t="shared" si="563"/>
        <v>F10</v>
      </c>
      <c r="AJ837" s="1" t="str">
        <f t="shared" si="564"/>
        <v>KID</v>
      </c>
      <c r="AK837" s="1" t="str">
        <f t="shared" si="576"/>
        <v>PA</v>
      </c>
      <c r="AP837" s="1" t="str">
        <f t="shared" si="577"/>
        <v>False</v>
      </c>
      <c r="AR837" s="1" t="str">
        <f t="shared" si="565"/>
        <v>EBONY</v>
      </c>
      <c r="AY837" s="1" t="str">
        <f t="shared" si="578"/>
        <v>PF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 t="str">
        <f t="shared" si="566"/>
        <v>A EVA TOMAIA SYNTHETIC GLITTER</v>
      </c>
      <c r="BF837" s="1" t="str">
        <f t="shared" si="579"/>
        <v>Bonis SpA</v>
      </c>
    </row>
    <row r="838" spans="2:58" x14ac:dyDescent="0.25">
      <c r="B838" s="1">
        <v>2473</v>
      </c>
      <c r="C838" s="1" t="str">
        <f t="shared" si="560"/>
        <v>EBONY4175S7/Y2</v>
      </c>
      <c r="E838" s="1" t="str">
        <f>"35"</f>
        <v>35</v>
      </c>
      <c r="F838" s="1" t="str">
        <f t="shared" si="568"/>
        <v>BONIS SPA</v>
      </c>
      <c r="G838" s="1" t="str">
        <f t="shared" si="556"/>
        <v>STOCK SCAFFALE MP</v>
      </c>
      <c r="H838" s="1" t="str">
        <f t="shared" si="561"/>
        <v>BLK</v>
      </c>
      <c r="K838" s="1">
        <v>1</v>
      </c>
      <c r="L838" s="1" t="str">
        <f t="shared" si="569"/>
        <v>01</v>
      </c>
      <c r="M838" s="1" t="str">
        <f t="shared" si="557"/>
        <v>408</v>
      </c>
      <c r="N838" s="1" t="str">
        <f t="shared" si="562"/>
        <v>006</v>
      </c>
      <c r="O838" s="1" t="str">
        <f t="shared" si="570"/>
        <v>00</v>
      </c>
      <c r="P838" s="1" t="str">
        <f t="shared" si="571"/>
        <v>S</v>
      </c>
      <c r="Q838" s="1" t="str">
        <f t="shared" si="572"/>
        <v>P</v>
      </c>
      <c r="R838" s="1" t="str">
        <f t="shared" si="573"/>
        <v>01</v>
      </c>
      <c r="S838" s="1" t="str">
        <f t="shared" si="558"/>
        <v>04</v>
      </c>
      <c r="T838" s="1" t="str">
        <f t="shared" si="574"/>
        <v>False</v>
      </c>
      <c r="U838" s="1" t="str">
        <f t="shared" si="575"/>
        <v>True</v>
      </c>
      <c r="V838" s="1" t="str">
        <f t="shared" si="567"/>
        <v>U0032692</v>
      </c>
      <c r="W838" s="1">
        <v>1</v>
      </c>
      <c r="Y838" s="1">
        <v>0</v>
      </c>
      <c r="Z838" s="1">
        <v>0</v>
      </c>
      <c r="AI838" s="1" t="str">
        <f t="shared" si="563"/>
        <v>F10</v>
      </c>
      <c r="AJ838" s="1" t="str">
        <f t="shared" si="564"/>
        <v>KID</v>
      </c>
      <c r="AK838" s="1" t="str">
        <f t="shared" si="576"/>
        <v>PA</v>
      </c>
      <c r="AP838" s="1" t="str">
        <f t="shared" si="577"/>
        <v>False</v>
      </c>
      <c r="AR838" s="1" t="str">
        <f t="shared" si="565"/>
        <v>EBONY</v>
      </c>
      <c r="AY838" s="1" t="str">
        <f t="shared" si="578"/>
        <v>PF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 t="str">
        <f t="shared" si="566"/>
        <v>A EVA TOMAIA SYNTHETIC GLITTER</v>
      </c>
      <c r="BF838" s="1" t="str">
        <f t="shared" si="579"/>
        <v>Bonis SpA</v>
      </c>
    </row>
    <row r="839" spans="2:58" x14ac:dyDescent="0.25">
      <c r="B839" s="1">
        <v>2473</v>
      </c>
      <c r="C839" s="1" t="str">
        <f t="shared" si="560"/>
        <v>EBONY4175S7/Y2</v>
      </c>
      <c r="E839" s="1" t="str">
        <f>"30"</f>
        <v>30</v>
      </c>
      <c r="F839" s="1" t="str">
        <f t="shared" si="568"/>
        <v>BONIS SPA</v>
      </c>
      <c r="G839" s="1" t="str">
        <f t="shared" si="556"/>
        <v>STOCK SCAFFALE MP</v>
      </c>
      <c r="H839" s="1" t="str">
        <f t="shared" si="561"/>
        <v>BLK</v>
      </c>
      <c r="K839" s="1">
        <v>1</v>
      </c>
      <c r="L839" s="1" t="str">
        <f t="shared" si="569"/>
        <v>01</v>
      </c>
      <c r="M839" s="1" t="str">
        <f t="shared" si="557"/>
        <v>408</v>
      </c>
      <c r="N839" s="1" t="str">
        <f t="shared" si="562"/>
        <v>006</v>
      </c>
      <c r="O839" s="1" t="str">
        <f t="shared" si="570"/>
        <v>00</v>
      </c>
      <c r="P839" s="1" t="str">
        <f t="shared" si="571"/>
        <v>S</v>
      </c>
      <c r="Q839" s="1" t="str">
        <f t="shared" si="572"/>
        <v>P</v>
      </c>
      <c r="R839" s="1" t="str">
        <f t="shared" si="573"/>
        <v>01</v>
      </c>
      <c r="S839" s="1" t="str">
        <f t="shared" si="558"/>
        <v>04</v>
      </c>
      <c r="T839" s="1" t="str">
        <f t="shared" si="574"/>
        <v>False</v>
      </c>
      <c r="U839" s="1" t="str">
        <f t="shared" si="575"/>
        <v>True</v>
      </c>
      <c r="V839" s="1" t="str">
        <f t="shared" si="567"/>
        <v>U0032692</v>
      </c>
      <c r="W839" s="1">
        <v>1</v>
      </c>
      <c r="Y839" s="1">
        <v>0</v>
      </c>
      <c r="Z839" s="1">
        <v>0</v>
      </c>
      <c r="AI839" s="1" t="str">
        <f t="shared" si="563"/>
        <v>F10</v>
      </c>
      <c r="AJ839" s="1" t="str">
        <f t="shared" si="564"/>
        <v>KID</v>
      </c>
      <c r="AK839" s="1" t="str">
        <f t="shared" si="576"/>
        <v>PA</v>
      </c>
      <c r="AP839" s="1" t="str">
        <f t="shared" si="577"/>
        <v>False</v>
      </c>
      <c r="AR839" s="1" t="str">
        <f t="shared" si="565"/>
        <v>EBONY</v>
      </c>
      <c r="AY839" s="1" t="str">
        <f t="shared" si="578"/>
        <v>PF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 t="str">
        <f t="shared" si="566"/>
        <v>A EVA TOMAIA SYNTHETIC GLITTER</v>
      </c>
      <c r="BF839" s="1" t="str">
        <f t="shared" si="579"/>
        <v>Bonis SpA</v>
      </c>
    </row>
    <row r="840" spans="2:58" x14ac:dyDescent="0.25">
      <c r="B840" s="1">
        <v>2473</v>
      </c>
      <c r="C840" s="1" t="str">
        <f t="shared" si="560"/>
        <v>EBONY4175S7/Y2</v>
      </c>
      <c r="E840" s="1" t="str">
        <f>"31"</f>
        <v>31</v>
      </c>
      <c r="F840" s="1" t="str">
        <f t="shared" si="568"/>
        <v>BONIS SPA</v>
      </c>
      <c r="G840" s="1" t="str">
        <f t="shared" si="556"/>
        <v>STOCK SCAFFALE MP</v>
      </c>
      <c r="H840" s="1" t="str">
        <f t="shared" si="561"/>
        <v>BLK</v>
      </c>
      <c r="K840" s="1">
        <v>1</v>
      </c>
      <c r="L840" s="1" t="str">
        <f t="shared" si="569"/>
        <v>01</v>
      </c>
      <c r="M840" s="1" t="str">
        <f t="shared" si="557"/>
        <v>408</v>
      </c>
      <c r="N840" s="1" t="str">
        <f t="shared" si="562"/>
        <v>006</v>
      </c>
      <c r="O840" s="1" t="str">
        <f t="shared" si="570"/>
        <v>00</v>
      </c>
      <c r="P840" s="1" t="str">
        <f t="shared" si="571"/>
        <v>S</v>
      </c>
      <c r="Q840" s="1" t="str">
        <f t="shared" si="572"/>
        <v>P</v>
      </c>
      <c r="R840" s="1" t="str">
        <f t="shared" si="573"/>
        <v>01</v>
      </c>
      <c r="S840" s="1" t="str">
        <f t="shared" si="558"/>
        <v>04</v>
      </c>
      <c r="T840" s="1" t="str">
        <f t="shared" si="574"/>
        <v>False</v>
      </c>
      <c r="U840" s="1" t="str">
        <f t="shared" si="575"/>
        <v>True</v>
      </c>
      <c r="V840" s="1" t="str">
        <f t="shared" si="567"/>
        <v>U0032692</v>
      </c>
      <c r="W840" s="1">
        <v>1</v>
      </c>
      <c r="Y840" s="1">
        <v>0</v>
      </c>
      <c r="Z840" s="1">
        <v>0</v>
      </c>
      <c r="AI840" s="1" t="str">
        <f t="shared" si="563"/>
        <v>F10</v>
      </c>
      <c r="AJ840" s="1" t="str">
        <f t="shared" si="564"/>
        <v>KID</v>
      </c>
      <c r="AK840" s="1" t="str">
        <f t="shared" si="576"/>
        <v>PA</v>
      </c>
      <c r="AP840" s="1" t="str">
        <f t="shared" si="577"/>
        <v>False</v>
      </c>
      <c r="AR840" s="1" t="str">
        <f t="shared" si="565"/>
        <v>EBONY</v>
      </c>
      <c r="AY840" s="1" t="str">
        <f t="shared" si="578"/>
        <v>PF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 t="str">
        <f t="shared" si="566"/>
        <v>A EVA TOMAIA SYNTHETIC GLITTER</v>
      </c>
      <c r="BF840" s="1" t="str">
        <f t="shared" si="579"/>
        <v>Bonis SpA</v>
      </c>
    </row>
    <row r="841" spans="2:58" x14ac:dyDescent="0.25">
      <c r="B841" s="1">
        <v>2473</v>
      </c>
      <c r="C841" s="1" t="str">
        <f t="shared" si="560"/>
        <v>EBONY4175S7/Y2</v>
      </c>
      <c r="E841" s="1" t="str">
        <f>"28"</f>
        <v>28</v>
      </c>
      <c r="F841" s="1" t="str">
        <f t="shared" si="568"/>
        <v>BONIS SPA</v>
      </c>
      <c r="G841" s="1" t="str">
        <f t="shared" si="556"/>
        <v>STOCK SCAFFALE MP</v>
      </c>
      <c r="H841" s="1" t="str">
        <f t="shared" si="561"/>
        <v>BLK</v>
      </c>
      <c r="K841" s="1">
        <v>2</v>
      </c>
      <c r="L841" s="1" t="str">
        <f t="shared" si="569"/>
        <v>01</v>
      </c>
      <c r="M841" s="1" t="str">
        <f t="shared" si="557"/>
        <v>408</v>
      </c>
      <c r="N841" s="1" t="str">
        <f t="shared" si="562"/>
        <v>006</v>
      </c>
      <c r="O841" s="1" t="str">
        <f t="shared" si="570"/>
        <v>00</v>
      </c>
      <c r="P841" s="1" t="str">
        <f t="shared" si="571"/>
        <v>S</v>
      </c>
      <c r="Q841" s="1" t="str">
        <f t="shared" si="572"/>
        <v>P</v>
      </c>
      <c r="R841" s="1" t="str">
        <f t="shared" si="573"/>
        <v>01</v>
      </c>
      <c r="S841" s="1" t="str">
        <f t="shared" si="558"/>
        <v>04</v>
      </c>
      <c r="T841" s="1" t="str">
        <f t="shared" si="574"/>
        <v>False</v>
      </c>
      <c r="U841" s="1" t="str">
        <f t="shared" si="575"/>
        <v>True</v>
      </c>
      <c r="V841" s="1" t="str">
        <f t="shared" ref="V841:V848" si="580">"U0032691"</f>
        <v>U0032691</v>
      </c>
      <c r="W841" s="1">
        <v>1</v>
      </c>
      <c r="Y841" s="1">
        <v>0</v>
      </c>
      <c r="Z841" s="1">
        <v>0</v>
      </c>
      <c r="AI841" s="1" t="str">
        <f t="shared" si="563"/>
        <v>F10</v>
      </c>
      <c r="AJ841" s="1" t="str">
        <f t="shared" si="564"/>
        <v>KID</v>
      </c>
      <c r="AK841" s="1" t="str">
        <f t="shared" si="576"/>
        <v>PA</v>
      </c>
      <c r="AP841" s="1" t="str">
        <f t="shared" si="577"/>
        <v>False</v>
      </c>
      <c r="AR841" s="1" t="str">
        <f t="shared" si="565"/>
        <v>EBONY</v>
      </c>
      <c r="AY841" s="1" t="str">
        <f t="shared" si="578"/>
        <v>PF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 t="str">
        <f t="shared" si="566"/>
        <v>A EVA TOMAIA SYNTHETIC GLITTER</v>
      </c>
      <c r="BF841" s="1" t="str">
        <f t="shared" si="579"/>
        <v>Bonis SpA</v>
      </c>
    </row>
    <row r="842" spans="2:58" x14ac:dyDescent="0.25">
      <c r="B842" s="1">
        <v>2473</v>
      </c>
      <c r="C842" s="1" t="str">
        <f t="shared" si="560"/>
        <v>EBONY4175S7/Y2</v>
      </c>
      <c r="E842" s="1" t="str">
        <f>"30"</f>
        <v>30</v>
      </c>
      <c r="F842" s="1" t="str">
        <f t="shared" si="568"/>
        <v>BONIS SPA</v>
      </c>
      <c r="G842" s="1" t="str">
        <f t="shared" si="556"/>
        <v>STOCK SCAFFALE MP</v>
      </c>
      <c r="H842" s="1" t="str">
        <f t="shared" si="561"/>
        <v>BLK</v>
      </c>
      <c r="K842" s="1">
        <v>2</v>
      </c>
      <c r="L842" s="1" t="str">
        <f t="shared" si="569"/>
        <v>01</v>
      </c>
      <c r="M842" s="1" t="str">
        <f t="shared" si="557"/>
        <v>408</v>
      </c>
      <c r="N842" s="1" t="str">
        <f t="shared" si="562"/>
        <v>006</v>
      </c>
      <c r="O842" s="1" t="str">
        <f t="shared" si="570"/>
        <v>00</v>
      </c>
      <c r="P842" s="1" t="str">
        <f t="shared" si="571"/>
        <v>S</v>
      </c>
      <c r="Q842" s="1" t="str">
        <f t="shared" si="572"/>
        <v>P</v>
      </c>
      <c r="R842" s="1" t="str">
        <f t="shared" si="573"/>
        <v>01</v>
      </c>
      <c r="S842" s="1" t="str">
        <f t="shared" si="558"/>
        <v>04</v>
      </c>
      <c r="T842" s="1" t="str">
        <f t="shared" si="574"/>
        <v>False</v>
      </c>
      <c r="U842" s="1" t="str">
        <f t="shared" si="575"/>
        <v>True</v>
      </c>
      <c r="V842" s="1" t="str">
        <f t="shared" si="580"/>
        <v>U0032691</v>
      </c>
      <c r="W842" s="1">
        <v>1</v>
      </c>
      <c r="Y842" s="1">
        <v>0</v>
      </c>
      <c r="Z842" s="1">
        <v>0</v>
      </c>
      <c r="AI842" s="1" t="str">
        <f t="shared" si="563"/>
        <v>F10</v>
      </c>
      <c r="AJ842" s="1" t="str">
        <f t="shared" si="564"/>
        <v>KID</v>
      </c>
      <c r="AK842" s="1" t="str">
        <f t="shared" si="576"/>
        <v>PA</v>
      </c>
      <c r="AP842" s="1" t="str">
        <f t="shared" si="577"/>
        <v>False</v>
      </c>
      <c r="AR842" s="1" t="str">
        <f t="shared" si="565"/>
        <v>EBONY</v>
      </c>
      <c r="AY842" s="1" t="str">
        <f t="shared" si="578"/>
        <v>PF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 t="str">
        <f t="shared" si="566"/>
        <v>A EVA TOMAIA SYNTHETIC GLITTER</v>
      </c>
      <c r="BF842" s="1" t="str">
        <f t="shared" si="579"/>
        <v>Bonis SpA</v>
      </c>
    </row>
    <row r="843" spans="2:58" x14ac:dyDescent="0.25">
      <c r="B843" s="1">
        <v>2473</v>
      </c>
      <c r="C843" s="1" t="str">
        <f t="shared" si="560"/>
        <v>EBONY4175S7/Y2</v>
      </c>
      <c r="E843" s="1" t="str">
        <f>"31"</f>
        <v>31</v>
      </c>
      <c r="F843" s="1" t="str">
        <f t="shared" si="568"/>
        <v>BONIS SPA</v>
      </c>
      <c r="G843" s="1" t="str">
        <f t="shared" si="556"/>
        <v>STOCK SCAFFALE MP</v>
      </c>
      <c r="H843" s="1" t="str">
        <f t="shared" si="561"/>
        <v>BLK</v>
      </c>
      <c r="K843" s="1">
        <v>2</v>
      </c>
      <c r="L843" s="1" t="str">
        <f t="shared" si="569"/>
        <v>01</v>
      </c>
      <c r="M843" s="1" t="str">
        <f t="shared" si="557"/>
        <v>408</v>
      </c>
      <c r="N843" s="1" t="str">
        <f t="shared" si="562"/>
        <v>006</v>
      </c>
      <c r="O843" s="1" t="str">
        <f t="shared" si="570"/>
        <v>00</v>
      </c>
      <c r="P843" s="1" t="str">
        <f t="shared" si="571"/>
        <v>S</v>
      </c>
      <c r="Q843" s="1" t="str">
        <f t="shared" si="572"/>
        <v>P</v>
      </c>
      <c r="R843" s="1" t="str">
        <f t="shared" si="573"/>
        <v>01</v>
      </c>
      <c r="S843" s="1" t="str">
        <f t="shared" si="558"/>
        <v>04</v>
      </c>
      <c r="T843" s="1" t="str">
        <f t="shared" si="574"/>
        <v>False</v>
      </c>
      <c r="U843" s="1" t="str">
        <f t="shared" si="575"/>
        <v>True</v>
      </c>
      <c r="V843" s="1" t="str">
        <f t="shared" si="580"/>
        <v>U0032691</v>
      </c>
      <c r="W843" s="1">
        <v>1</v>
      </c>
      <c r="Y843" s="1">
        <v>0</v>
      </c>
      <c r="Z843" s="1">
        <v>0</v>
      </c>
      <c r="AI843" s="1" t="str">
        <f t="shared" si="563"/>
        <v>F10</v>
      </c>
      <c r="AJ843" s="1" t="str">
        <f t="shared" si="564"/>
        <v>KID</v>
      </c>
      <c r="AK843" s="1" t="str">
        <f t="shared" si="576"/>
        <v>PA</v>
      </c>
      <c r="AP843" s="1" t="str">
        <f t="shared" si="577"/>
        <v>False</v>
      </c>
      <c r="AR843" s="1" t="str">
        <f t="shared" si="565"/>
        <v>EBONY</v>
      </c>
      <c r="AY843" s="1" t="str">
        <f t="shared" si="578"/>
        <v>PF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 t="str">
        <f t="shared" si="566"/>
        <v>A EVA TOMAIA SYNTHETIC GLITTER</v>
      </c>
      <c r="BF843" s="1" t="str">
        <f t="shared" si="579"/>
        <v>Bonis SpA</v>
      </c>
    </row>
    <row r="844" spans="2:58" x14ac:dyDescent="0.25">
      <c r="B844" s="1">
        <v>2473</v>
      </c>
      <c r="C844" s="1" t="str">
        <f t="shared" si="560"/>
        <v>EBONY4175S7/Y2</v>
      </c>
      <c r="E844" s="1" t="str">
        <f>"34"</f>
        <v>34</v>
      </c>
      <c r="F844" s="1" t="str">
        <f t="shared" si="568"/>
        <v>BONIS SPA</v>
      </c>
      <c r="G844" s="1" t="str">
        <f t="shared" si="556"/>
        <v>STOCK SCAFFALE MP</v>
      </c>
      <c r="H844" s="1" t="str">
        <f t="shared" si="561"/>
        <v>BLK</v>
      </c>
      <c r="K844" s="1">
        <v>2</v>
      </c>
      <c r="L844" s="1" t="str">
        <f t="shared" si="569"/>
        <v>01</v>
      </c>
      <c r="M844" s="1" t="str">
        <f t="shared" si="557"/>
        <v>408</v>
      </c>
      <c r="N844" s="1" t="str">
        <f t="shared" si="562"/>
        <v>006</v>
      </c>
      <c r="O844" s="1" t="str">
        <f t="shared" si="570"/>
        <v>00</v>
      </c>
      <c r="P844" s="1" t="str">
        <f t="shared" si="571"/>
        <v>S</v>
      </c>
      <c r="Q844" s="1" t="str">
        <f t="shared" si="572"/>
        <v>P</v>
      </c>
      <c r="R844" s="1" t="str">
        <f t="shared" si="573"/>
        <v>01</v>
      </c>
      <c r="S844" s="1" t="str">
        <f t="shared" si="558"/>
        <v>04</v>
      </c>
      <c r="T844" s="1" t="str">
        <f t="shared" si="574"/>
        <v>False</v>
      </c>
      <c r="U844" s="1" t="str">
        <f t="shared" si="575"/>
        <v>True</v>
      </c>
      <c r="V844" s="1" t="str">
        <f t="shared" si="580"/>
        <v>U0032691</v>
      </c>
      <c r="W844" s="1">
        <v>1</v>
      </c>
      <c r="Y844" s="1">
        <v>0</v>
      </c>
      <c r="Z844" s="1">
        <v>0</v>
      </c>
      <c r="AI844" s="1" t="str">
        <f t="shared" si="563"/>
        <v>F10</v>
      </c>
      <c r="AJ844" s="1" t="str">
        <f t="shared" si="564"/>
        <v>KID</v>
      </c>
      <c r="AK844" s="1" t="str">
        <f t="shared" si="576"/>
        <v>PA</v>
      </c>
      <c r="AP844" s="1" t="str">
        <f t="shared" si="577"/>
        <v>False</v>
      </c>
      <c r="AR844" s="1" t="str">
        <f t="shared" si="565"/>
        <v>EBONY</v>
      </c>
      <c r="AY844" s="1" t="str">
        <f t="shared" si="578"/>
        <v>PF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 t="str">
        <f t="shared" si="566"/>
        <v>A EVA TOMAIA SYNTHETIC GLITTER</v>
      </c>
      <c r="BF844" s="1" t="str">
        <f t="shared" si="579"/>
        <v>Bonis SpA</v>
      </c>
    </row>
    <row r="845" spans="2:58" x14ac:dyDescent="0.25">
      <c r="B845" s="1">
        <v>2473</v>
      </c>
      <c r="C845" s="1" t="str">
        <f t="shared" si="560"/>
        <v>EBONY4175S7/Y2</v>
      </c>
      <c r="E845" s="1" t="str">
        <f>"35"</f>
        <v>35</v>
      </c>
      <c r="F845" s="1" t="str">
        <f t="shared" si="568"/>
        <v>BONIS SPA</v>
      </c>
      <c r="G845" s="1" t="str">
        <f t="shared" si="556"/>
        <v>STOCK SCAFFALE MP</v>
      </c>
      <c r="H845" s="1" t="str">
        <f t="shared" si="561"/>
        <v>BLK</v>
      </c>
      <c r="K845" s="1">
        <v>2</v>
      </c>
      <c r="L845" s="1" t="str">
        <f t="shared" si="569"/>
        <v>01</v>
      </c>
      <c r="M845" s="1" t="str">
        <f t="shared" si="557"/>
        <v>408</v>
      </c>
      <c r="N845" s="1" t="str">
        <f t="shared" si="562"/>
        <v>006</v>
      </c>
      <c r="O845" s="1" t="str">
        <f t="shared" si="570"/>
        <v>00</v>
      </c>
      <c r="P845" s="1" t="str">
        <f t="shared" si="571"/>
        <v>S</v>
      </c>
      <c r="Q845" s="1" t="str">
        <f t="shared" si="572"/>
        <v>P</v>
      </c>
      <c r="R845" s="1" t="str">
        <f t="shared" si="573"/>
        <v>01</v>
      </c>
      <c r="S845" s="1" t="str">
        <f t="shared" si="558"/>
        <v>04</v>
      </c>
      <c r="T845" s="1" t="str">
        <f t="shared" si="574"/>
        <v>False</v>
      </c>
      <c r="U845" s="1" t="str">
        <f t="shared" si="575"/>
        <v>True</v>
      </c>
      <c r="V845" s="1" t="str">
        <f t="shared" si="580"/>
        <v>U0032691</v>
      </c>
      <c r="W845" s="1">
        <v>1</v>
      </c>
      <c r="Y845" s="1">
        <v>0</v>
      </c>
      <c r="Z845" s="1">
        <v>0</v>
      </c>
      <c r="AI845" s="1" t="str">
        <f t="shared" si="563"/>
        <v>F10</v>
      </c>
      <c r="AJ845" s="1" t="str">
        <f t="shared" si="564"/>
        <v>KID</v>
      </c>
      <c r="AK845" s="1" t="str">
        <f t="shared" si="576"/>
        <v>PA</v>
      </c>
      <c r="AP845" s="1" t="str">
        <f t="shared" si="577"/>
        <v>False</v>
      </c>
      <c r="AR845" s="1" t="str">
        <f t="shared" si="565"/>
        <v>EBONY</v>
      </c>
      <c r="AY845" s="1" t="str">
        <f t="shared" si="578"/>
        <v>PF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 t="str">
        <f t="shared" si="566"/>
        <v>A EVA TOMAIA SYNTHETIC GLITTER</v>
      </c>
      <c r="BF845" s="1" t="str">
        <f t="shared" si="579"/>
        <v>Bonis SpA</v>
      </c>
    </row>
    <row r="846" spans="2:58" x14ac:dyDescent="0.25">
      <c r="B846" s="1">
        <v>2473</v>
      </c>
      <c r="C846" s="1" t="str">
        <f t="shared" si="560"/>
        <v>EBONY4175S7/Y2</v>
      </c>
      <c r="E846" s="1" t="str">
        <f>"33"</f>
        <v>33</v>
      </c>
      <c r="F846" s="1" t="str">
        <f t="shared" si="568"/>
        <v>BONIS SPA</v>
      </c>
      <c r="G846" s="1" t="str">
        <f t="shared" si="556"/>
        <v>STOCK SCAFFALE MP</v>
      </c>
      <c r="H846" s="1" t="str">
        <f t="shared" si="561"/>
        <v>BLK</v>
      </c>
      <c r="K846" s="1">
        <v>1</v>
      </c>
      <c r="L846" s="1" t="str">
        <f t="shared" si="569"/>
        <v>01</v>
      </c>
      <c r="M846" s="1" t="str">
        <f t="shared" si="557"/>
        <v>408</v>
      </c>
      <c r="N846" s="1" t="str">
        <f t="shared" si="562"/>
        <v>006</v>
      </c>
      <c r="O846" s="1" t="str">
        <f t="shared" si="570"/>
        <v>00</v>
      </c>
      <c r="P846" s="1" t="str">
        <f t="shared" si="571"/>
        <v>S</v>
      </c>
      <c r="Q846" s="1" t="str">
        <f t="shared" si="572"/>
        <v>P</v>
      </c>
      <c r="R846" s="1" t="str">
        <f t="shared" si="573"/>
        <v>01</v>
      </c>
      <c r="S846" s="1" t="str">
        <f t="shared" si="558"/>
        <v>04</v>
      </c>
      <c r="T846" s="1" t="str">
        <f t="shared" si="574"/>
        <v>False</v>
      </c>
      <c r="U846" s="1" t="str">
        <f t="shared" si="575"/>
        <v>True</v>
      </c>
      <c r="V846" s="1" t="str">
        <f t="shared" si="580"/>
        <v>U0032691</v>
      </c>
      <c r="W846" s="1">
        <v>1</v>
      </c>
      <c r="Y846" s="1">
        <v>0</v>
      </c>
      <c r="Z846" s="1">
        <v>0</v>
      </c>
      <c r="AI846" s="1" t="str">
        <f t="shared" si="563"/>
        <v>F10</v>
      </c>
      <c r="AJ846" s="1" t="str">
        <f t="shared" si="564"/>
        <v>KID</v>
      </c>
      <c r="AK846" s="1" t="str">
        <f t="shared" si="576"/>
        <v>PA</v>
      </c>
      <c r="AP846" s="1" t="str">
        <f t="shared" si="577"/>
        <v>False</v>
      </c>
      <c r="AR846" s="1" t="str">
        <f t="shared" si="565"/>
        <v>EBONY</v>
      </c>
      <c r="AY846" s="1" t="str">
        <f t="shared" si="578"/>
        <v>PF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 t="str">
        <f t="shared" si="566"/>
        <v>A EVA TOMAIA SYNTHETIC GLITTER</v>
      </c>
      <c r="BF846" s="1" t="str">
        <f t="shared" si="579"/>
        <v>Bonis SpA</v>
      </c>
    </row>
    <row r="847" spans="2:58" x14ac:dyDescent="0.25">
      <c r="B847" s="1">
        <v>2473</v>
      </c>
      <c r="C847" s="1" t="str">
        <f t="shared" si="560"/>
        <v>EBONY4175S7/Y2</v>
      </c>
      <c r="E847" s="1" t="str">
        <f>"32"</f>
        <v>32</v>
      </c>
      <c r="F847" s="1" t="str">
        <f t="shared" si="568"/>
        <v>BONIS SPA</v>
      </c>
      <c r="G847" s="1" t="str">
        <f t="shared" si="556"/>
        <v>STOCK SCAFFALE MP</v>
      </c>
      <c r="H847" s="1" t="str">
        <f t="shared" si="561"/>
        <v>BLK</v>
      </c>
      <c r="K847" s="1">
        <v>2</v>
      </c>
      <c r="L847" s="1" t="str">
        <f t="shared" si="569"/>
        <v>01</v>
      </c>
      <c r="M847" s="1" t="str">
        <f t="shared" si="557"/>
        <v>408</v>
      </c>
      <c r="N847" s="1" t="str">
        <f t="shared" si="562"/>
        <v>006</v>
      </c>
      <c r="O847" s="1" t="str">
        <f t="shared" si="570"/>
        <v>00</v>
      </c>
      <c r="P847" s="1" t="str">
        <f t="shared" si="571"/>
        <v>S</v>
      </c>
      <c r="Q847" s="1" t="str">
        <f t="shared" si="572"/>
        <v>P</v>
      </c>
      <c r="R847" s="1" t="str">
        <f t="shared" si="573"/>
        <v>01</v>
      </c>
      <c r="S847" s="1" t="str">
        <f t="shared" si="558"/>
        <v>04</v>
      </c>
      <c r="T847" s="1" t="str">
        <f t="shared" si="574"/>
        <v>False</v>
      </c>
      <c r="U847" s="1" t="str">
        <f t="shared" si="575"/>
        <v>True</v>
      </c>
      <c r="V847" s="1" t="str">
        <f t="shared" si="580"/>
        <v>U0032691</v>
      </c>
      <c r="W847" s="1">
        <v>1</v>
      </c>
      <c r="Y847" s="1">
        <v>0</v>
      </c>
      <c r="Z847" s="1">
        <v>0</v>
      </c>
      <c r="AI847" s="1" t="str">
        <f t="shared" si="563"/>
        <v>F10</v>
      </c>
      <c r="AJ847" s="1" t="str">
        <f t="shared" si="564"/>
        <v>KID</v>
      </c>
      <c r="AK847" s="1" t="str">
        <f t="shared" si="576"/>
        <v>PA</v>
      </c>
      <c r="AP847" s="1" t="str">
        <f t="shared" si="577"/>
        <v>False</v>
      </c>
      <c r="AR847" s="1" t="str">
        <f t="shared" si="565"/>
        <v>EBONY</v>
      </c>
      <c r="AY847" s="1" t="str">
        <f t="shared" si="578"/>
        <v>PF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 t="str">
        <f t="shared" si="566"/>
        <v>A EVA TOMAIA SYNTHETIC GLITTER</v>
      </c>
      <c r="BF847" s="1" t="str">
        <f t="shared" si="579"/>
        <v>Bonis SpA</v>
      </c>
    </row>
    <row r="848" spans="2:58" x14ac:dyDescent="0.25">
      <c r="B848" s="1">
        <v>2473</v>
      </c>
      <c r="C848" s="1" t="str">
        <f t="shared" si="560"/>
        <v>EBONY4175S7/Y2</v>
      </c>
      <c r="E848" s="1" t="str">
        <f>"29"</f>
        <v>29</v>
      </c>
      <c r="F848" s="1" t="str">
        <f t="shared" si="568"/>
        <v>BONIS SPA</v>
      </c>
      <c r="G848" s="1" t="str">
        <f t="shared" si="556"/>
        <v>STOCK SCAFFALE MP</v>
      </c>
      <c r="H848" s="1" t="str">
        <f t="shared" si="561"/>
        <v>BLK</v>
      </c>
      <c r="K848" s="1">
        <v>2</v>
      </c>
      <c r="L848" s="1" t="str">
        <f t="shared" si="569"/>
        <v>01</v>
      </c>
      <c r="M848" s="1" t="str">
        <f t="shared" si="557"/>
        <v>408</v>
      </c>
      <c r="N848" s="1" t="str">
        <f t="shared" si="562"/>
        <v>006</v>
      </c>
      <c r="O848" s="1" t="str">
        <f t="shared" si="570"/>
        <v>00</v>
      </c>
      <c r="P848" s="1" t="str">
        <f t="shared" si="571"/>
        <v>S</v>
      </c>
      <c r="Q848" s="1" t="str">
        <f t="shared" si="572"/>
        <v>P</v>
      </c>
      <c r="R848" s="1" t="str">
        <f t="shared" si="573"/>
        <v>01</v>
      </c>
      <c r="S848" s="1" t="str">
        <f t="shared" si="558"/>
        <v>04</v>
      </c>
      <c r="T848" s="1" t="str">
        <f t="shared" si="574"/>
        <v>False</v>
      </c>
      <c r="U848" s="1" t="str">
        <f t="shared" si="575"/>
        <v>True</v>
      </c>
      <c r="V848" s="1" t="str">
        <f t="shared" si="580"/>
        <v>U0032691</v>
      </c>
      <c r="W848" s="1">
        <v>1</v>
      </c>
      <c r="Y848" s="1">
        <v>0</v>
      </c>
      <c r="Z848" s="1">
        <v>0</v>
      </c>
      <c r="AI848" s="1" t="str">
        <f t="shared" si="563"/>
        <v>F10</v>
      </c>
      <c r="AJ848" s="1" t="str">
        <f t="shared" si="564"/>
        <v>KID</v>
      </c>
      <c r="AK848" s="1" t="str">
        <f t="shared" si="576"/>
        <v>PA</v>
      </c>
      <c r="AP848" s="1" t="str">
        <f t="shared" si="577"/>
        <v>False</v>
      </c>
      <c r="AR848" s="1" t="str">
        <f t="shared" si="565"/>
        <v>EBONY</v>
      </c>
      <c r="AY848" s="1" t="str">
        <f t="shared" si="578"/>
        <v>PF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 t="str">
        <f t="shared" si="566"/>
        <v>A EVA TOMAIA SYNTHETIC GLITTER</v>
      </c>
      <c r="BF848" s="1" t="str">
        <f t="shared" si="579"/>
        <v>Bonis SpA</v>
      </c>
    </row>
    <row r="849" spans="2:58" x14ac:dyDescent="0.25">
      <c r="B849" s="1">
        <v>2473</v>
      </c>
      <c r="C849" s="1" t="str">
        <f t="shared" si="560"/>
        <v>EBONY4175S7/Y2</v>
      </c>
      <c r="E849" s="1" t="str">
        <f>"30"</f>
        <v>30</v>
      </c>
      <c r="F849" s="1" t="str">
        <f t="shared" si="568"/>
        <v>BONIS SPA</v>
      </c>
      <c r="G849" s="1" t="str">
        <f t="shared" si="556"/>
        <v>STOCK SCAFFALE MP</v>
      </c>
      <c r="H849" s="1" t="str">
        <f>"SIL"</f>
        <v>SIL</v>
      </c>
      <c r="K849" s="1">
        <v>1</v>
      </c>
      <c r="L849" s="1" t="str">
        <f t="shared" si="569"/>
        <v>01</v>
      </c>
      <c r="M849" s="1" t="str">
        <f t="shared" si="557"/>
        <v>408</v>
      </c>
      <c r="N849" s="1" t="str">
        <f t="shared" si="562"/>
        <v>006</v>
      </c>
      <c r="O849" s="1" t="str">
        <f t="shared" si="570"/>
        <v>00</v>
      </c>
      <c r="P849" s="1" t="str">
        <f t="shared" si="571"/>
        <v>S</v>
      </c>
      <c r="Q849" s="1" t="str">
        <f t="shared" si="572"/>
        <v>P</v>
      </c>
      <c r="R849" s="1" t="str">
        <f t="shared" si="573"/>
        <v>01</v>
      </c>
      <c r="S849" s="1" t="str">
        <f t="shared" si="558"/>
        <v>04</v>
      </c>
      <c r="T849" s="1" t="str">
        <f t="shared" si="574"/>
        <v>False</v>
      </c>
      <c r="U849" s="1" t="str">
        <f t="shared" si="575"/>
        <v>True</v>
      </c>
      <c r="V849" s="1" t="str">
        <f t="shared" ref="V849:V860" si="581">"U0032690"</f>
        <v>U0032690</v>
      </c>
      <c r="W849" s="1">
        <v>1</v>
      </c>
      <c r="Y849" s="1">
        <v>0</v>
      </c>
      <c r="Z849" s="1">
        <v>0</v>
      </c>
      <c r="AI849" s="1" t="str">
        <f t="shared" si="563"/>
        <v>F10</v>
      </c>
      <c r="AJ849" s="1" t="str">
        <f t="shared" si="564"/>
        <v>KID</v>
      </c>
      <c r="AK849" s="1" t="str">
        <f t="shared" si="576"/>
        <v>PA</v>
      </c>
      <c r="AP849" s="1" t="str">
        <f t="shared" si="577"/>
        <v>False</v>
      </c>
      <c r="AR849" s="1" t="str">
        <f t="shared" si="565"/>
        <v>EBONY</v>
      </c>
      <c r="AY849" s="1" t="str">
        <f t="shared" si="578"/>
        <v>PF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 t="str">
        <f t="shared" si="566"/>
        <v>A EVA TOMAIA SYNTHETIC GLITTER</v>
      </c>
      <c r="BF849" s="1" t="str">
        <f t="shared" si="579"/>
        <v>Bonis SpA</v>
      </c>
    </row>
    <row r="850" spans="2:58" x14ac:dyDescent="0.25">
      <c r="B850" s="1">
        <v>2473</v>
      </c>
      <c r="C850" s="1" t="str">
        <f t="shared" si="560"/>
        <v>EBONY4175S7/Y2</v>
      </c>
      <c r="E850" s="1" t="str">
        <f>"28"</f>
        <v>28</v>
      </c>
      <c r="F850" s="1" t="str">
        <f t="shared" si="568"/>
        <v>BONIS SPA</v>
      </c>
      <c r="G850" s="1" t="str">
        <f t="shared" si="556"/>
        <v>STOCK SCAFFALE MP</v>
      </c>
      <c r="H850" s="1" t="str">
        <f>"SIL"</f>
        <v>SIL</v>
      </c>
      <c r="K850" s="1">
        <v>1</v>
      </c>
      <c r="L850" s="1" t="str">
        <f t="shared" si="569"/>
        <v>01</v>
      </c>
      <c r="M850" s="1" t="str">
        <f t="shared" si="557"/>
        <v>408</v>
      </c>
      <c r="N850" s="1" t="str">
        <f t="shared" si="562"/>
        <v>006</v>
      </c>
      <c r="O850" s="1" t="str">
        <f t="shared" si="570"/>
        <v>00</v>
      </c>
      <c r="P850" s="1" t="str">
        <f t="shared" si="571"/>
        <v>S</v>
      </c>
      <c r="Q850" s="1" t="str">
        <f t="shared" si="572"/>
        <v>P</v>
      </c>
      <c r="R850" s="1" t="str">
        <f t="shared" si="573"/>
        <v>01</v>
      </c>
      <c r="S850" s="1" t="str">
        <f t="shared" si="558"/>
        <v>04</v>
      </c>
      <c r="T850" s="1" t="str">
        <f t="shared" si="574"/>
        <v>False</v>
      </c>
      <c r="U850" s="1" t="str">
        <f t="shared" si="575"/>
        <v>True</v>
      </c>
      <c r="V850" s="1" t="str">
        <f t="shared" si="581"/>
        <v>U0032690</v>
      </c>
      <c r="W850" s="1">
        <v>1</v>
      </c>
      <c r="Y850" s="1">
        <v>0</v>
      </c>
      <c r="Z850" s="1">
        <v>0</v>
      </c>
      <c r="AI850" s="1" t="str">
        <f t="shared" si="563"/>
        <v>F10</v>
      </c>
      <c r="AJ850" s="1" t="str">
        <f t="shared" si="564"/>
        <v>KID</v>
      </c>
      <c r="AK850" s="1" t="str">
        <f t="shared" si="576"/>
        <v>PA</v>
      </c>
      <c r="AP850" s="1" t="str">
        <f t="shared" si="577"/>
        <v>False</v>
      </c>
      <c r="AR850" s="1" t="str">
        <f t="shared" si="565"/>
        <v>EBONY</v>
      </c>
      <c r="AY850" s="1" t="str">
        <f t="shared" si="578"/>
        <v>PF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 t="str">
        <f t="shared" si="566"/>
        <v>A EVA TOMAIA SYNTHETIC GLITTER</v>
      </c>
      <c r="BF850" s="1" t="str">
        <f t="shared" si="579"/>
        <v>Bonis SpA</v>
      </c>
    </row>
    <row r="851" spans="2:58" x14ac:dyDescent="0.25">
      <c r="B851" s="1">
        <v>2473</v>
      </c>
      <c r="C851" s="1" t="str">
        <f t="shared" si="560"/>
        <v>EBONY4175S7/Y2</v>
      </c>
      <c r="E851" s="1" t="str">
        <f>"34"</f>
        <v>34</v>
      </c>
      <c r="F851" s="1" t="str">
        <f t="shared" si="568"/>
        <v>BONIS SPA</v>
      </c>
      <c r="G851" s="1" t="str">
        <f t="shared" si="556"/>
        <v>STOCK SCAFFALE MP</v>
      </c>
      <c r="H851" s="1" t="str">
        <f t="shared" ref="H851:H856" si="582">"BLK"</f>
        <v>BLK</v>
      </c>
      <c r="K851" s="1">
        <v>1</v>
      </c>
      <c r="L851" s="1" t="str">
        <f t="shared" si="569"/>
        <v>01</v>
      </c>
      <c r="M851" s="1" t="str">
        <f t="shared" si="557"/>
        <v>408</v>
      </c>
      <c r="N851" s="1" t="str">
        <f t="shared" si="562"/>
        <v>006</v>
      </c>
      <c r="O851" s="1" t="str">
        <f t="shared" si="570"/>
        <v>00</v>
      </c>
      <c r="P851" s="1" t="str">
        <f t="shared" si="571"/>
        <v>S</v>
      </c>
      <c r="Q851" s="1" t="str">
        <f t="shared" si="572"/>
        <v>P</v>
      </c>
      <c r="R851" s="1" t="str">
        <f t="shared" si="573"/>
        <v>01</v>
      </c>
      <c r="S851" s="1" t="str">
        <f t="shared" si="558"/>
        <v>04</v>
      </c>
      <c r="T851" s="1" t="str">
        <f t="shared" si="574"/>
        <v>False</v>
      </c>
      <c r="U851" s="1" t="str">
        <f t="shared" si="575"/>
        <v>True</v>
      </c>
      <c r="V851" s="1" t="str">
        <f t="shared" si="581"/>
        <v>U0032690</v>
      </c>
      <c r="W851" s="1">
        <v>1</v>
      </c>
      <c r="Y851" s="1">
        <v>0</v>
      </c>
      <c r="Z851" s="1">
        <v>0</v>
      </c>
      <c r="AI851" s="1" t="str">
        <f t="shared" si="563"/>
        <v>F10</v>
      </c>
      <c r="AJ851" s="1" t="str">
        <f t="shared" si="564"/>
        <v>KID</v>
      </c>
      <c r="AK851" s="1" t="str">
        <f t="shared" si="576"/>
        <v>PA</v>
      </c>
      <c r="AP851" s="1" t="str">
        <f t="shared" si="577"/>
        <v>False</v>
      </c>
      <c r="AR851" s="1" t="str">
        <f t="shared" si="565"/>
        <v>EBONY</v>
      </c>
      <c r="AY851" s="1" t="str">
        <f t="shared" si="578"/>
        <v>PF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 t="str">
        <f t="shared" si="566"/>
        <v>A EVA TOMAIA SYNTHETIC GLITTER</v>
      </c>
      <c r="BF851" s="1" t="str">
        <f t="shared" si="579"/>
        <v>Bonis SpA</v>
      </c>
    </row>
    <row r="852" spans="2:58" x14ac:dyDescent="0.25">
      <c r="B852" s="1">
        <v>2473</v>
      </c>
      <c r="C852" s="1" t="str">
        <f t="shared" si="560"/>
        <v>EBONY4175S7/Y2</v>
      </c>
      <c r="E852" s="1" t="str">
        <f>"35"</f>
        <v>35</v>
      </c>
      <c r="F852" s="1" t="str">
        <f t="shared" si="568"/>
        <v>BONIS SPA</v>
      </c>
      <c r="G852" s="1" t="str">
        <f t="shared" si="556"/>
        <v>STOCK SCAFFALE MP</v>
      </c>
      <c r="H852" s="1" t="str">
        <f t="shared" si="582"/>
        <v>BLK</v>
      </c>
      <c r="K852" s="1">
        <v>1</v>
      </c>
      <c r="L852" s="1" t="str">
        <f t="shared" si="569"/>
        <v>01</v>
      </c>
      <c r="M852" s="1" t="str">
        <f t="shared" si="557"/>
        <v>408</v>
      </c>
      <c r="N852" s="1" t="str">
        <f t="shared" si="562"/>
        <v>006</v>
      </c>
      <c r="O852" s="1" t="str">
        <f t="shared" si="570"/>
        <v>00</v>
      </c>
      <c r="P852" s="1" t="str">
        <f t="shared" si="571"/>
        <v>S</v>
      </c>
      <c r="Q852" s="1" t="str">
        <f t="shared" si="572"/>
        <v>P</v>
      </c>
      <c r="R852" s="1" t="str">
        <f t="shared" si="573"/>
        <v>01</v>
      </c>
      <c r="S852" s="1" t="str">
        <f t="shared" si="558"/>
        <v>04</v>
      </c>
      <c r="T852" s="1" t="str">
        <f t="shared" si="574"/>
        <v>False</v>
      </c>
      <c r="U852" s="1" t="str">
        <f t="shared" si="575"/>
        <v>True</v>
      </c>
      <c r="V852" s="1" t="str">
        <f t="shared" si="581"/>
        <v>U0032690</v>
      </c>
      <c r="W852" s="1">
        <v>1</v>
      </c>
      <c r="Y852" s="1">
        <v>0</v>
      </c>
      <c r="Z852" s="1">
        <v>0</v>
      </c>
      <c r="AI852" s="1" t="str">
        <f t="shared" si="563"/>
        <v>F10</v>
      </c>
      <c r="AJ852" s="1" t="str">
        <f t="shared" si="564"/>
        <v>KID</v>
      </c>
      <c r="AK852" s="1" t="str">
        <f t="shared" si="576"/>
        <v>PA</v>
      </c>
      <c r="AP852" s="1" t="str">
        <f t="shared" si="577"/>
        <v>False</v>
      </c>
      <c r="AR852" s="1" t="str">
        <f t="shared" si="565"/>
        <v>EBONY</v>
      </c>
      <c r="AY852" s="1" t="str">
        <f t="shared" si="578"/>
        <v>PF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 t="str">
        <f t="shared" si="566"/>
        <v>A EVA TOMAIA SYNTHETIC GLITTER</v>
      </c>
      <c r="BF852" s="1" t="str">
        <f t="shared" si="579"/>
        <v>Bonis SpA</v>
      </c>
    </row>
    <row r="853" spans="2:58" x14ac:dyDescent="0.25">
      <c r="B853" s="1">
        <v>2473</v>
      </c>
      <c r="C853" s="1" t="str">
        <f t="shared" si="560"/>
        <v>EBONY4175S7/Y2</v>
      </c>
      <c r="E853" s="1" t="str">
        <f>"29"</f>
        <v>29</v>
      </c>
      <c r="F853" s="1" t="str">
        <f t="shared" si="568"/>
        <v>BONIS SPA</v>
      </c>
      <c r="G853" s="1" t="str">
        <f t="shared" si="556"/>
        <v>STOCK SCAFFALE MP</v>
      </c>
      <c r="H853" s="1" t="str">
        <f t="shared" si="582"/>
        <v>BLK</v>
      </c>
      <c r="K853" s="1">
        <v>1</v>
      </c>
      <c r="L853" s="1" t="str">
        <f t="shared" si="569"/>
        <v>01</v>
      </c>
      <c r="M853" s="1" t="str">
        <f t="shared" si="557"/>
        <v>408</v>
      </c>
      <c r="N853" s="1" t="str">
        <f t="shared" si="562"/>
        <v>006</v>
      </c>
      <c r="O853" s="1" t="str">
        <f t="shared" si="570"/>
        <v>00</v>
      </c>
      <c r="P853" s="1" t="str">
        <f t="shared" si="571"/>
        <v>S</v>
      </c>
      <c r="Q853" s="1" t="str">
        <f t="shared" si="572"/>
        <v>P</v>
      </c>
      <c r="R853" s="1" t="str">
        <f t="shared" si="573"/>
        <v>01</v>
      </c>
      <c r="S853" s="1" t="str">
        <f t="shared" si="558"/>
        <v>04</v>
      </c>
      <c r="T853" s="1" t="str">
        <f t="shared" si="574"/>
        <v>False</v>
      </c>
      <c r="U853" s="1" t="str">
        <f t="shared" si="575"/>
        <v>True</v>
      </c>
      <c r="V853" s="1" t="str">
        <f t="shared" si="581"/>
        <v>U0032690</v>
      </c>
      <c r="W853" s="1">
        <v>1</v>
      </c>
      <c r="Y853" s="1">
        <v>0</v>
      </c>
      <c r="Z853" s="1">
        <v>0</v>
      </c>
      <c r="AI853" s="1" t="str">
        <f t="shared" si="563"/>
        <v>F10</v>
      </c>
      <c r="AJ853" s="1" t="str">
        <f t="shared" si="564"/>
        <v>KID</v>
      </c>
      <c r="AK853" s="1" t="str">
        <f t="shared" si="576"/>
        <v>PA</v>
      </c>
      <c r="AP853" s="1" t="str">
        <f t="shared" si="577"/>
        <v>False</v>
      </c>
      <c r="AR853" s="1" t="str">
        <f t="shared" si="565"/>
        <v>EBONY</v>
      </c>
      <c r="AY853" s="1" t="str">
        <f t="shared" si="578"/>
        <v>PF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 t="str">
        <f t="shared" si="566"/>
        <v>A EVA TOMAIA SYNTHETIC GLITTER</v>
      </c>
      <c r="BF853" s="1" t="str">
        <f t="shared" si="579"/>
        <v>Bonis SpA</v>
      </c>
    </row>
    <row r="854" spans="2:58" x14ac:dyDescent="0.25">
      <c r="B854" s="1">
        <v>2473</v>
      </c>
      <c r="C854" s="1" t="str">
        <f t="shared" si="560"/>
        <v>EBONY4175S7/Y2</v>
      </c>
      <c r="E854" s="1" t="str">
        <f>"28"</f>
        <v>28</v>
      </c>
      <c r="F854" s="1" t="str">
        <f t="shared" si="568"/>
        <v>BONIS SPA</v>
      </c>
      <c r="G854" s="1" t="str">
        <f t="shared" si="556"/>
        <v>STOCK SCAFFALE MP</v>
      </c>
      <c r="H854" s="1" t="str">
        <f t="shared" si="582"/>
        <v>BLK</v>
      </c>
      <c r="K854" s="1">
        <v>1</v>
      </c>
      <c r="L854" s="1" t="str">
        <f t="shared" si="569"/>
        <v>01</v>
      </c>
      <c r="M854" s="1" t="str">
        <f t="shared" si="557"/>
        <v>408</v>
      </c>
      <c r="N854" s="1" t="str">
        <f t="shared" si="562"/>
        <v>006</v>
      </c>
      <c r="O854" s="1" t="str">
        <f t="shared" si="570"/>
        <v>00</v>
      </c>
      <c r="P854" s="1" t="str">
        <f t="shared" si="571"/>
        <v>S</v>
      </c>
      <c r="Q854" s="1" t="str">
        <f t="shared" si="572"/>
        <v>P</v>
      </c>
      <c r="R854" s="1" t="str">
        <f t="shared" si="573"/>
        <v>01</v>
      </c>
      <c r="S854" s="1" t="str">
        <f t="shared" si="558"/>
        <v>04</v>
      </c>
      <c r="T854" s="1" t="str">
        <f t="shared" si="574"/>
        <v>False</v>
      </c>
      <c r="U854" s="1" t="str">
        <f t="shared" si="575"/>
        <v>True</v>
      </c>
      <c r="V854" s="1" t="str">
        <f t="shared" si="581"/>
        <v>U0032690</v>
      </c>
      <c r="W854" s="1">
        <v>1</v>
      </c>
      <c r="Y854" s="1">
        <v>0</v>
      </c>
      <c r="Z854" s="1">
        <v>0</v>
      </c>
      <c r="AI854" s="1" t="str">
        <f t="shared" si="563"/>
        <v>F10</v>
      </c>
      <c r="AJ854" s="1" t="str">
        <f t="shared" si="564"/>
        <v>KID</v>
      </c>
      <c r="AK854" s="1" t="str">
        <f t="shared" si="576"/>
        <v>PA</v>
      </c>
      <c r="AP854" s="1" t="str">
        <f t="shared" si="577"/>
        <v>False</v>
      </c>
      <c r="AR854" s="1" t="str">
        <f t="shared" si="565"/>
        <v>EBONY</v>
      </c>
      <c r="AY854" s="1" t="str">
        <f t="shared" si="578"/>
        <v>PF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 t="str">
        <f t="shared" si="566"/>
        <v>A EVA TOMAIA SYNTHETIC GLITTER</v>
      </c>
      <c r="BF854" s="1" t="str">
        <f t="shared" si="579"/>
        <v>Bonis SpA</v>
      </c>
    </row>
    <row r="855" spans="2:58" x14ac:dyDescent="0.25">
      <c r="B855" s="1">
        <v>2473</v>
      </c>
      <c r="C855" s="1" t="str">
        <f t="shared" si="560"/>
        <v>EBONY4175S7/Y2</v>
      </c>
      <c r="E855" s="1" t="str">
        <f>"31"</f>
        <v>31</v>
      </c>
      <c r="F855" s="1" t="str">
        <f t="shared" si="568"/>
        <v>BONIS SPA</v>
      </c>
      <c r="G855" s="1" t="str">
        <f t="shared" si="556"/>
        <v>STOCK SCAFFALE MP</v>
      </c>
      <c r="H855" s="1" t="str">
        <f t="shared" si="582"/>
        <v>BLK</v>
      </c>
      <c r="K855" s="1">
        <v>1</v>
      </c>
      <c r="L855" s="1" t="str">
        <f t="shared" si="569"/>
        <v>01</v>
      </c>
      <c r="M855" s="1" t="str">
        <f t="shared" si="557"/>
        <v>408</v>
      </c>
      <c r="N855" s="1" t="str">
        <f t="shared" si="562"/>
        <v>006</v>
      </c>
      <c r="O855" s="1" t="str">
        <f t="shared" si="570"/>
        <v>00</v>
      </c>
      <c r="P855" s="1" t="str">
        <f t="shared" si="571"/>
        <v>S</v>
      </c>
      <c r="Q855" s="1" t="str">
        <f t="shared" si="572"/>
        <v>P</v>
      </c>
      <c r="R855" s="1" t="str">
        <f t="shared" si="573"/>
        <v>01</v>
      </c>
      <c r="S855" s="1" t="str">
        <f t="shared" si="558"/>
        <v>04</v>
      </c>
      <c r="T855" s="1" t="str">
        <f t="shared" si="574"/>
        <v>False</v>
      </c>
      <c r="U855" s="1" t="str">
        <f t="shared" si="575"/>
        <v>True</v>
      </c>
      <c r="V855" s="1" t="str">
        <f t="shared" si="581"/>
        <v>U0032690</v>
      </c>
      <c r="W855" s="1">
        <v>1</v>
      </c>
      <c r="Y855" s="1">
        <v>0</v>
      </c>
      <c r="Z855" s="1">
        <v>0</v>
      </c>
      <c r="AI855" s="1" t="str">
        <f t="shared" si="563"/>
        <v>F10</v>
      </c>
      <c r="AJ855" s="1" t="str">
        <f t="shared" si="564"/>
        <v>KID</v>
      </c>
      <c r="AK855" s="1" t="str">
        <f t="shared" si="576"/>
        <v>PA</v>
      </c>
      <c r="AP855" s="1" t="str">
        <f t="shared" si="577"/>
        <v>False</v>
      </c>
      <c r="AR855" s="1" t="str">
        <f t="shared" si="565"/>
        <v>EBONY</v>
      </c>
      <c r="AY855" s="1" t="str">
        <f t="shared" si="578"/>
        <v>PF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 t="str">
        <f t="shared" si="566"/>
        <v>A EVA TOMAIA SYNTHETIC GLITTER</v>
      </c>
      <c r="BF855" s="1" t="str">
        <f t="shared" si="579"/>
        <v>Bonis SpA</v>
      </c>
    </row>
    <row r="856" spans="2:58" x14ac:dyDescent="0.25">
      <c r="B856" s="1">
        <v>2473</v>
      </c>
      <c r="C856" s="1" t="str">
        <f t="shared" si="560"/>
        <v>EBONY4175S7/Y2</v>
      </c>
      <c r="E856" s="1" t="str">
        <f>"30"</f>
        <v>30</v>
      </c>
      <c r="F856" s="1" t="str">
        <f t="shared" si="568"/>
        <v>BONIS SPA</v>
      </c>
      <c r="G856" s="1" t="str">
        <f t="shared" si="556"/>
        <v>STOCK SCAFFALE MP</v>
      </c>
      <c r="H856" s="1" t="str">
        <f t="shared" si="582"/>
        <v>BLK</v>
      </c>
      <c r="K856" s="1">
        <v>1</v>
      </c>
      <c r="L856" s="1" t="str">
        <f t="shared" si="569"/>
        <v>01</v>
      </c>
      <c r="M856" s="1" t="str">
        <f t="shared" si="557"/>
        <v>408</v>
      </c>
      <c r="N856" s="1" t="str">
        <f t="shared" si="562"/>
        <v>006</v>
      </c>
      <c r="O856" s="1" t="str">
        <f t="shared" si="570"/>
        <v>00</v>
      </c>
      <c r="P856" s="1" t="str">
        <f t="shared" si="571"/>
        <v>S</v>
      </c>
      <c r="Q856" s="1" t="str">
        <f t="shared" si="572"/>
        <v>P</v>
      </c>
      <c r="R856" s="1" t="str">
        <f t="shared" si="573"/>
        <v>01</v>
      </c>
      <c r="S856" s="1" t="str">
        <f t="shared" si="558"/>
        <v>04</v>
      </c>
      <c r="T856" s="1" t="str">
        <f t="shared" si="574"/>
        <v>False</v>
      </c>
      <c r="U856" s="1" t="str">
        <f t="shared" si="575"/>
        <v>True</v>
      </c>
      <c r="V856" s="1" t="str">
        <f t="shared" si="581"/>
        <v>U0032690</v>
      </c>
      <c r="W856" s="1">
        <v>1</v>
      </c>
      <c r="Y856" s="1">
        <v>0</v>
      </c>
      <c r="Z856" s="1">
        <v>0</v>
      </c>
      <c r="AI856" s="1" t="str">
        <f t="shared" si="563"/>
        <v>F10</v>
      </c>
      <c r="AJ856" s="1" t="str">
        <f t="shared" si="564"/>
        <v>KID</v>
      </c>
      <c r="AK856" s="1" t="str">
        <f t="shared" si="576"/>
        <v>PA</v>
      </c>
      <c r="AP856" s="1" t="str">
        <f t="shared" si="577"/>
        <v>False</v>
      </c>
      <c r="AR856" s="1" t="str">
        <f t="shared" si="565"/>
        <v>EBONY</v>
      </c>
      <c r="AY856" s="1" t="str">
        <f t="shared" si="578"/>
        <v>PF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 t="str">
        <f t="shared" si="566"/>
        <v>A EVA TOMAIA SYNTHETIC GLITTER</v>
      </c>
      <c r="BF856" s="1" t="str">
        <f t="shared" si="579"/>
        <v>Bonis SpA</v>
      </c>
    </row>
    <row r="857" spans="2:58" x14ac:dyDescent="0.25">
      <c r="B857" s="1">
        <v>2473</v>
      </c>
      <c r="C857" s="1" t="str">
        <f t="shared" si="560"/>
        <v>EBONY4175S7/Y2</v>
      </c>
      <c r="E857" s="1" t="str">
        <f>"31"</f>
        <v>31</v>
      </c>
      <c r="F857" s="1" t="str">
        <f t="shared" si="568"/>
        <v>BONIS SPA</v>
      </c>
      <c r="G857" s="1" t="str">
        <f t="shared" si="556"/>
        <v>STOCK SCAFFALE MP</v>
      </c>
      <c r="H857" s="1" t="str">
        <f>"SIL"</f>
        <v>SIL</v>
      </c>
      <c r="K857" s="1">
        <v>1</v>
      </c>
      <c r="L857" s="1" t="str">
        <f t="shared" si="569"/>
        <v>01</v>
      </c>
      <c r="M857" s="1" t="str">
        <f t="shared" si="557"/>
        <v>408</v>
      </c>
      <c r="N857" s="1" t="str">
        <f t="shared" si="562"/>
        <v>006</v>
      </c>
      <c r="O857" s="1" t="str">
        <f t="shared" si="570"/>
        <v>00</v>
      </c>
      <c r="P857" s="1" t="str">
        <f t="shared" si="571"/>
        <v>S</v>
      </c>
      <c r="Q857" s="1" t="str">
        <f t="shared" si="572"/>
        <v>P</v>
      </c>
      <c r="R857" s="1" t="str">
        <f t="shared" si="573"/>
        <v>01</v>
      </c>
      <c r="S857" s="1" t="str">
        <f t="shared" si="558"/>
        <v>04</v>
      </c>
      <c r="T857" s="1" t="str">
        <f t="shared" si="574"/>
        <v>False</v>
      </c>
      <c r="U857" s="1" t="str">
        <f t="shared" si="575"/>
        <v>True</v>
      </c>
      <c r="V857" s="1" t="str">
        <f t="shared" si="581"/>
        <v>U0032690</v>
      </c>
      <c r="W857" s="1">
        <v>1</v>
      </c>
      <c r="Y857" s="1">
        <v>0</v>
      </c>
      <c r="Z857" s="1">
        <v>0</v>
      </c>
      <c r="AI857" s="1" t="str">
        <f t="shared" si="563"/>
        <v>F10</v>
      </c>
      <c r="AJ857" s="1" t="str">
        <f t="shared" si="564"/>
        <v>KID</v>
      </c>
      <c r="AK857" s="1" t="str">
        <f t="shared" si="576"/>
        <v>PA</v>
      </c>
      <c r="AP857" s="1" t="str">
        <f t="shared" si="577"/>
        <v>False</v>
      </c>
      <c r="AR857" s="1" t="str">
        <f t="shared" si="565"/>
        <v>EBONY</v>
      </c>
      <c r="AY857" s="1" t="str">
        <f t="shared" si="578"/>
        <v>PF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 t="str">
        <f t="shared" si="566"/>
        <v>A EVA TOMAIA SYNTHETIC GLITTER</v>
      </c>
      <c r="BF857" s="1" t="str">
        <f t="shared" si="579"/>
        <v>Bonis SpA</v>
      </c>
    </row>
    <row r="858" spans="2:58" x14ac:dyDescent="0.25">
      <c r="B858" s="1">
        <v>2473</v>
      </c>
      <c r="C858" s="1" t="str">
        <f t="shared" si="560"/>
        <v>EBONY4175S7/Y2</v>
      </c>
      <c r="E858" s="1" t="str">
        <f>"29"</f>
        <v>29</v>
      </c>
      <c r="F858" s="1" t="str">
        <f t="shared" si="568"/>
        <v>BONIS SPA</v>
      </c>
      <c r="G858" s="1" t="str">
        <f t="shared" si="556"/>
        <v>STOCK SCAFFALE MP</v>
      </c>
      <c r="H858" s="1" t="str">
        <f>"SIL"</f>
        <v>SIL</v>
      </c>
      <c r="K858" s="1">
        <v>1</v>
      </c>
      <c r="L858" s="1" t="str">
        <f t="shared" si="569"/>
        <v>01</v>
      </c>
      <c r="M858" s="1" t="str">
        <f t="shared" si="557"/>
        <v>408</v>
      </c>
      <c r="N858" s="1" t="str">
        <f t="shared" si="562"/>
        <v>006</v>
      </c>
      <c r="O858" s="1" t="str">
        <f t="shared" si="570"/>
        <v>00</v>
      </c>
      <c r="P858" s="1" t="str">
        <f t="shared" si="571"/>
        <v>S</v>
      </c>
      <c r="Q858" s="1" t="str">
        <f t="shared" si="572"/>
        <v>P</v>
      </c>
      <c r="R858" s="1" t="str">
        <f t="shared" si="573"/>
        <v>01</v>
      </c>
      <c r="S858" s="1" t="str">
        <f t="shared" si="558"/>
        <v>04</v>
      </c>
      <c r="T858" s="1" t="str">
        <f t="shared" si="574"/>
        <v>False</v>
      </c>
      <c r="U858" s="1" t="str">
        <f t="shared" si="575"/>
        <v>True</v>
      </c>
      <c r="V858" s="1" t="str">
        <f t="shared" si="581"/>
        <v>U0032690</v>
      </c>
      <c r="W858" s="1">
        <v>1</v>
      </c>
      <c r="Y858" s="1">
        <v>0</v>
      </c>
      <c r="Z858" s="1">
        <v>0</v>
      </c>
      <c r="AI858" s="1" t="str">
        <f t="shared" si="563"/>
        <v>F10</v>
      </c>
      <c r="AJ858" s="1" t="str">
        <f t="shared" si="564"/>
        <v>KID</v>
      </c>
      <c r="AK858" s="1" t="str">
        <f t="shared" si="576"/>
        <v>PA</v>
      </c>
      <c r="AP858" s="1" t="str">
        <f t="shared" si="577"/>
        <v>False</v>
      </c>
      <c r="AR858" s="1" t="str">
        <f t="shared" si="565"/>
        <v>EBONY</v>
      </c>
      <c r="AY858" s="1" t="str">
        <f t="shared" si="578"/>
        <v>PF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 t="str">
        <f t="shared" si="566"/>
        <v>A EVA TOMAIA SYNTHETIC GLITTER</v>
      </c>
      <c r="BF858" s="1" t="str">
        <f t="shared" si="579"/>
        <v>Bonis SpA</v>
      </c>
    </row>
    <row r="859" spans="2:58" x14ac:dyDescent="0.25">
      <c r="B859" s="1">
        <v>2473</v>
      </c>
      <c r="C859" s="1" t="str">
        <f t="shared" si="560"/>
        <v>EBONY4175S7/Y2</v>
      </c>
      <c r="E859" s="1" t="str">
        <f>"32"</f>
        <v>32</v>
      </c>
      <c r="F859" s="1" t="str">
        <f t="shared" si="568"/>
        <v>BONIS SPA</v>
      </c>
      <c r="G859" s="1" t="str">
        <f t="shared" si="556"/>
        <v>STOCK SCAFFALE MP</v>
      </c>
      <c r="H859" s="1" t="str">
        <f t="shared" ref="H859:H877" si="583">"BLK"</f>
        <v>BLK</v>
      </c>
      <c r="K859" s="1">
        <v>1</v>
      </c>
      <c r="L859" s="1" t="str">
        <f t="shared" si="569"/>
        <v>01</v>
      </c>
      <c r="M859" s="1" t="str">
        <f t="shared" si="557"/>
        <v>408</v>
      </c>
      <c r="N859" s="1" t="str">
        <f t="shared" si="562"/>
        <v>006</v>
      </c>
      <c r="O859" s="1" t="str">
        <f t="shared" si="570"/>
        <v>00</v>
      </c>
      <c r="P859" s="1" t="str">
        <f t="shared" si="571"/>
        <v>S</v>
      </c>
      <c r="Q859" s="1" t="str">
        <f t="shared" si="572"/>
        <v>P</v>
      </c>
      <c r="R859" s="1" t="str">
        <f t="shared" si="573"/>
        <v>01</v>
      </c>
      <c r="S859" s="1" t="str">
        <f t="shared" si="558"/>
        <v>04</v>
      </c>
      <c r="T859" s="1" t="str">
        <f t="shared" si="574"/>
        <v>False</v>
      </c>
      <c r="U859" s="1" t="str">
        <f t="shared" si="575"/>
        <v>True</v>
      </c>
      <c r="V859" s="1" t="str">
        <f t="shared" si="581"/>
        <v>U0032690</v>
      </c>
      <c r="W859" s="1">
        <v>1</v>
      </c>
      <c r="Y859" s="1">
        <v>0</v>
      </c>
      <c r="Z859" s="1">
        <v>0</v>
      </c>
      <c r="AI859" s="1" t="str">
        <f t="shared" si="563"/>
        <v>F10</v>
      </c>
      <c r="AJ859" s="1" t="str">
        <f t="shared" si="564"/>
        <v>KID</v>
      </c>
      <c r="AK859" s="1" t="str">
        <f t="shared" si="576"/>
        <v>PA</v>
      </c>
      <c r="AP859" s="1" t="str">
        <f t="shared" si="577"/>
        <v>False</v>
      </c>
      <c r="AR859" s="1" t="str">
        <f t="shared" si="565"/>
        <v>EBONY</v>
      </c>
      <c r="AY859" s="1" t="str">
        <f t="shared" si="578"/>
        <v>PF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 t="str">
        <f t="shared" si="566"/>
        <v>A EVA TOMAIA SYNTHETIC GLITTER</v>
      </c>
      <c r="BF859" s="1" t="str">
        <f t="shared" si="579"/>
        <v>Bonis SpA</v>
      </c>
    </row>
    <row r="860" spans="2:58" x14ac:dyDescent="0.25">
      <c r="B860" s="1">
        <v>2473</v>
      </c>
      <c r="C860" s="1" t="str">
        <f t="shared" si="560"/>
        <v>EBONY4175S7/Y2</v>
      </c>
      <c r="E860" s="1" t="str">
        <f>"33"</f>
        <v>33</v>
      </c>
      <c r="F860" s="1" t="str">
        <f t="shared" si="568"/>
        <v>BONIS SPA</v>
      </c>
      <c r="G860" s="1" t="str">
        <f t="shared" si="556"/>
        <v>STOCK SCAFFALE MP</v>
      </c>
      <c r="H860" s="1" t="str">
        <f t="shared" si="583"/>
        <v>BLK</v>
      </c>
      <c r="K860" s="1">
        <v>1</v>
      </c>
      <c r="L860" s="1" t="str">
        <f t="shared" si="569"/>
        <v>01</v>
      </c>
      <c r="M860" s="1" t="str">
        <f t="shared" si="557"/>
        <v>408</v>
      </c>
      <c r="N860" s="1" t="str">
        <f t="shared" si="562"/>
        <v>006</v>
      </c>
      <c r="O860" s="1" t="str">
        <f t="shared" si="570"/>
        <v>00</v>
      </c>
      <c r="P860" s="1" t="str">
        <f t="shared" si="571"/>
        <v>S</v>
      </c>
      <c r="Q860" s="1" t="str">
        <f t="shared" si="572"/>
        <v>P</v>
      </c>
      <c r="R860" s="1" t="str">
        <f t="shared" si="573"/>
        <v>01</v>
      </c>
      <c r="S860" s="1" t="str">
        <f t="shared" si="558"/>
        <v>04</v>
      </c>
      <c r="T860" s="1" t="str">
        <f t="shared" si="574"/>
        <v>False</v>
      </c>
      <c r="U860" s="1" t="str">
        <f t="shared" si="575"/>
        <v>True</v>
      </c>
      <c r="V860" s="1" t="str">
        <f t="shared" si="581"/>
        <v>U0032690</v>
      </c>
      <c r="W860" s="1">
        <v>1</v>
      </c>
      <c r="Y860" s="1">
        <v>0</v>
      </c>
      <c r="Z860" s="1">
        <v>0</v>
      </c>
      <c r="AI860" s="1" t="str">
        <f t="shared" si="563"/>
        <v>F10</v>
      </c>
      <c r="AJ860" s="1" t="str">
        <f t="shared" si="564"/>
        <v>KID</v>
      </c>
      <c r="AK860" s="1" t="str">
        <f t="shared" si="576"/>
        <v>PA</v>
      </c>
      <c r="AP860" s="1" t="str">
        <f t="shared" si="577"/>
        <v>False</v>
      </c>
      <c r="AR860" s="1" t="str">
        <f t="shared" si="565"/>
        <v>EBONY</v>
      </c>
      <c r="AY860" s="1" t="str">
        <f t="shared" si="578"/>
        <v>PF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 t="str">
        <f t="shared" si="566"/>
        <v>A EVA TOMAIA SYNTHETIC GLITTER</v>
      </c>
      <c r="BF860" s="1" t="str">
        <f t="shared" si="579"/>
        <v>Bonis SpA</v>
      </c>
    </row>
    <row r="861" spans="2:58" x14ac:dyDescent="0.25">
      <c r="B861" s="1">
        <v>2473</v>
      </c>
      <c r="C861" s="1" t="str">
        <f t="shared" si="560"/>
        <v>EBONY4175S7/Y2</v>
      </c>
      <c r="E861" s="1" t="str">
        <f>"32"</f>
        <v>32</v>
      </c>
      <c r="F861" s="1" t="str">
        <f t="shared" si="568"/>
        <v>BONIS SPA</v>
      </c>
      <c r="G861" s="1" t="str">
        <f t="shared" si="556"/>
        <v>STOCK SCAFFALE MP</v>
      </c>
      <c r="H861" s="1" t="str">
        <f t="shared" si="583"/>
        <v>BLK</v>
      </c>
      <c r="K861" s="1">
        <v>1</v>
      </c>
      <c r="L861" s="1" t="str">
        <f t="shared" si="569"/>
        <v>01</v>
      </c>
      <c r="M861" s="1" t="str">
        <f t="shared" si="557"/>
        <v>408</v>
      </c>
      <c r="N861" s="1" t="str">
        <f t="shared" si="562"/>
        <v>006</v>
      </c>
      <c r="O861" s="1" t="str">
        <f t="shared" si="570"/>
        <v>00</v>
      </c>
      <c r="P861" s="1" t="str">
        <f t="shared" si="571"/>
        <v>S</v>
      </c>
      <c r="Q861" s="1" t="str">
        <f t="shared" si="572"/>
        <v>P</v>
      </c>
      <c r="R861" s="1" t="str">
        <f t="shared" si="573"/>
        <v>01</v>
      </c>
      <c r="S861" s="1" t="str">
        <f t="shared" si="558"/>
        <v>04</v>
      </c>
      <c r="T861" s="1" t="str">
        <f t="shared" si="574"/>
        <v>False</v>
      </c>
      <c r="U861" s="1" t="str">
        <f t="shared" si="575"/>
        <v>True</v>
      </c>
      <c r="V861" s="1" t="str">
        <f t="shared" ref="V861:V868" si="584">"U0032689"</f>
        <v>U0032689</v>
      </c>
      <c r="W861" s="1">
        <v>1</v>
      </c>
      <c r="Y861" s="1">
        <v>0</v>
      </c>
      <c r="Z861" s="1">
        <v>0</v>
      </c>
      <c r="AI861" s="1" t="str">
        <f t="shared" si="563"/>
        <v>F10</v>
      </c>
      <c r="AJ861" s="1" t="str">
        <f t="shared" si="564"/>
        <v>KID</v>
      </c>
      <c r="AK861" s="1" t="str">
        <f t="shared" si="576"/>
        <v>PA</v>
      </c>
      <c r="AP861" s="1" t="str">
        <f t="shared" si="577"/>
        <v>False</v>
      </c>
      <c r="AR861" s="1" t="str">
        <f t="shared" si="565"/>
        <v>EBONY</v>
      </c>
      <c r="AY861" s="1" t="str">
        <f t="shared" si="578"/>
        <v>PF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 t="str">
        <f t="shared" si="566"/>
        <v>A EVA TOMAIA SYNTHETIC GLITTER</v>
      </c>
      <c r="BF861" s="1" t="str">
        <f t="shared" si="579"/>
        <v>Bonis SpA</v>
      </c>
    </row>
    <row r="862" spans="2:58" x14ac:dyDescent="0.25">
      <c r="B862" s="1">
        <v>2473</v>
      </c>
      <c r="C862" s="1" t="str">
        <f t="shared" si="560"/>
        <v>EBONY4175S7/Y2</v>
      </c>
      <c r="E862" s="1" t="str">
        <f>"34"</f>
        <v>34</v>
      </c>
      <c r="F862" s="1" t="str">
        <f t="shared" si="568"/>
        <v>BONIS SPA</v>
      </c>
      <c r="G862" s="1" t="str">
        <f t="shared" si="556"/>
        <v>STOCK SCAFFALE MP</v>
      </c>
      <c r="H862" s="1" t="str">
        <f t="shared" si="583"/>
        <v>BLK</v>
      </c>
      <c r="K862" s="1">
        <v>2</v>
      </c>
      <c r="L862" s="1" t="str">
        <f t="shared" si="569"/>
        <v>01</v>
      </c>
      <c r="M862" s="1" t="str">
        <f t="shared" si="557"/>
        <v>408</v>
      </c>
      <c r="N862" s="1" t="str">
        <f t="shared" si="562"/>
        <v>006</v>
      </c>
      <c r="O862" s="1" t="str">
        <f t="shared" si="570"/>
        <v>00</v>
      </c>
      <c r="P862" s="1" t="str">
        <f t="shared" si="571"/>
        <v>S</v>
      </c>
      <c r="Q862" s="1" t="str">
        <f t="shared" si="572"/>
        <v>P</v>
      </c>
      <c r="R862" s="1" t="str">
        <f t="shared" si="573"/>
        <v>01</v>
      </c>
      <c r="S862" s="1" t="str">
        <f t="shared" si="558"/>
        <v>04</v>
      </c>
      <c r="T862" s="1" t="str">
        <f t="shared" si="574"/>
        <v>False</v>
      </c>
      <c r="U862" s="1" t="str">
        <f t="shared" si="575"/>
        <v>True</v>
      </c>
      <c r="V862" s="1" t="str">
        <f t="shared" si="584"/>
        <v>U0032689</v>
      </c>
      <c r="W862" s="1">
        <v>1</v>
      </c>
      <c r="Y862" s="1">
        <v>0</v>
      </c>
      <c r="Z862" s="1">
        <v>0</v>
      </c>
      <c r="AI862" s="1" t="str">
        <f t="shared" si="563"/>
        <v>F10</v>
      </c>
      <c r="AJ862" s="1" t="str">
        <f t="shared" si="564"/>
        <v>KID</v>
      </c>
      <c r="AK862" s="1" t="str">
        <f t="shared" si="576"/>
        <v>PA</v>
      </c>
      <c r="AP862" s="1" t="str">
        <f t="shared" si="577"/>
        <v>False</v>
      </c>
      <c r="AR862" s="1" t="str">
        <f t="shared" si="565"/>
        <v>EBONY</v>
      </c>
      <c r="AY862" s="1" t="str">
        <f t="shared" si="578"/>
        <v>PF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 t="str">
        <f t="shared" si="566"/>
        <v>A EVA TOMAIA SYNTHETIC GLITTER</v>
      </c>
      <c r="BF862" s="1" t="str">
        <f t="shared" si="579"/>
        <v>Bonis SpA</v>
      </c>
    </row>
    <row r="863" spans="2:58" x14ac:dyDescent="0.25">
      <c r="B863" s="1">
        <v>2473</v>
      </c>
      <c r="C863" s="1" t="str">
        <f t="shared" ref="C863:C894" si="585">"EBONY4175S7/Y2"</f>
        <v>EBONY4175S7/Y2</v>
      </c>
      <c r="E863" s="1" t="str">
        <f>"29"</f>
        <v>29</v>
      </c>
      <c r="F863" s="1" t="str">
        <f t="shared" si="568"/>
        <v>BONIS SPA</v>
      </c>
      <c r="G863" s="1" t="str">
        <f t="shared" si="556"/>
        <v>STOCK SCAFFALE MP</v>
      </c>
      <c r="H863" s="1" t="str">
        <f t="shared" si="583"/>
        <v>BLK</v>
      </c>
      <c r="K863" s="1">
        <v>1</v>
      </c>
      <c r="L863" s="1" t="str">
        <f t="shared" si="569"/>
        <v>01</v>
      </c>
      <c r="M863" s="1" t="str">
        <f t="shared" si="557"/>
        <v>408</v>
      </c>
      <c r="N863" s="1" t="str">
        <f t="shared" ref="N863:N894" si="586">"006"</f>
        <v>006</v>
      </c>
      <c r="O863" s="1" t="str">
        <f t="shared" si="570"/>
        <v>00</v>
      </c>
      <c r="P863" s="1" t="str">
        <f t="shared" si="571"/>
        <v>S</v>
      </c>
      <c r="Q863" s="1" t="str">
        <f t="shared" si="572"/>
        <v>P</v>
      </c>
      <c r="R863" s="1" t="str">
        <f t="shared" si="573"/>
        <v>01</v>
      </c>
      <c r="S863" s="1" t="str">
        <f t="shared" si="558"/>
        <v>04</v>
      </c>
      <c r="T863" s="1" t="str">
        <f t="shared" si="574"/>
        <v>False</v>
      </c>
      <c r="U863" s="1" t="str">
        <f t="shared" si="575"/>
        <v>True</v>
      </c>
      <c r="V863" s="1" t="str">
        <f t="shared" si="584"/>
        <v>U0032689</v>
      </c>
      <c r="W863" s="1">
        <v>1</v>
      </c>
      <c r="Y863" s="1">
        <v>0</v>
      </c>
      <c r="Z863" s="1">
        <v>0</v>
      </c>
      <c r="AI863" s="1" t="str">
        <f t="shared" ref="AI863:AI894" si="587">"F10"</f>
        <v>F10</v>
      </c>
      <c r="AJ863" s="1" t="str">
        <f t="shared" ref="AJ863:AJ894" si="588">"KID"</f>
        <v>KID</v>
      </c>
      <c r="AK863" s="1" t="str">
        <f t="shared" si="576"/>
        <v>PA</v>
      </c>
      <c r="AP863" s="1" t="str">
        <f t="shared" si="577"/>
        <v>False</v>
      </c>
      <c r="AR863" s="1" t="str">
        <f t="shared" ref="AR863:AR894" si="589">"EBONY"</f>
        <v>EBONY</v>
      </c>
      <c r="AY863" s="1" t="str">
        <f t="shared" si="578"/>
        <v>PF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 t="str">
        <f t="shared" ref="BE863:BE894" si="590">"A EVA TOMAIA SYNTHETIC GLITTER"</f>
        <v>A EVA TOMAIA SYNTHETIC GLITTER</v>
      </c>
      <c r="BF863" s="1" t="str">
        <f t="shared" si="579"/>
        <v>Bonis SpA</v>
      </c>
    </row>
    <row r="864" spans="2:58" x14ac:dyDescent="0.25">
      <c r="B864" s="1">
        <v>2473</v>
      </c>
      <c r="C864" s="1" t="str">
        <f t="shared" si="585"/>
        <v>EBONY4175S7/Y2</v>
      </c>
      <c r="E864" s="1" t="str">
        <f>"28"</f>
        <v>28</v>
      </c>
      <c r="F864" s="1" t="str">
        <f t="shared" si="568"/>
        <v>BONIS SPA</v>
      </c>
      <c r="G864" s="1" t="str">
        <f t="shared" si="556"/>
        <v>STOCK SCAFFALE MP</v>
      </c>
      <c r="H864" s="1" t="str">
        <f t="shared" si="583"/>
        <v>BLK</v>
      </c>
      <c r="K864" s="1">
        <v>2</v>
      </c>
      <c r="L864" s="1" t="str">
        <f t="shared" si="569"/>
        <v>01</v>
      </c>
      <c r="M864" s="1" t="str">
        <f t="shared" si="557"/>
        <v>408</v>
      </c>
      <c r="N864" s="1" t="str">
        <f t="shared" si="586"/>
        <v>006</v>
      </c>
      <c r="O864" s="1" t="str">
        <f t="shared" si="570"/>
        <v>00</v>
      </c>
      <c r="P864" s="1" t="str">
        <f t="shared" si="571"/>
        <v>S</v>
      </c>
      <c r="Q864" s="1" t="str">
        <f t="shared" si="572"/>
        <v>P</v>
      </c>
      <c r="R864" s="1" t="str">
        <f t="shared" si="573"/>
        <v>01</v>
      </c>
      <c r="S864" s="1" t="str">
        <f t="shared" si="558"/>
        <v>04</v>
      </c>
      <c r="T864" s="1" t="str">
        <f t="shared" si="574"/>
        <v>False</v>
      </c>
      <c r="U864" s="1" t="str">
        <f t="shared" si="575"/>
        <v>True</v>
      </c>
      <c r="V864" s="1" t="str">
        <f t="shared" si="584"/>
        <v>U0032689</v>
      </c>
      <c r="W864" s="1">
        <v>1</v>
      </c>
      <c r="Y864" s="1">
        <v>0</v>
      </c>
      <c r="Z864" s="1">
        <v>0</v>
      </c>
      <c r="AI864" s="1" t="str">
        <f t="shared" si="587"/>
        <v>F10</v>
      </c>
      <c r="AJ864" s="1" t="str">
        <f t="shared" si="588"/>
        <v>KID</v>
      </c>
      <c r="AK864" s="1" t="str">
        <f t="shared" si="576"/>
        <v>PA</v>
      </c>
      <c r="AP864" s="1" t="str">
        <f t="shared" si="577"/>
        <v>False</v>
      </c>
      <c r="AR864" s="1" t="str">
        <f t="shared" si="589"/>
        <v>EBONY</v>
      </c>
      <c r="AY864" s="1" t="str">
        <f t="shared" si="578"/>
        <v>PF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 t="str">
        <f t="shared" si="590"/>
        <v>A EVA TOMAIA SYNTHETIC GLITTER</v>
      </c>
      <c r="BF864" s="1" t="str">
        <f t="shared" si="579"/>
        <v>Bonis SpA</v>
      </c>
    </row>
    <row r="865" spans="2:58" x14ac:dyDescent="0.25">
      <c r="B865" s="1">
        <v>2473</v>
      </c>
      <c r="C865" s="1" t="str">
        <f t="shared" si="585"/>
        <v>EBONY4175S7/Y2</v>
      </c>
      <c r="E865" s="1" t="str">
        <f>"31"</f>
        <v>31</v>
      </c>
      <c r="F865" s="1" t="str">
        <f t="shared" si="568"/>
        <v>BONIS SPA</v>
      </c>
      <c r="G865" s="1" t="str">
        <f t="shared" si="556"/>
        <v>STOCK SCAFFALE MP</v>
      </c>
      <c r="H865" s="1" t="str">
        <f t="shared" si="583"/>
        <v>BLK</v>
      </c>
      <c r="K865" s="1">
        <v>3</v>
      </c>
      <c r="L865" s="1" t="str">
        <f t="shared" si="569"/>
        <v>01</v>
      </c>
      <c r="M865" s="1" t="str">
        <f t="shared" si="557"/>
        <v>408</v>
      </c>
      <c r="N865" s="1" t="str">
        <f t="shared" si="586"/>
        <v>006</v>
      </c>
      <c r="O865" s="1" t="str">
        <f t="shared" si="570"/>
        <v>00</v>
      </c>
      <c r="P865" s="1" t="str">
        <f t="shared" si="571"/>
        <v>S</v>
      </c>
      <c r="Q865" s="1" t="str">
        <f t="shared" si="572"/>
        <v>P</v>
      </c>
      <c r="R865" s="1" t="str">
        <f t="shared" si="573"/>
        <v>01</v>
      </c>
      <c r="S865" s="1" t="str">
        <f t="shared" si="558"/>
        <v>04</v>
      </c>
      <c r="T865" s="1" t="str">
        <f t="shared" si="574"/>
        <v>False</v>
      </c>
      <c r="U865" s="1" t="str">
        <f t="shared" si="575"/>
        <v>True</v>
      </c>
      <c r="V865" s="1" t="str">
        <f t="shared" si="584"/>
        <v>U0032689</v>
      </c>
      <c r="W865" s="1">
        <v>1</v>
      </c>
      <c r="Y865" s="1">
        <v>0</v>
      </c>
      <c r="Z865" s="1">
        <v>0</v>
      </c>
      <c r="AI865" s="1" t="str">
        <f t="shared" si="587"/>
        <v>F10</v>
      </c>
      <c r="AJ865" s="1" t="str">
        <f t="shared" si="588"/>
        <v>KID</v>
      </c>
      <c r="AK865" s="1" t="str">
        <f t="shared" si="576"/>
        <v>PA</v>
      </c>
      <c r="AP865" s="1" t="str">
        <f t="shared" si="577"/>
        <v>False</v>
      </c>
      <c r="AR865" s="1" t="str">
        <f t="shared" si="589"/>
        <v>EBONY</v>
      </c>
      <c r="AY865" s="1" t="str">
        <f t="shared" si="578"/>
        <v>PF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 t="str">
        <f t="shared" si="590"/>
        <v>A EVA TOMAIA SYNTHETIC GLITTER</v>
      </c>
      <c r="BF865" s="1" t="str">
        <f t="shared" si="579"/>
        <v>Bonis SpA</v>
      </c>
    </row>
    <row r="866" spans="2:58" x14ac:dyDescent="0.25">
      <c r="B866" s="1">
        <v>2473</v>
      </c>
      <c r="C866" s="1" t="str">
        <f t="shared" si="585"/>
        <v>EBONY4175S7/Y2</v>
      </c>
      <c r="E866" s="1" t="str">
        <f>"30"</f>
        <v>30</v>
      </c>
      <c r="F866" s="1" t="str">
        <f t="shared" si="568"/>
        <v>BONIS SPA</v>
      </c>
      <c r="G866" s="1" t="str">
        <f t="shared" si="556"/>
        <v>STOCK SCAFFALE MP</v>
      </c>
      <c r="H866" s="1" t="str">
        <f t="shared" si="583"/>
        <v>BLK</v>
      </c>
      <c r="K866" s="1">
        <v>2</v>
      </c>
      <c r="L866" s="1" t="str">
        <f t="shared" si="569"/>
        <v>01</v>
      </c>
      <c r="M866" s="1" t="str">
        <f t="shared" si="557"/>
        <v>408</v>
      </c>
      <c r="N866" s="1" t="str">
        <f t="shared" si="586"/>
        <v>006</v>
      </c>
      <c r="O866" s="1" t="str">
        <f t="shared" si="570"/>
        <v>00</v>
      </c>
      <c r="P866" s="1" t="str">
        <f t="shared" si="571"/>
        <v>S</v>
      </c>
      <c r="Q866" s="1" t="str">
        <f t="shared" si="572"/>
        <v>P</v>
      </c>
      <c r="R866" s="1" t="str">
        <f t="shared" si="573"/>
        <v>01</v>
      </c>
      <c r="S866" s="1" t="str">
        <f t="shared" si="558"/>
        <v>04</v>
      </c>
      <c r="T866" s="1" t="str">
        <f t="shared" si="574"/>
        <v>False</v>
      </c>
      <c r="U866" s="1" t="str">
        <f t="shared" si="575"/>
        <v>True</v>
      </c>
      <c r="V866" s="1" t="str">
        <f t="shared" si="584"/>
        <v>U0032689</v>
      </c>
      <c r="W866" s="1">
        <v>1</v>
      </c>
      <c r="Y866" s="1">
        <v>0</v>
      </c>
      <c r="Z866" s="1">
        <v>0</v>
      </c>
      <c r="AI866" s="1" t="str">
        <f t="shared" si="587"/>
        <v>F10</v>
      </c>
      <c r="AJ866" s="1" t="str">
        <f t="shared" si="588"/>
        <v>KID</v>
      </c>
      <c r="AK866" s="1" t="str">
        <f t="shared" si="576"/>
        <v>PA</v>
      </c>
      <c r="AP866" s="1" t="str">
        <f t="shared" si="577"/>
        <v>False</v>
      </c>
      <c r="AR866" s="1" t="str">
        <f t="shared" si="589"/>
        <v>EBONY</v>
      </c>
      <c r="AY866" s="1" t="str">
        <f t="shared" si="578"/>
        <v>PF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 t="str">
        <f t="shared" si="590"/>
        <v>A EVA TOMAIA SYNTHETIC GLITTER</v>
      </c>
      <c r="BF866" s="1" t="str">
        <f t="shared" si="579"/>
        <v>Bonis SpA</v>
      </c>
    </row>
    <row r="867" spans="2:58" x14ac:dyDescent="0.25">
      <c r="B867" s="1">
        <v>2473</v>
      </c>
      <c r="C867" s="1" t="str">
        <f t="shared" si="585"/>
        <v>EBONY4175S7/Y2</v>
      </c>
      <c r="E867" s="1" t="str">
        <f>"35"</f>
        <v>35</v>
      </c>
      <c r="F867" s="1" t="str">
        <f t="shared" si="568"/>
        <v>BONIS SPA</v>
      </c>
      <c r="G867" s="1" t="str">
        <f t="shared" si="556"/>
        <v>STOCK SCAFFALE MP</v>
      </c>
      <c r="H867" s="1" t="str">
        <f t="shared" si="583"/>
        <v>BLK</v>
      </c>
      <c r="K867" s="1">
        <v>2</v>
      </c>
      <c r="L867" s="1" t="str">
        <f t="shared" si="569"/>
        <v>01</v>
      </c>
      <c r="M867" s="1" t="str">
        <f t="shared" si="557"/>
        <v>408</v>
      </c>
      <c r="N867" s="1" t="str">
        <f t="shared" si="586"/>
        <v>006</v>
      </c>
      <c r="O867" s="1" t="str">
        <f t="shared" si="570"/>
        <v>00</v>
      </c>
      <c r="P867" s="1" t="str">
        <f t="shared" si="571"/>
        <v>S</v>
      </c>
      <c r="Q867" s="1" t="str">
        <f t="shared" si="572"/>
        <v>P</v>
      </c>
      <c r="R867" s="1" t="str">
        <f t="shared" si="573"/>
        <v>01</v>
      </c>
      <c r="S867" s="1" t="str">
        <f t="shared" si="558"/>
        <v>04</v>
      </c>
      <c r="T867" s="1" t="str">
        <f t="shared" si="574"/>
        <v>False</v>
      </c>
      <c r="U867" s="1" t="str">
        <f t="shared" si="575"/>
        <v>True</v>
      </c>
      <c r="V867" s="1" t="str">
        <f t="shared" si="584"/>
        <v>U0032689</v>
      </c>
      <c r="W867" s="1">
        <v>1</v>
      </c>
      <c r="Y867" s="1">
        <v>0</v>
      </c>
      <c r="Z867" s="1">
        <v>0</v>
      </c>
      <c r="AI867" s="1" t="str">
        <f t="shared" si="587"/>
        <v>F10</v>
      </c>
      <c r="AJ867" s="1" t="str">
        <f t="shared" si="588"/>
        <v>KID</v>
      </c>
      <c r="AK867" s="1" t="str">
        <f t="shared" si="576"/>
        <v>PA</v>
      </c>
      <c r="AP867" s="1" t="str">
        <f t="shared" si="577"/>
        <v>False</v>
      </c>
      <c r="AR867" s="1" t="str">
        <f t="shared" si="589"/>
        <v>EBONY</v>
      </c>
      <c r="AY867" s="1" t="str">
        <f t="shared" si="578"/>
        <v>PF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 t="str">
        <f t="shared" si="590"/>
        <v>A EVA TOMAIA SYNTHETIC GLITTER</v>
      </c>
      <c r="BF867" s="1" t="str">
        <f t="shared" si="579"/>
        <v>Bonis SpA</v>
      </c>
    </row>
    <row r="868" spans="2:58" x14ac:dyDescent="0.25">
      <c r="B868" s="1">
        <v>2473</v>
      </c>
      <c r="C868" s="1" t="str">
        <f t="shared" si="585"/>
        <v>EBONY4175S7/Y2</v>
      </c>
      <c r="E868" s="1" t="str">
        <f>"33"</f>
        <v>33</v>
      </c>
      <c r="F868" s="1" t="str">
        <f t="shared" si="568"/>
        <v>BONIS SPA</v>
      </c>
      <c r="G868" s="1" t="str">
        <f t="shared" si="556"/>
        <v>STOCK SCAFFALE MP</v>
      </c>
      <c r="H868" s="1" t="str">
        <f t="shared" si="583"/>
        <v>BLK</v>
      </c>
      <c r="K868" s="1">
        <v>1</v>
      </c>
      <c r="L868" s="1" t="str">
        <f t="shared" si="569"/>
        <v>01</v>
      </c>
      <c r="M868" s="1" t="str">
        <f t="shared" si="557"/>
        <v>408</v>
      </c>
      <c r="N868" s="1" t="str">
        <f t="shared" si="586"/>
        <v>006</v>
      </c>
      <c r="O868" s="1" t="str">
        <f t="shared" si="570"/>
        <v>00</v>
      </c>
      <c r="P868" s="1" t="str">
        <f t="shared" si="571"/>
        <v>S</v>
      </c>
      <c r="Q868" s="1" t="str">
        <f t="shared" si="572"/>
        <v>P</v>
      </c>
      <c r="R868" s="1" t="str">
        <f t="shared" si="573"/>
        <v>01</v>
      </c>
      <c r="S868" s="1" t="str">
        <f t="shared" si="558"/>
        <v>04</v>
      </c>
      <c r="T868" s="1" t="str">
        <f t="shared" si="574"/>
        <v>False</v>
      </c>
      <c r="U868" s="1" t="str">
        <f t="shared" si="575"/>
        <v>True</v>
      </c>
      <c r="V868" s="1" t="str">
        <f t="shared" si="584"/>
        <v>U0032689</v>
      </c>
      <c r="W868" s="1">
        <v>1</v>
      </c>
      <c r="Y868" s="1">
        <v>0</v>
      </c>
      <c r="Z868" s="1">
        <v>0</v>
      </c>
      <c r="AI868" s="1" t="str">
        <f t="shared" si="587"/>
        <v>F10</v>
      </c>
      <c r="AJ868" s="1" t="str">
        <f t="shared" si="588"/>
        <v>KID</v>
      </c>
      <c r="AK868" s="1" t="str">
        <f t="shared" si="576"/>
        <v>PA</v>
      </c>
      <c r="AP868" s="1" t="str">
        <f t="shared" si="577"/>
        <v>False</v>
      </c>
      <c r="AR868" s="1" t="str">
        <f t="shared" si="589"/>
        <v>EBONY</v>
      </c>
      <c r="AY868" s="1" t="str">
        <f t="shared" si="578"/>
        <v>PF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 t="str">
        <f t="shared" si="590"/>
        <v>A EVA TOMAIA SYNTHETIC GLITTER</v>
      </c>
      <c r="BF868" s="1" t="str">
        <f t="shared" si="579"/>
        <v>Bonis SpA</v>
      </c>
    </row>
    <row r="869" spans="2:58" x14ac:dyDescent="0.25">
      <c r="B869" s="1">
        <v>2473</v>
      </c>
      <c r="C869" s="1" t="str">
        <f t="shared" si="585"/>
        <v>EBONY4175S7/Y2</v>
      </c>
      <c r="E869" s="1" t="str">
        <f>"28"</f>
        <v>28</v>
      </c>
      <c r="F869" s="1" t="str">
        <f t="shared" si="568"/>
        <v>BONIS SPA</v>
      </c>
      <c r="G869" s="1" t="str">
        <f t="shared" si="556"/>
        <v>STOCK SCAFFALE MP</v>
      </c>
      <c r="H869" s="1" t="str">
        <f t="shared" si="583"/>
        <v>BLK</v>
      </c>
      <c r="K869" s="1">
        <v>2</v>
      </c>
      <c r="L869" s="1" t="str">
        <f t="shared" si="569"/>
        <v>01</v>
      </c>
      <c r="M869" s="1" t="str">
        <f t="shared" si="557"/>
        <v>408</v>
      </c>
      <c r="N869" s="1" t="str">
        <f t="shared" si="586"/>
        <v>006</v>
      </c>
      <c r="O869" s="1" t="str">
        <f t="shared" si="570"/>
        <v>00</v>
      </c>
      <c r="P869" s="1" t="str">
        <f t="shared" si="571"/>
        <v>S</v>
      </c>
      <c r="Q869" s="1" t="str">
        <f t="shared" si="572"/>
        <v>P</v>
      </c>
      <c r="R869" s="1" t="str">
        <f t="shared" si="573"/>
        <v>01</v>
      </c>
      <c r="S869" s="1" t="str">
        <f t="shared" si="558"/>
        <v>04</v>
      </c>
      <c r="T869" s="1" t="str">
        <f t="shared" si="574"/>
        <v>False</v>
      </c>
      <c r="U869" s="1" t="str">
        <f t="shared" si="575"/>
        <v>True</v>
      </c>
      <c r="V869" s="1" t="str">
        <f t="shared" ref="V869:V877" si="591">"U0032688"</f>
        <v>U0032688</v>
      </c>
      <c r="W869" s="1">
        <v>1</v>
      </c>
      <c r="Y869" s="1">
        <v>0</v>
      </c>
      <c r="Z869" s="1">
        <v>0</v>
      </c>
      <c r="AI869" s="1" t="str">
        <f t="shared" si="587"/>
        <v>F10</v>
      </c>
      <c r="AJ869" s="1" t="str">
        <f t="shared" si="588"/>
        <v>KID</v>
      </c>
      <c r="AK869" s="1" t="str">
        <f t="shared" si="576"/>
        <v>PA</v>
      </c>
      <c r="AP869" s="1" t="str">
        <f t="shared" si="577"/>
        <v>False</v>
      </c>
      <c r="AR869" s="1" t="str">
        <f t="shared" si="589"/>
        <v>EBONY</v>
      </c>
      <c r="AY869" s="1" t="str">
        <f t="shared" si="578"/>
        <v>PF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 t="str">
        <f t="shared" si="590"/>
        <v>A EVA TOMAIA SYNTHETIC GLITTER</v>
      </c>
      <c r="BF869" s="1" t="str">
        <f t="shared" si="579"/>
        <v>Bonis SpA</v>
      </c>
    </row>
    <row r="870" spans="2:58" x14ac:dyDescent="0.25">
      <c r="B870" s="1">
        <v>2473</v>
      </c>
      <c r="C870" s="1" t="str">
        <f t="shared" si="585"/>
        <v>EBONY4175S7/Y2</v>
      </c>
      <c r="E870" s="1" t="str">
        <f>"29"</f>
        <v>29</v>
      </c>
      <c r="F870" s="1" t="str">
        <f t="shared" si="568"/>
        <v>BONIS SPA</v>
      </c>
      <c r="G870" s="1" t="str">
        <f t="shared" si="556"/>
        <v>STOCK SCAFFALE MP</v>
      </c>
      <c r="H870" s="1" t="str">
        <f t="shared" si="583"/>
        <v>BLK</v>
      </c>
      <c r="K870" s="1">
        <v>1</v>
      </c>
      <c r="L870" s="1" t="str">
        <f t="shared" si="569"/>
        <v>01</v>
      </c>
      <c r="M870" s="1" t="str">
        <f t="shared" si="557"/>
        <v>408</v>
      </c>
      <c r="N870" s="1" t="str">
        <f t="shared" si="586"/>
        <v>006</v>
      </c>
      <c r="O870" s="1" t="str">
        <f t="shared" si="570"/>
        <v>00</v>
      </c>
      <c r="P870" s="1" t="str">
        <f t="shared" si="571"/>
        <v>S</v>
      </c>
      <c r="Q870" s="1" t="str">
        <f t="shared" si="572"/>
        <v>P</v>
      </c>
      <c r="R870" s="1" t="str">
        <f t="shared" si="573"/>
        <v>01</v>
      </c>
      <c r="S870" s="1" t="str">
        <f t="shared" si="558"/>
        <v>04</v>
      </c>
      <c r="T870" s="1" t="str">
        <f t="shared" si="574"/>
        <v>False</v>
      </c>
      <c r="U870" s="1" t="str">
        <f t="shared" si="575"/>
        <v>True</v>
      </c>
      <c r="V870" s="1" t="str">
        <f t="shared" si="591"/>
        <v>U0032688</v>
      </c>
      <c r="W870" s="1">
        <v>1</v>
      </c>
      <c r="Y870" s="1">
        <v>0</v>
      </c>
      <c r="Z870" s="1">
        <v>0</v>
      </c>
      <c r="AI870" s="1" t="str">
        <f t="shared" si="587"/>
        <v>F10</v>
      </c>
      <c r="AJ870" s="1" t="str">
        <f t="shared" si="588"/>
        <v>KID</v>
      </c>
      <c r="AK870" s="1" t="str">
        <f t="shared" si="576"/>
        <v>PA</v>
      </c>
      <c r="AP870" s="1" t="str">
        <f t="shared" si="577"/>
        <v>False</v>
      </c>
      <c r="AR870" s="1" t="str">
        <f t="shared" si="589"/>
        <v>EBONY</v>
      </c>
      <c r="AY870" s="1" t="str">
        <f t="shared" si="578"/>
        <v>PF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 t="str">
        <f t="shared" si="590"/>
        <v>A EVA TOMAIA SYNTHETIC GLITTER</v>
      </c>
      <c r="BF870" s="1" t="str">
        <f t="shared" si="579"/>
        <v>Bonis SpA</v>
      </c>
    </row>
    <row r="871" spans="2:58" x14ac:dyDescent="0.25">
      <c r="B871" s="1">
        <v>2473</v>
      </c>
      <c r="C871" s="1" t="str">
        <f t="shared" si="585"/>
        <v>EBONY4175S7/Y2</v>
      </c>
      <c r="E871" s="1" t="str">
        <f>"30"</f>
        <v>30</v>
      </c>
      <c r="F871" s="1" t="str">
        <f t="shared" si="568"/>
        <v>BONIS SPA</v>
      </c>
      <c r="G871" s="1" t="str">
        <f t="shared" si="556"/>
        <v>STOCK SCAFFALE MP</v>
      </c>
      <c r="H871" s="1" t="str">
        <f t="shared" si="583"/>
        <v>BLK</v>
      </c>
      <c r="K871" s="1">
        <v>1</v>
      </c>
      <c r="L871" s="1" t="str">
        <f t="shared" si="569"/>
        <v>01</v>
      </c>
      <c r="M871" s="1" t="str">
        <f t="shared" si="557"/>
        <v>408</v>
      </c>
      <c r="N871" s="1" t="str">
        <f t="shared" si="586"/>
        <v>006</v>
      </c>
      <c r="O871" s="1" t="str">
        <f t="shared" si="570"/>
        <v>00</v>
      </c>
      <c r="P871" s="1" t="str">
        <f t="shared" si="571"/>
        <v>S</v>
      </c>
      <c r="Q871" s="1" t="str">
        <f t="shared" si="572"/>
        <v>P</v>
      </c>
      <c r="R871" s="1" t="str">
        <f t="shared" si="573"/>
        <v>01</v>
      </c>
      <c r="S871" s="1" t="str">
        <f t="shared" si="558"/>
        <v>04</v>
      </c>
      <c r="T871" s="1" t="str">
        <f t="shared" si="574"/>
        <v>False</v>
      </c>
      <c r="U871" s="1" t="str">
        <f t="shared" si="575"/>
        <v>True</v>
      </c>
      <c r="V871" s="1" t="str">
        <f t="shared" si="591"/>
        <v>U0032688</v>
      </c>
      <c r="W871" s="1">
        <v>1</v>
      </c>
      <c r="Y871" s="1">
        <v>0</v>
      </c>
      <c r="Z871" s="1">
        <v>0</v>
      </c>
      <c r="AI871" s="1" t="str">
        <f t="shared" si="587"/>
        <v>F10</v>
      </c>
      <c r="AJ871" s="1" t="str">
        <f t="shared" si="588"/>
        <v>KID</v>
      </c>
      <c r="AK871" s="1" t="str">
        <f t="shared" si="576"/>
        <v>PA</v>
      </c>
      <c r="AP871" s="1" t="str">
        <f t="shared" si="577"/>
        <v>False</v>
      </c>
      <c r="AR871" s="1" t="str">
        <f t="shared" si="589"/>
        <v>EBONY</v>
      </c>
      <c r="AY871" s="1" t="str">
        <f t="shared" si="578"/>
        <v>PF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 t="str">
        <f t="shared" si="590"/>
        <v>A EVA TOMAIA SYNTHETIC GLITTER</v>
      </c>
      <c r="BF871" s="1" t="str">
        <f t="shared" si="579"/>
        <v>Bonis SpA</v>
      </c>
    </row>
    <row r="872" spans="2:58" x14ac:dyDescent="0.25">
      <c r="B872" s="1">
        <v>2473</v>
      </c>
      <c r="C872" s="1" t="str">
        <f t="shared" si="585"/>
        <v>EBONY4175S7/Y2</v>
      </c>
      <c r="E872" s="1" t="str">
        <f>"31"</f>
        <v>31</v>
      </c>
      <c r="F872" s="1" t="str">
        <f t="shared" si="568"/>
        <v>BONIS SPA</v>
      </c>
      <c r="G872" s="1" t="str">
        <f t="shared" si="556"/>
        <v>STOCK SCAFFALE MP</v>
      </c>
      <c r="H872" s="1" t="str">
        <f t="shared" si="583"/>
        <v>BLK</v>
      </c>
      <c r="K872" s="1">
        <v>1</v>
      </c>
      <c r="L872" s="1" t="str">
        <f t="shared" si="569"/>
        <v>01</v>
      </c>
      <c r="M872" s="1" t="str">
        <f t="shared" si="557"/>
        <v>408</v>
      </c>
      <c r="N872" s="1" t="str">
        <f t="shared" si="586"/>
        <v>006</v>
      </c>
      <c r="O872" s="1" t="str">
        <f t="shared" si="570"/>
        <v>00</v>
      </c>
      <c r="P872" s="1" t="str">
        <f t="shared" si="571"/>
        <v>S</v>
      </c>
      <c r="Q872" s="1" t="str">
        <f t="shared" si="572"/>
        <v>P</v>
      </c>
      <c r="R872" s="1" t="str">
        <f t="shared" si="573"/>
        <v>01</v>
      </c>
      <c r="S872" s="1" t="str">
        <f t="shared" si="558"/>
        <v>04</v>
      </c>
      <c r="T872" s="1" t="str">
        <f t="shared" si="574"/>
        <v>False</v>
      </c>
      <c r="U872" s="1" t="str">
        <f t="shared" si="575"/>
        <v>True</v>
      </c>
      <c r="V872" s="1" t="str">
        <f t="shared" si="591"/>
        <v>U0032688</v>
      </c>
      <c r="W872" s="1">
        <v>1</v>
      </c>
      <c r="Y872" s="1">
        <v>0</v>
      </c>
      <c r="Z872" s="1">
        <v>0</v>
      </c>
      <c r="AI872" s="1" t="str">
        <f t="shared" si="587"/>
        <v>F10</v>
      </c>
      <c r="AJ872" s="1" t="str">
        <f t="shared" si="588"/>
        <v>KID</v>
      </c>
      <c r="AK872" s="1" t="str">
        <f t="shared" si="576"/>
        <v>PA</v>
      </c>
      <c r="AP872" s="1" t="str">
        <f t="shared" si="577"/>
        <v>False</v>
      </c>
      <c r="AR872" s="1" t="str">
        <f t="shared" si="589"/>
        <v>EBONY</v>
      </c>
      <c r="AY872" s="1" t="str">
        <f t="shared" si="578"/>
        <v>PF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 t="str">
        <f t="shared" si="590"/>
        <v>A EVA TOMAIA SYNTHETIC GLITTER</v>
      </c>
      <c r="BF872" s="1" t="str">
        <f t="shared" si="579"/>
        <v>Bonis SpA</v>
      </c>
    </row>
    <row r="873" spans="2:58" x14ac:dyDescent="0.25">
      <c r="B873" s="1">
        <v>2473</v>
      </c>
      <c r="C873" s="1" t="str">
        <f t="shared" si="585"/>
        <v>EBONY4175S7/Y2</v>
      </c>
      <c r="E873" s="1" t="str">
        <f>"35"</f>
        <v>35</v>
      </c>
      <c r="F873" s="1" t="str">
        <f t="shared" si="568"/>
        <v>BONIS SPA</v>
      </c>
      <c r="G873" s="1" t="str">
        <f t="shared" si="556"/>
        <v>STOCK SCAFFALE MP</v>
      </c>
      <c r="H873" s="1" t="str">
        <f t="shared" si="583"/>
        <v>BLK</v>
      </c>
      <c r="K873" s="1">
        <v>1</v>
      </c>
      <c r="L873" s="1" t="str">
        <f t="shared" si="569"/>
        <v>01</v>
      </c>
      <c r="M873" s="1" t="str">
        <f t="shared" si="557"/>
        <v>408</v>
      </c>
      <c r="N873" s="1" t="str">
        <f t="shared" si="586"/>
        <v>006</v>
      </c>
      <c r="O873" s="1" t="str">
        <f t="shared" si="570"/>
        <v>00</v>
      </c>
      <c r="P873" s="1" t="str">
        <f t="shared" si="571"/>
        <v>S</v>
      </c>
      <c r="Q873" s="1" t="str">
        <f t="shared" si="572"/>
        <v>P</v>
      </c>
      <c r="R873" s="1" t="str">
        <f t="shared" si="573"/>
        <v>01</v>
      </c>
      <c r="S873" s="1" t="str">
        <f t="shared" si="558"/>
        <v>04</v>
      </c>
      <c r="T873" s="1" t="str">
        <f t="shared" si="574"/>
        <v>False</v>
      </c>
      <c r="U873" s="1" t="str">
        <f t="shared" si="575"/>
        <v>True</v>
      </c>
      <c r="V873" s="1" t="str">
        <f t="shared" si="591"/>
        <v>U0032688</v>
      </c>
      <c r="W873" s="1">
        <v>1</v>
      </c>
      <c r="Y873" s="1">
        <v>0</v>
      </c>
      <c r="Z873" s="1">
        <v>0</v>
      </c>
      <c r="AI873" s="1" t="str">
        <f t="shared" si="587"/>
        <v>F10</v>
      </c>
      <c r="AJ873" s="1" t="str">
        <f t="shared" si="588"/>
        <v>KID</v>
      </c>
      <c r="AK873" s="1" t="str">
        <f t="shared" si="576"/>
        <v>PA</v>
      </c>
      <c r="AP873" s="1" t="str">
        <f t="shared" si="577"/>
        <v>False</v>
      </c>
      <c r="AR873" s="1" t="str">
        <f t="shared" si="589"/>
        <v>EBONY</v>
      </c>
      <c r="AY873" s="1" t="str">
        <f t="shared" si="578"/>
        <v>PF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 t="str">
        <f t="shared" si="590"/>
        <v>A EVA TOMAIA SYNTHETIC GLITTER</v>
      </c>
      <c r="BF873" s="1" t="str">
        <f t="shared" si="579"/>
        <v>Bonis SpA</v>
      </c>
    </row>
    <row r="874" spans="2:58" x14ac:dyDescent="0.25">
      <c r="B874" s="1">
        <v>2473</v>
      </c>
      <c r="C874" s="1" t="str">
        <f t="shared" si="585"/>
        <v>EBONY4175S7/Y2</v>
      </c>
      <c r="E874" s="1" t="str">
        <f>"34"</f>
        <v>34</v>
      </c>
      <c r="F874" s="1" t="str">
        <f t="shared" si="568"/>
        <v>BONIS SPA</v>
      </c>
      <c r="G874" s="1" t="str">
        <f t="shared" si="556"/>
        <v>STOCK SCAFFALE MP</v>
      </c>
      <c r="H874" s="1" t="str">
        <f t="shared" si="583"/>
        <v>BLK</v>
      </c>
      <c r="K874" s="1">
        <v>1</v>
      </c>
      <c r="L874" s="1" t="str">
        <f t="shared" si="569"/>
        <v>01</v>
      </c>
      <c r="M874" s="1" t="str">
        <f t="shared" si="557"/>
        <v>408</v>
      </c>
      <c r="N874" s="1" t="str">
        <f t="shared" si="586"/>
        <v>006</v>
      </c>
      <c r="O874" s="1" t="str">
        <f t="shared" si="570"/>
        <v>00</v>
      </c>
      <c r="P874" s="1" t="str">
        <f t="shared" si="571"/>
        <v>S</v>
      </c>
      <c r="Q874" s="1" t="str">
        <f t="shared" si="572"/>
        <v>P</v>
      </c>
      <c r="R874" s="1" t="str">
        <f t="shared" si="573"/>
        <v>01</v>
      </c>
      <c r="S874" s="1" t="str">
        <f t="shared" si="558"/>
        <v>04</v>
      </c>
      <c r="T874" s="1" t="str">
        <f t="shared" si="574"/>
        <v>False</v>
      </c>
      <c r="U874" s="1" t="str">
        <f t="shared" si="575"/>
        <v>True</v>
      </c>
      <c r="V874" s="1" t="str">
        <f t="shared" si="591"/>
        <v>U0032688</v>
      </c>
      <c r="W874" s="1">
        <v>1</v>
      </c>
      <c r="Y874" s="1">
        <v>0</v>
      </c>
      <c r="Z874" s="1">
        <v>0</v>
      </c>
      <c r="AI874" s="1" t="str">
        <f t="shared" si="587"/>
        <v>F10</v>
      </c>
      <c r="AJ874" s="1" t="str">
        <f t="shared" si="588"/>
        <v>KID</v>
      </c>
      <c r="AK874" s="1" t="str">
        <f t="shared" si="576"/>
        <v>PA</v>
      </c>
      <c r="AP874" s="1" t="str">
        <f t="shared" si="577"/>
        <v>False</v>
      </c>
      <c r="AR874" s="1" t="str">
        <f t="shared" si="589"/>
        <v>EBONY</v>
      </c>
      <c r="AY874" s="1" t="str">
        <f t="shared" si="578"/>
        <v>PF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 t="str">
        <f t="shared" si="590"/>
        <v>A EVA TOMAIA SYNTHETIC GLITTER</v>
      </c>
      <c r="BF874" s="1" t="str">
        <f t="shared" si="579"/>
        <v>Bonis SpA</v>
      </c>
    </row>
    <row r="875" spans="2:58" x14ac:dyDescent="0.25">
      <c r="B875" s="1">
        <v>2473</v>
      </c>
      <c r="C875" s="1" t="str">
        <f t="shared" si="585"/>
        <v>EBONY4175S7/Y2</v>
      </c>
      <c r="E875" s="1" t="str">
        <f>"33"</f>
        <v>33</v>
      </c>
      <c r="F875" s="1" t="str">
        <f t="shared" si="568"/>
        <v>BONIS SPA</v>
      </c>
      <c r="G875" s="1" t="str">
        <f t="shared" si="556"/>
        <v>STOCK SCAFFALE MP</v>
      </c>
      <c r="H875" s="1" t="str">
        <f t="shared" si="583"/>
        <v>BLK</v>
      </c>
      <c r="K875" s="1">
        <v>3</v>
      </c>
      <c r="L875" s="1" t="str">
        <f t="shared" si="569"/>
        <v>01</v>
      </c>
      <c r="M875" s="1" t="str">
        <f t="shared" si="557"/>
        <v>408</v>
      </c>
      <c r="N875" s="1" t="str">
        <f t="shared" si="586"/>
        <v>006</v>
      </c>
      <c r="O875" s="1" t="str">
        <f t="shared" si="570"/>
        <v>00</v>
      </c>
      <c r="P875" s="1" t="str">
        <f t="shared" si="571"/>
        <v>S</v>
      </c>
      <c r="Q875" s="1" t="str">
        <f t="shared" si="572"/>
        <v>P</v>
      </c>
      <c r="R875" s="1" t="str">
        <f t="shared" si="573"/>
        <v>01</v>
      </c>
      <c r="S875" s="1" t="str">
        <f t="shared" si="558"/>
        <v>04</v>
      </c>
      <c r="T875" s="1" t="str">
        <f t="shared" si="574"/>
        <v>False</v>
      </c>
      <c r="U875" s="1" t="str">
        <f t="shared" si="575"/>
        <v>True</v>
      </c>
      <c r="V875" s="1" t="str">
        <f t="shared" si="591"/>
        <v>U0032688</v>
      </c>
      <c r="W875" s="1">
        <v>1</v>
      </c>
      <c r="Y875" s="1">
        <v>0</v>
      </c>
      <c r="Z875" s="1">
        <v>0</v>
      </c>
      <c r="AI875" s="1" t="str">
        <f t="shared" si="587"/>
        <v>F10</v>
      </c>
      <c r="AJ875" s="1" t="str">
        <f t="shared" si="588"/>
        <v>KID</v>
      </c>
      <c r="AK875" s="1" t="str">
        <f t="shared" si="576"/>
        <v>PA</v>
      </c>
      <c r="AP875" s="1" t="str">
        <f t="shared" si="577"/>
        <v>False</v>
      </c>
      <c r="AR875" s="1" t="str">
        <f t="shared" si="589"/>
        <v>EBONY</v>
      </c>
      <c r="AY875" s="1" t="str">
        <f t="shared" si="578"/>
        <v>PF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 t="str">
        <f t="shared" si="590"/>
        <v>A EVA TOMAIA SYNTHETIC GLITTER</v>
      </c>
      <c r="BF875" s="1" t="str">
        <f t="shared" si="579"/>
        <v>Bonis SpA</v>
      </c>
    </row>
    <row r="876" spans="2:58" x14ac:dyDescent="0.25">
      <c r="B876" s="1">
        <v>2473</v>
      </c>
      <c r="C876" s="1" t="str">
        <f t="shared" si="585"/>
        <v>EBONY4175S7/Y2</v>
      </c>
      <c r="E876" s="1" t="str">
        <f>"32"</f>
        <v>32</v>
      </c>
      <c r="F876" s="1" t="str">
        <f t="shared" si="568"/>
        <v>BONIS SPA</v>
      </c>
      <c r="G876" s="1" t="str">
        <f t="shared" si="556"/>
        <v>STOCK SCAFFALE MP</v>
      </c>
      <c r="H876" s="1" t="str">
        <f t="shared" si="583"/>
        <v>BLK</v>
      </c>
      <c r="K876" s="1">
        <v>2</v>
      </c>
      <c r="L876" s="1" t="str">
        <f t="shared" si="569"/>
        <v>01</v>
      </c>
      <c r="M876" s="1" t="str">
        <f t="shared" si="557"/>
        <v>408</v>
      </c>
      <c r="N876" s="1" t="str">
        <f t="shared" si="586"/>
        <v>006</v>
      </c>
      <c r="O876" s="1" t="str">
        <f t="shared" si="570"/>
        <v>00</v>
      </c>
      <c r="P876" s="1" t="str">
        <f t="shared" si="571"/>
        <v>S</v>
      </c>
      <c r="Q876" s="1" t="str">
        <f t="shared" si="572"/>
        <v>P</v>
      </c>
      <c r="R876" s="1" t="str">
        <f t="shared" si="573"/>
        <v>01</v>
      </c>
      <c r="S876" s="1" t="str">
        <f t="shared" si="558"/>
        <v>04</v>
      </c>
      <c r="T876" s="1" t="str">
        <f t="shared" si="574"/>
        <v>False</v>
      </c>
      <c r="U876" s="1" t="str">
        <f t="shared" si="575"/>
        <v>True</v>
      </c>
      <c r="V876" s="1" t="str">
        <f t="shared" si="591"/>
        <v>U0032688</v>
      </c>
      <c r="W876" s="1">
        <v>1</v>
      </c>
      <c r="Y876" s="1">
        <v>0</v>
      </c>
      <c r="Z876" s="1">
        <v>0</v>
      </c>
      <c r="AI876" s="1" t="str">
        <f t="shared" si="587"/>
        <v>F10</v>
      </c>
      <c r="AJ876" s="1" t="str">
        <f t="shared" si="588"/>
        <v>KID</v>
      </c>
      <c r="AK876" s="1" t="str">
        <f t="shared" si="576"/>
        <v>PA</v>
      </c>
      <c r="AP876" s="1" t="str">
        <f t="shared" si="577"/>
        <v>False</v>
      </c>
      <c r="AR876" s="1" t="str">
        <f t="shared" si="589"/>
        <v>EBONY</v>
      </c>
      <c r="AY876" s="1" t="str">
        <f t="shared" si="578"/>
        <v>PF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 t="str">
        <f t="shared" si="590"/>
        <v>A EVA TOMAIA SYNTHETIC GLITTER</v>
      </c>
      <c r="BF876" s="1" t="str">
        <f t="shared" si="579"/>
        <v>Bonis SpA</v>
      </c>
    </row>
    <row r="877" spans="2:58" x14ac:dyDescent="0.25">
      <c r="B877" s="1">
        <v>2473</v>
      </c>
      <c r="C877" s="1" t="str">
        <f t="shared" si="585"/>
        <v>EBONY4175S7/Y2</v>
      </c>
      <c r="E877" s="1" t="str">
        <f>"37"</f>
        <v>37</v>
      </c>
      <c r="F877" s="1" t="str">
        <f t="shared" si="568"/>
        <v>BONIS SPA</v>
      </c>
      <c r="G877" s="1" t="str">
        <f t="shared" si="556"/>
        <v>STOCK SCAFFALE MP</v>
      </c>
      <c r="H877" s="1" t="str">
        <f t="shared" si="583"/>
        <v>BLK</v>
      </c>
      <c r="K877" s="1">
        <v>1</v>
      </c>
      <c r="L877" s="1" t="str">
        <f t="shared" si="569"/>
        <v>01</v>
      </c>
      <c r="M877" s="1" t="str">
        <f t="shared" si="557"/>
        <v>408</v>
      </c>
      <c r="N877" s="1" t="str">
        <f t="shared" si="586"/>
        <v>006</v>
      </c>
      <c r="O877" s="1" t="str">
        <f t="shared" si="570"/>
        <v>00</v>
      </c>
      <c r="P877" s="1" t="str">
        <f t="shared" si="571"/>
        <v>S</v>
      </c>
      <c r="Q877" s="1" t="str">
        <f t="shared" si="572"/>
        <v>P</v>
      </c>
      <c r="R877" s="1" t="str">
        <f t="shared" si="573"/>
        <v>01</v>
      </c>
      <c r="S877" s="1" t="str">
        <f t="shared" si="558"/>
        <v>04</v>
      </c>
      <c r="T877" s="1" t="str">
        <f t="shared" si="574"/>
        <v>False</v>
      </c>
      <c r="U877" s="1" t="str">
        <f t="shared" si="575"/>
        <v>True</v>
      </c>
      <c r="V877" s="1" t="str">
        <f t="shared" si="591"/>
        <v>U0032688</v>
      </c>
      <c r="W877" s="1">
        <v>1</v>
      </c>
      <c r="Y877" s="1">
        <v>0</v>
      </c>
      <c r="Z877" s="1">
        <v>0</v>
      </c>
      <c r="AI877" s="1" t="str">
        <f t="shared" si="587"/>
        <v>F10</v>
      </c>
      <c r="AJ877" s="1" t="str">
        <f t="shared" si="588"/>
        <v>KID</v>
      </c>
      <c r="AK877" s="1" t="str">
        <f t="shared" si="576"/>
        <v>PA</v>
      </c>
      <c r="AP877" s="1" t="str">
        <f t="shared" si="577"/>
        <v>False</v>
      </c>
      <c r="AR877" s="1" t="str">
        <f t="shared" si="589"/>
        <v>EBONY</v>
      </c>
      <c r="AY877" s="1" t="str">
        <f t="shared" si="578"/>
        <v>PF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 t="str">
        <f t="shared" si="590"/>
        <v>A EVA TOMAIA SYNTHETIC GLITTER</v>
      </c>
      <c r="BF877" s="1" t="str">
        <f t="shared" si="579"/>
        <v>Bonis SpA</v>
      </c>
    </row>
    <row r="878" spans="2:58" x14ac:dyDescent="0.25">
      <c r="B878" s="1">
        <v>2473</v>
      </c>
      <c r="C878" s="1" t="str">
        <f t="shared" si="585"/>
        <v>EBONY4175S7/Y2</v>
      </c>
      <c r="E878" s="1" t="str">
        <f>"28"</f>
        <v>28</v>
      </c>
      <c r="F878" s="1" t="str">
        <f t="shared" si="568"/>
        <v>BONIS SPA</v>
      </c>
      <c r="G878" s="1" t="str">
        <f t="shared" si="556"/>
        <v>STOCK SCAFFALE MP</v>
      </c>
      <c r="H878" s="1" t="str">
        <f t="shared" ref="H878:H886" si="592">"SKBL"</f>
        <v>SKBL</v>
      </c>
      <c r="K878" s="1">
        <v>3</v>
      </c>
      <c r="L878" s="1" t="str">
        <f t="shared" si="569"/>
        <v>01</v>
      </c>
      <c r="M878" s="1" t="str">
        <f t="shared" si="557"/>
        <v>408</v>
      </c>
      <c r="N878" s="1" t="str">
        <f t="shared" si="586"/>
        <v>006</v>
      </c>
      <c r="O878" s="1" t="str">
        <f t="shared" si="570"/>
        <v>00</v>
      </c>
      <c r="P878" s="1" t="str">
        <f t="shared" si="571"/>
        <v>S</v>
      </c>
      <c r="Q878" s="1" t="str">
        <f t="shared" si="572"/>
        <v>P</v>
      </c>
      <c r="R878" s="1" t="str">
        <f t="shared" si="573"/>
        <v>01</v>
      </c>
      <c r="S878" s="1" t="str">
        <f t="shared" si="558"/>
        <v>04</v>
      </c>
      <c r="T878" s="1" t="str">
        <f t="shared" si="574"/>
        <v>False</v>
      </c>
      <c r="U878" s="1" t="str">
        <f t="shared" si="575"/>
        <v>True</v>
      </c>
      <c r="V878" s="1" t="str">
        <f t="shared" ref="V878:V886" si="593">"U0032687"</f>
        <v>U0032687</v>
      </c>
      <c r="W878" s="1">
        <v>1</v>
      </c>
      <c r="Y878" s="1">
        <v>0</v>
      </c>
      <c r="Z878" s="1">
        <v>0</v>
      </c>
      <c r="AI878" s="1" t="str">
        <f t="shared" si="587"/>
        <v>F10</v>
      </c>
      <c r="AJ878" s="1" t="str">
        <f t="shared" si="588"/>
        <v>KID</v>
      </c>
      <c r="AK878" s="1" t="str">
        <f t="shared" si="576"/>
        <v>PA</v>
      </c>
      <c r="AP878" s="1" t="str">
        <f t="shared" si="577"/>
        <v>False</v>
      </c>
      <c r="AR878" s="1" t="str">
        <f t="shared" si="589"/>
        <v>EBONY</v>
      </c>
      <c r="AY878" s="1" t="str">
        <f t="shared" si="578"/>
        <v>PF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 t="str">
        <f t="shared" si="590"/>
        <v>A EVA TOMAIA SYNTHETIC GLITTER</v>
      </c>
      <c r="BF878" s="1" t="str">
        <f t="shared" si="579"/>
        <v>Bonis SpA</v>
      </c>
    </row>
    <row r="879" spans="2:58" x14ac:dyDescent="0.25">
      <c r="B879" s="1">
        <v>2473</v>
      </c>
      <c r="C879" s="1" t="str">
        <f t="shared" si="585"/>
        <v>EBONY4175S7/Y2</v>
      </c>
      <c r="E879" s="1" t="str">
        <f>"32"</f>
        <v>32</v>
      </c>
      <c r="F879" s="1" t="str">
        <f t="shared" si="568"/>
        <v>BONIS SPA</v>
      </c>
      <c r="G879" s="1" t="str">
        <f t="shared" si="556"/>
        <v>STOCK SCAFFALE MP</v>
      </c>
      <c r="H879" s="1" t="str">
        <f t="shared" si="592"/>
        <v>SKBL</v>
      </c>
      <c r="K879" s="1">
        <v>2</v>
      </c>
      <c r="L879" s="1" t="str">
        <f t="shared" si="569"/>
        <v>01</v>
      </c>
      <c r="M879" s="1" t="str">
        <f t="shared" si="557"/>
        <v>408</v>
      </c>
      <c r="N879" s="1" t="str">
        <f t="shared" si="586"/>
        <v>006</v>
      </c>
      <c r="O879" s="1" t="str">
        <f t="shared" si="570"/>
        <v>00</v>
      </c>
      <c r="P879" s="1" t="str">
        <f t="shared" si="571"/>
        <v>S</v>
      </c>
      <c r="Q879" s="1" t="str">
        <f t="shared" si="572"/>
        <v>P</v>
      </c>
      <c r="R879" s="1" t="str">
        <f t="shared" si="573"/>
        <v>01</v>
      </c>
      <c r="S879" s="1" t="str">
        <f t="shared" si="558"/>
        <v>04</v>
      </c>
      <c r="T879" s="1" t="str">
        <f t="shared" si="574"/>
        <v>False</v>
      </c>
      <c r="U879" s="1" t="str">
        <f t="shared" si="575"/>
        <v>True</v>
      </c>
      <c r="V879" s="1" t="str">
        <f t="shared" si="593"/>
        <v>U0032687</v>
      </c>
      <c r="W879" s="1">
        <v>1</v>
      </c>
      <c r="Y879" s="1">
        <v>0</v>
      </c>
      <c r="Z879" s="1">
        <v>0</v>
      </c>
      <c r="AI879" s="1" t="str">
        <f t="shared" si="587"/>
        <v>F10</v>
      </c>
      <c r="AJ879" s="1" t="str">
        <f t="shared" si="588"/>
        <v>KID</v>
      </c>
      <c r="AK879" s="1" t="str">
        <f t="shared" si="576"/>
        <v>PA</v>
      </c>
      <c r="AP879" s="1" t="str">
        <f t="shared" si="577"/>
        <v>False</v>
      </c>
      <c r="AR879" s="1" t="str">
        <f t="shared" si="589"/>
        <v>EBONY</v>
      </c>
      <c r="AY879" s="1" t="str">
        <f t="shared" si="578"/>
        <v>PF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 t="str">
        <f t="shared" si="590"/>
        <v>A EVA TOMAIA SYNTHETIC GLITTER</v>
      </c>
      <c r="BF879" s="1" t="str">
        <f t="shared" si="579"/>
        <v>Bonis SpA</v>
      </c>
    </row>
    <row r="880" spans="2:58" x14ac:dyDescent="0.25">
      <c r="B880" s="1">
        <v>2473</v>
      </c>
      <c r="C880" s="1" t="str">
        <f t="shared" si="585"/>
        <v>EBONY4175S7/Y2</v>
      </c>
      <c r="E880" s="1" t="str">
        <f>"35"</f>
        <v>35</v>
      </c>
      <c r="F880" s="1" t="str">
        <f t="shared" si="568"/>
        <v>BONIS SPA</v>
      </c>
      <c r="G880" s="1" t="str">
        <f t="shared" ref="G880:G943" si="594">"STOCK SCAFFALE MP"</f>
        <v>STOCK SCAFFALE MP</v>
      </c>
      <c r="H880" s="1" t="str">
        <f t="shared" si="592"/>
        <v>SKBL</v>
      </c>
      <c r="K880" s="1">
        <v>1</v>
      </c>
      <c r="L880" s="1" t="str">
        <f t="shared" si="569"/>
        <v>01</v>
      </c>
      <c r="M880" s="1" t="str">
        <f t="shared" ref="M880:M943" si="595">"408"</f>
        <v>408</v>
      </c>
      <c r="N880" s="1" t="str">
        <f t="shared" si="586"/>
        <v>006</v>
      </c>
      <c r="O880" s="1" t="str">
        <f t="shared" si="570"/>
        <v>00</v>
      </c>
      <c r="P880" s="1" t="str">
        <f t="shared" si="571"/>
        <v>S</v>
      </c>
      <c r="Q880" s="1" t="str">
        <f t="shared" si="572"/>
        <v>P</v>
      </c>
      <c r="R880" s="1" t="str">
        <f t="shared" si="573"/>
        <v>01</v>
      </c>
      <c r="S880" s="1" t="str">
        <f t="shared" ref="S880:S943" si="596">"04"</f>
        <v>04</v>
      </c>
      <c r="T880" s="1" t="str">
        <f t="shared" si="574"/>
        <v>False</v>
      </c>
      <c r="U880" s="1" t="str">
        <f t="shared" si="575"/>
        <v>True</v>
      </c>
      <c r="V880" s="1" t="str">
        <f t="shared" si="593"/>
        <v>U0032687</v>
      </c>
      <c r="W880" s="1">
        <v>1</v>
      </c>
      <c r="Y880" s="1">
        <v>0</v>
      </c>
      <c r="Z880" s="1">
        <v>0</v>
      </c>
      <c r="AI880" s="1" t="str">
        <f t="shared" si="587"/>
        <v>F10</v>
      </c>
      <c r="AJ880" s="1" t="str">
        <f t="shared" si="588"/>
        <v>KID</v>
      </c>
      <c r="AK880" s="1" t="str">
        <f t="shared" si="576"/>
        <v>PA</v>
      </c>
      <c r="AP880" s="1" t="str">
        <f t="shared" si="577"/>
        <v>False</v>
      </c>
      <c r="AR880" s="1" t="str">
        <f t="shared" si="589"/>
        <v>EBONY</v>
      </c>
      <c r="AY880" s="1" t="str">
        <f t="shared" si="578"/>
        <v>PF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 t="str">
        <f t="shared" si="590"/>
        <v>A EVA TOMAIA SYNTHETIC GLITTER</v>
      </c>
      <c r="BF880" s="1" t="str">
        <f t="shared" si="579"/>
        <v>Bonis SpA</v>
      </c>
    </row>
    <row r="881" spans="2:58" x14ac:dyDescent="0.25">
      <c r="B881" s="1">
        <v>2473</v>
      </c>
      <c r="C881" s="1" t="str">
        <f t="shared" si="585"/>
        <v>EBONY4175S7/Y2</v>
      </c>
      <c r="E881" s="1" t="str">
        <f>"29"</f>
        <v>29</v>
      </c>
      <c r="F881" s="1" t="str">
        <f t="shared" si="568"/>
        <v>BONIS SPA</v>
      </c>
      <c r="G881" s="1" t="str">
        <f t="shared" si="594"/>
        <v>STOCK SCAFFALE MP</v>
      </c>
      <c r="H881" s="1" t="str">
        <f t="shared" si="592"/>
        <v>SKBL</v>
      </c>
      <c r="K881" s="1">
        <v>3</v>
      </c>
      <c r="L881" s="1" t="str">
        <f t="shared" si="569"/>
        <v>01</v>
      </c>
      <c r="M881" s="1" t="str">
        <f t="shared" si="595"/>
        <v>408</v>
      </c>
      <c r="N881" s="1" t="str">
        <f t="shared" si="586"/>
        <v>006</v>
      </c>
      <c r="O881" s="1" t="str">
        <f t="shared" si="570"/>
        <v>00</v>
      </c>
      <c r="P881" s="1" t="str">
        <f t="shared" si="571"/>
        <v>S</v>
      </c>
      <c r="Q881" s="1" t="str">
        <f t="shared" si="572"/>
        <v>P</v>
      </c>
      <c r="R881" s="1" t="str">
        <f t="shared" si="573"/>
        <v>01</v>
      </c>
      <c r="S881" s="1" t="str">
        <f t="shared" si="596"/>
        <v>04</v>
      </c>
      <c r="T881" s="1" t="str">
        <f t="shared" si="574"/>
        <v>False</v>
      </c>
      <c r="U881" s="1" t="str">
        <f t="shared" si="575"/>
        <v>True</v>
      </c>
      <c r="V881" s="1" t="str">
        <f t="shared" si="593"/>
        <v>U0032687</v>
      </c>
      <c r="W881" s="1">
        <v>1</v>
      </c>
      <c r="Y881" s="1">
        <v>0</v>
      </c>
      <c r="Z881" s="1">
        <v>0</v>
      </c>
      <c r="AI881" s="1" t="str">
        <f t="shared" si="587"/>
        <v>F10</v>
      </c>
      <c r="AJ881" s="1" t="str">
        <f t="shared" si="588"/>
        <v>KID</v>
      </c>
      <c r="AK881" s="1" t="str">
        <f t="shared" si="576"/>
        <v>PA</v>
      </c>
      <c r="AP881" s="1" t="str">
        <f t="shared" si="577"/>
        <v>False</v>
      </c>
      <c r="AR881" s="1" t="str">
        <f t="shared" si="589"/>
        <v>EBONY</v>
      </c>
      <c r="AY881" s="1" t="str">
        <f t="shared" si="578"/>
        <v>PF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 t="str">
        <f t="shared" si="590"/>
        <v>A EVA TOMAIA SYNTHETIC GLITTER</v>
      </c>
      <c r="BF881" s="1" t="str">
        <f t="shared" si="579"/>
        <v>Bonis SpA</v>
      </c>
    </row>
    <row r="882" spans="2:58" x14ac:dyDescent="0.25">
      <c r="B882" s="1">
        <v>2473</v>
      </c>
      <c r="C882" s="1" t="str">
        <f t="shared" si="585"/>
        <v>EBONY4175S7/Y2</v>
      </c>
      <c r="E882" s="1" t="str">
        <f>"33"</f>
        <v>33</v>
      </c>
      <c r="F882" s="1" t="str">
        <f t="shared" si="568"/>
        <v>BONIS SPA</v>
      </c>
      <c r="G882" s="1" t="str">
        <f t="shared" si="594"/>
        <v>STOCK SCAFFALE MP</v>
      </c>
      <c r="H882" s="1" t="str">
        <f t="shared" si="592"/>
        <v>SKBL</v>
      </c>
      <c r="K882" s="1">
        <v>1</v>
      </c>
      <c r="L882" s="1" t="str">
        <f t="shared" si="569"/>
        <v>01</v>
      </c>
      <c r="M882" s="1" t="str">
        <f t="shared" si="595"/>
        <v>408</v>
      </c>
      <c r="N882" s="1" t="str">
        <f t="shared" si="586"/>
        <v>006</v>
      </c>
      <c r="O882" s="1" t="str">
        <f t="shared" si="570"/>
        <v>00</v>
      </c>
      <c r="P882" s="1" t="str">
        <f t="shared" si="571"/>
        <v>S</v>
      </c>
      <c r="Q882" s="1" t="str">
        <f t="shared" si="572"/>
        <v>P</v>
      </c>
      <c r="R882" s="1" t="str">
        <f t="shared" si="573"/>
        <v>01</v>
      </c>
      <c r="S882" s="1" t="str">
        <f t="shared" si="596"/>
        <v>04</v>
      </c>
      <c r="T882" s="1" t="str">
        <f t="shared" si="574"/>
        <v>False</v>
      </c>
      <c r="U882" s="1" t="str">
        <f t="shared" si="575"/>
        <v>True</v>
      </c>
      <c r="V882" s="1" t="str">
        <f t="shared" si="593"/>
        <v>U0032687</v>
      </c>
      <c r="W882" s="1">
        <v>1</v>
      </c>
      <c r="Y882" s="1">
        <v>0</v>
      </c>
      <c r="Z882" s="1">
        <v>0</v>
      </c>
      <c r="AI882" s="1" t="str">
        <f t="shared" si="587"/>
        <v>F10</v>
      </c>
      <c r="AJ882" s="1" t="str">
        <f t="shared" si="588"/>
        <v>KID</v>
      </c>
      <c r="AK882" s="1" t="str">
        <f t="shared" si="576"/>
        <v>PA</v>
      </c>
      <c r="AP882" s="1" t="str">
        <f t="shared" si="577"/>
        <v>False</v>
      </c>
      <c r="AR882" s="1" t="str">
        <f t="shared" si="589"/>
        <v>EBONY</v>
      </c>
      <c r="AY882" s="1" t="str">
        <f t="shared" si="578"/>
        <v>PF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 t="str">
        <f t="shared" si="590"/>
        <v>A EVA TOMAIA SYNTHETIC GLITTER</v>
      </c>
      <c r="BF882" s="1" t="str">
        <f t="shared" si="579"/>
        <v>Bonis SpA</v>
      </c>
    </row>
    <row r="883" spans="2:58" x14ac:dyDescent="0.25">
      <c r="B883" s="1">
        <v>2473</v>
      </c>
      <c r="C883" s="1" t="str">
        <f t="shared" si="585"/>
        <v>EBONY4175S7/Y2</v>
      </c>
      <c r="E883" s="1" t="str">
        <f>"30"</f>
        <v>30</v>
      </c>
      <c r="F883" s="1" t="str">
        <f t="shared" si="568"/>
        <v>BONIS SPA</v>
      </c>
      <c r="G883" s="1" t="str">
        <f t="shared" si="594"/>
        <v>STOCK SCAFFALE MP</v>
      </c>
      <c r="H883" s="1" t="str">
        <f t="shared" si="592"/>
        <v>SKBL</v>
      </c>
      <c r="K883" s="1">
        <v>3</v>
      </c>
      <c r="L883" s="1" t="str">
        <f t="shared" si="569"/>
        <v>01</v>
      </c>
      <c r="M883" s="1" t="str">
        <f t="shared" si="595"/>
        <v>408</v>
      </c>
      <c r="N883" s="1" t="str">
        <f t="shared" si="586"/>
        <v>006</v>
      </c>
      <c r="O883" s="1" t="str">
        <f t="shared" si="570"/>
        <v>00</v>
      </c>
      <c r="P883" s="1" t="str">
        <f t="shared" si="571"/>
        <v>S</v>
      </c>
      <c r="Q883" s="1" t="str">
        <f t="shared" si="572"/>
        <v>P</v>
      </c>
      <c r="R883" s="1" t="str">
        <f t="shared" si="573"/>
        <v>01</v>
      </c>
      <c r="S883" s="1" t="str">
        <f t="shared" si="596"/>
        <v>04</v>
      </c>
      <c r="T883" s="1" t="str">
        <f t="shared" si="574"/>
        <v>False</v>
      </c>
      <c r="U883" s="1" t="str">
        <f t="shared" si="575"/>
        <v>True</v>
      </c>
      <c r="V883" s="1" t="str">
        <f t="shared" si="593"/>
        <v>U0032687</v>
      </c>
      <c r="W883" s="1">
        <v>1</v>
      </c>
      <c r="Y883" s="1">
        <v>0</v>
      </c>
      <c r="Z883" s="1">
        <v>0</v>
      </c>
      <c r="AI883" s="1" t="str">
        <f t="shared" si="587"/>
        <v>F10</v>
      </c>
      <c r="AJ883" s="1" t="str">
        <f t="shared" si="588"/>
        <v>KID</v>
      </c>
      <c r="AK883" s="1" t="str">
        <f t="shared" si="576"/>
        <v>PA</v>
      </c>
      <c r="AP883" s="1" t="str">
        <f t="shared" si="577"/>
        <v>False</v>
      </c>
      <c r="AR883" s="1" t="str">
        <f t="shared" si="589"/>
        <v>EBONY</v>
      </c>
      <c r="AY883" s="1" t="str">
        <f t="shared" si="578"/>
        <v>PF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 t="str">
        <f t="shared" si="590"/>
        <v>A EVA TOMAIA SYNTHETIC GLITTER</v>
      </c>
      <c r="BF883" s="1" t="str">
        <f t="shared" si="579"/>
        <v>Bonis SpA</v>
      </c>
    </row>
    <row r="884" spans="2:58" x14ac:dyDescent="0.25">
      <c r="B884" s="1">
        <v>2473</v>
      </c>
      <c r="C884" s="1" t="str">
        <f t="shared" si="585"/>
        <v>EBONY4175S7/Y2</v>
      </c>
      <c r="E884" s="1" t="str">
        <f>"31"</f>
        <v>31</v>
      </c>
      <c r="F884" s="1" t="str">
        <f t="shared" si="568"/>
        <v>BONIS SPA</v>
      </c>
      <c r="G884" s="1" t="str">
        <f t="shared" si="594"/>
        <v>STOCK SCAFFALE MP</v>
      </c>
      <c r="H884" s="1" t="str">
        <f t="shared" si="592"/>
        <v>SKBL</v>
      </c>
      <c r="K884" s="1">
        <v>3</v>
      </c>
      <c r="L884" s="1" t="str">
        <f t="shared" si="569"/>
        <v>01</v>
      </c>
      <c r="M884" s="1" t="str">
        <f t="shared" si="595"/>
        <v>408</v>
      </c>
      <c r="N884" s="1" t="str">
        <f t="shared" si="586"/>
        <v>006</v>
      </c>
      <c r="O884" s="1" t="str">
        <f t="shared" si="570"/>
        <v>00</v>
      </c>
      <c r="P884" s="1" t="str">
        <f t="shared" si="571"/>
        <v>S</v>
      </c>
      <c r="Q884" s="1" t="str">
        <f t="shared" si="572"/>
        <v>P</v>
      </c>
      <c r="R884" s="1" t="str">
        <f t="shared" si="573"/>
        <v>01</v>
      </c>
      <c r="S884" s="1" t="str">
        <f t="shared" si="596"/>
        <v>04</v>
      </c>
      <c r="T884" s="1" t="str">
        <f t="shared" si="574"/>
        <v>False</v>
      </c>
      <c r="U884" s="1" t="str">
        <f t="shared" si="575"/>
        <v>True</v>
      </c>
      <c r="V884" s="1" t="str">
        <f t="shared" si="593"/>
        <v>U0032687</v>
      </c>
      <c r="W884" s="1">
        <v>1</v>
      </c>
      <c r="Y884" s="1">
        <v>0</v>
      </c>
      <c r="Z884" s="1">
        <v>0</v>
      </c>
      <c r="AI884" s="1" t="str">
        <f t="shared" si="587"/>
        <v>F10</v>
      </c>
      <c r="AJ884" s="1" t="str">
        <f t="shared" si="588"/>
        <v>KID</v>
      </c>
      <c r="AK884" s="1" t="str">
        <f t="shared" si="576"/>
        <v>PA</v>
      </c>
      <c r="AP884" s="1" t="str">
        <f t="shared" si="577"/>
        <v>False</v>
      </c>
      <c r="AR884" s="1" t="str">
        <f t="shared" si="589"/>
        <v>EBONY</v>
      </c>
      <c r="AY884" s="1" t="str">
        <f t="shared" si="578"/>
        <v>PF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 t="str">
        <f t="shared" si="590"/>
        <v>A EVA TOMAIA SYNTHETIC GLITTER</v>
      </c>
      <c r="BF884" s="1" t="str">
        <f t="shared" si="579"/>
        <v>Bonis SpA</v>
      </c>
    </row>
    <row r="885" spans="2:58" x14ac:dyDescent="0.25">
      <c r="B885" s="1">
        <v>2473</v>
      </c>
      <c r="C885" s="1" t="str">
        <f t="shared" si="585"/>
        <v>EBONY4175S7/Y2</v>
      </c>
      <c r="E885" s="1" t="str">
        <f>"34"</f>
        <v>34</v>
      </c>
      <c r="F885" s="1" t="str">
        <f t="shared" si="568"/>
        <v>BONIS SPA</v>
      </c>
      <c r="G885" s="1" t="str">
        <f t="shared" si="594"/>
        <v>STOCK SCAFFALE MP</v>
      </c>
      <c r="H885" s="1" t="str">
        <f t="shared" si="592"/>
        <v>SKBL</v>
      </c>
      <c r="K885" s="1">
        <v>2</v>
      </c>
      <c r="L885" s="1" t="str">
        <f t="shared" si="569"/>
        <v>01</v>
      </c>
      <c r="M885" s="1" t="str">
        <f t="shared" si="595"/>
        <v>408</v>
      </c>
      <c r="N885" s="1" t="str">
        <f t="shared" si="586"/>
        <v>006</v>
      </c>
      <c r="O885" s="1" t="str">
        <f t="shared" si="570"/>
        <v>00</v>
      </c>
      <c r="P885" s="1" t="str">
        <f t="shared" si="571"/>
        <v>S</v>
      </c>
      <c r="Q885" s="1" t="str">
        <f t="shared" si="572"/>
        <v>P</v>
      </c>
      <c r="R885" s="1" t="str">
        <f t="shared" si="573"/>
        <v>01</v>
      </c>
      <c r="S885" s="1" t="str">
        <f t="shared" si="596"/>
        <v>04</v>
      </c>
      <c r="T885" s="1" t="str">
        <f t="shared" si="574"/>
        <v>False</v>
      </c>
      <c r="U885" s="1" t="str">
        <f t="shared" si="575"/>
        <v>True</v>
      </c>
      <c r="V885" s="1" t="str">
        <f t="shared" si="593"/>
        <v>U0032687</v>
      </c>
      <c r="W885" s="1">
        <v>1</v>
      </c>
      <c r="Y885" s="1">
        <v>0</v>
      </c>
      <c r="Z885" s="1">
        <v>0</v>
      </c>
      <c r="AI885" s="1" t="str">
        <f t="shared" si="587"/>
        <v>F10</v>
      </c>
      <c r="AJ885" s="1" t="str">
        <f t="shared" si="588"/>
        <v>KID</v>
      </c>
      <c r="AK885" s="1" t="str">
        <f t="shared" si="576"/>
        <v>PA</v>
      </c>
      <c r="AP885" s="1" t="str">
        <f t="shared" si="577"/>
        <v>False</v>
      </c>
      <c r="AR885" s="1" t="str">
        <f t="shared" si="589"/>
        <v>EBONY</v>
      </c>
      <c r="AY885" s="1" t="str">
        <f t="shared" si="578"/>
        <v>PF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 t="str">
        <f t="shared" si="590"/>
        <v>A EVA TOMAIA SYNTHETIC GLITTER</v>
      </c>
      <c r="BF885" s="1" t="str">
        <f t="shared" si="579"/>
        <v>Bonis SpA</v>
      </c>
    </row>
    <row r="886" spans="2:58" x14ac:dyDescent="0.25">
      <c r="B886" s="1">
        <v>2473</v>
      </c>
      <c r="C886" s="1" t="str">
        <f t="shared" si="585"/>
        <v>EBONY4175S7/Y2</v>
      </c>
      <c r="E886" s="1" t="str">
        <f>"36"</f>
        <v>36</v>
      </c>
      <c r="F886" s="1" t="str">
        <f t="shared" si="568"/>
        <v>BONIS SPA</v>
      </c>
      <c r="G886" s="1" t="str">
        <f t="shared" si="594"/>
        <v>STOCK SCAFFALE MP</v>
      </c>
      <c r="H886" s="1" t="str">
        <f t="shared" si="592"/>
        <v>SKBL</v>
      </c>
      <c r="K886" s="1">
        <v>1</v>
      </c>
      <c r="L886" s="1" t="str">
        <f t="shared" si="569"/>
        <v>01</v>
      </c>
      <c r="M886" s="1" t="str">
        <f t="shared" si="595"/>
        <v>408</v>
      </c>
      <c r="N886" s="1" t="str">
        <f t="shared" si="586"/>
        <v>006</v>
      </c>
      <c r="O886" s="1" t="str">
        <f t="shared" si="570"/>
        <v>00</v>
      </c>
      <c r="P886" s="1" t="str">
        <f t="shared" si="571"/>
        <v>S</v>
      </c>
      <c r="Q886" s="1" t="str">
        <f t="shared" si="572"/>
        <v>P</v>
      </c>
      <c r="R886" s="1" t="str">
        <f t="shared" si="573"/>
        <v>01</v>
      </c>
      <c r="S886" s="1" t="str">
        <f t="shared" si="596"/>
        <v>04</v>
      </c>
      <c r="T886" s="1" t="str">
        <f t="shared" si="574"/>
        <v>False</v>
      </c>
      <c r="U886" s="1" t="str">
        <f t="shared" si="575"/>
        <v>True</v>
      </c>
      <c r="V886" s="1" t="str">
        <f t="shared" si="593"/>
        <v>U0032687</v>
      </c>
      <c r="W886" s="1">
        <v>1</v>
      </c>
      <c r="Y886" s="1">
        <v>0</v>
      </c>
      <c r="Z886" s="1">
        <v>0</v>
      </c>
      <c r="AI886" s="1" t="str">
        <f t="shared" si="587"/>
        <v>F10</v>
      </c>
      <c r="AJ886" s="1" t="str">
        <f t="shared" si="588"/>
        <v>KID</v>
      </c>
      <c r="AK886" s="1" t="str">
        <f t="shared" si="576"/>
        <v>PA</v>
      </c>
      <c r="AP886" s="1" t="str">
        <f t="shared" si="577"/>
        <v>False</v>
      </c>
      <c r="AR886" s="1" t="str">
        <f t="shared" si="589"/>
        <v>EBONY</v>
      </c>
      <c r="AY886" s="1" t="str">
        <f t="shared" si="578"/>
        <v>PF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 t="str">
        <f t="shared" si="590"/>
        <v>A EVA TOMAIA SYNTHETIC GLITTER</v>
      </c>
      <c r="BF886" s="1" t="str">
        <f t="shared" si="579"/>
        <v>Bonis SpA</v>
      </c>
    </row>
    <row r="887" spans="2:58" x14ac:dyDescent="0.25">
      <c r="B887" s="1">
        <v>2473</v>
      </c>
      <c r="C887" s="1" t="str">
        <f t="shared" si="585"/>
        <v>EBONY4175S7/Y2</v>
      </c>
      <c r="E887" s="1" t="str">
        <f>"33"</f>
        <v>33</v>
      </c>
      <c r="F887" s="1" t="str">
        <f t="shared" si="568"/>
        <v>BONIS SPA</v>
      </c>
      <c r="G887" s="1" t="str">
        <f t="shared" si="594"/>
        <v>STOCK SCAFFALE MP</v>
      </c>
      <c r="H887" s="1" t="str">
        <f>"SIL"</f>
        <v>SIL</v>
      </c>
      <c r="K887" s="1">
        <v>2</v>
      </c>
      <c r="L887" s="1" t="str">
        <f t="shared" si="569"/>
        <v>01</v>
      </c>
      <c r="M887" s="1" t="str">
        <f t="shared" si="595"/>
        <v>408</v>
      </c>
      <c r="N887" s="1" t="str">
        <f t="shared" si="586"/>
        <v>006</v>
      </c>
      <c r="O887" s="1" t="str">
        <f t="shared" si="570"/>
        <v>00</v>
      </c>
      <c r="P887" s="1" t="str">
        <f t="shared" si="571"/>
        <v>S</v>
      </c>
      <c r="Q887" s="1" t="str">
        <f t="shared" si="572"/>
        <v>P</v>
      </c>
      <c r="R887" s="1" t="str">
        <f t="shared" si="573"/>
        <v>01</v>
      </c>
      <c r="S887" s="1" t="str">
        <f t="shared" si="596"/>
        <v>04</v>
      </c>
      <c r="T887" s="1" t="str">
        <f t="shared" si="574"/>
        <v>False</v>
      </c>
      <c r="U887" s="1" t="str">
        <f t="shared" si="575"/>
        <v>True</v>
      </c>
      <c r="V887" s="1" t="str">
        <f t="shared" ref="V887:V896" si="597">"U0032686"</f>
        <v>U0032686</v>
      </c>
      <c r="W887" s="1">
        <v>1</v>
      </c>
      <c r="Y887" s="1">
        <v>0</v>
      </c>
      <c r="Z887" s="1">
        <v>0</v>
      </c>
      <c r="AI887" s="1" t="str">
        <f t="shared" si="587"/>
        <v>F10</v>
      </c>
      <c r="AJ887" s="1" t="str">
        <f t="shared" si="588"/>
        <v>KID</v>
      </c>
      <c r="AK887" s="1" t="str">
        <f t="shared" si="576"/>
        <v>PA</v>
      </c>
      <c r="AP887" s="1" t="str">
        <f t="shared" si="577"/>
        <v>False</v>
      </c>
      <c r="AR887" s="1" t="str">
        <f t="shared" si="589"/>
        <v>EBONY</v>
      </c>
      <c r="AY887" s="1" t="str">
        <f t="shared" si="578"/>
        <v>PF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 t="str">
        <f t="shared" si="590"/>
        <v>A EVA TOMAIA SYNTHETIC GLITTER</v>
      </c>
      <c r="BF887" s="1" t="str">
        <f t="shared" si="579"/>
        <v>Bonis SpA</v>
      </c>
    </row>
    <row r="888" spans="2:58" x14ac:dyDescent="0.25">
      <c r="B888" s="1">
        <v>2473</v>
      </c>
      <c r="C888" s="1" t="str">
        <f t="shared" si="585"/>
        <v>EBONY4175S7/Y2</v>
      </c>
      <c r="E888" s="1" t="str">
        <f>"31"</f>
        <v>31</v>
      </c>
      <c r="F888" s="1" t="str">
        <f t="shared" si="568"/>
        <v>BONIS SPA</v>
      </c>
      <c r="G888" s="1" t="str">
        <f t="shared" si="594"/>
        <v>STOCK SCAFFALE MP</v>
      </c>
      <c r="H888" s="1" t="str">
        <f t="shared" ref="H888:H916" si="598">"SKBL"</f>
        <v>SKBL</v>
      </c>
      <c r="K888" s="1">
        <v>1</v>
      </c>
      <c r="L888" s="1" t="str">
        <f t="shared" si="569"/>
        <v>01</v>
      </c>
      <c r="M888" s="1" t="str">
        <f t="shared" si="595"/>
        <v>408</v>
      </c>
      <c r="N888" s="1" t="str">
        <f t="shared" si="586"/>
        <v>006</v>
      </c>
      <c r="O888" s="1" t="str">
        <f t="shared" si="570"/>
        <v>00</v>
      </c>
      <c r="P888" s="1" t="str">
        <f t="shared" si="571"/>
        <v>S</v>
      </c>
      <c r="Q888" s="1" t="str">
        <f t="shared" si="572"/>
        <v>P</v>
      </c>
      <c r="R888" s="1" t="str">
        <f t="shared" si="573"/>
        <v>01</v>
      </c>
      <c r="S888" s="1" t="str">
        <f t="shared" si="596"/>
        <v>04</v>
      </c>
      <c r="T888" s="1" t="str">
        <f t="shared" si="574"/>
        <v>False</v>
      </c>
      <c r="U888" s="1" t="str">
        <f t="shared" si="575"/>
        <v>True</v>
      </c>
      <c r="V888" s="1" t="str">
        <f t="shared" si="597"/>
        <v>U0032686</v>
      </c>
      <c r="W888" s="1">
        <v>1</v>
      </c>
      <c r="Y888" s="1">
        <v>0</v>
      </c>
      <c r="Z888" s="1">
        <v>0</v>
      </c>
      <c r="AI888" s="1" t="str">
        <f t="shared" si="587"/>
        <v>F10</v>
      </c>
      <c r="AJ888" s="1" t="str">
        <f t="shared" si="588"/>
        <v>KID</v>
      </c>
      <c r="AK888" s="1" t="str">
        <f t="shared" si="576"/>
        <v>PA</v>
      </c>
      <c r="AP888" s="1" t="str">
        <f t="shared" si="577"/>
        <v>False</v>
      </c>
      <c r="AR888" s="1" t="str">
        <f t="shared" si="589"/>
        <v>EBONY</v>
      </c>
      <c r="AY888" s="1" t="str">
        <f t="shared" si="578"/>
        <v>PF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 t="str">
        <f t="shared" si="590"/>
        <v>A EVA TOMAIA SYNTHETIC GLITTER</v>
      </c>
      <c r="BF888" s="1" t="str">
        <f t="shared" si="579"/>
        <v>Bonis SpA</v>
      </c>
    </row>
    <row r="889" spans="2:58" x14ac:dyDescent="0.25">
      <c r="B889" s="1">
        <v>2473</v>
      </c>
      <c r="C889" s="1" t="str">
        <f t="shared" si="585"/>
        <v>EBONY4175S7/Y2</v>
      </c>
      <c r="E889" s="1" t="str">
        <f>"35"</f>
        <v>35</v>
      </c>
      <c r="F889" s="1" t="str">
        <f t="shared" si="568"/>
        <v>BONIS SPA</v>
      </c>
      <c r="G889" s="1" t="str">
        <f t="shared" si="594"/>
        <v>STOCK SCAFFALE MP</v>
      </c>
      <c r="H889" s="1" t="str">
        <f t="shared" si="598"/>
        <v>SKBL</v>
      </c>
      <c r="K889" s="1">
        <v>2</v>
      </c>
      <c r="L889" s="1" t="str">
        <f t="shared" si="569"/>
        <v>01</v>
      </c>
      <c r="M889" s="1" t="str">
        <f t="shared" si="595"/>
        <v>408</v>
      </c>
      <c r="N889" s="1" t="str">
        <f t="shared" si="586"/>
        <v>006</v>
      </c>
      <c r="O889" s="1" t="str">
        <f t="shared" si="570"/>
        <v>00</v>
      </c>
      <c r="P889" s="1" t="str">
        <f t="shared" si="571"/>
        <v>S</v>
      </c>
      <c r="Q889" s="1" t="str">
        <f t="shared" si="572"/>
        <v>P</v>
      </c>
      <c r="R889" s="1" t="str">
        <f t="shared" si="573"/>
        <v>01</v>
      </c>
      <c r="S889" s="1" t="str">
        <f t="shared" si="596"/>
        <v>04</v>
      </c>
      <c r="T889" s="1" t="str">
        <f t="shared" si="574"/>
        <v>False</v>
      </c>
      <c r="U889" s="1" t="str">
        <f t="shared" si="575"/>
        <v>True</v>
      </c>
      <c r="V889" s="1" t="str">
        <f t="shared" si="597"/>
        <v>U0032686</v>
      </c>
      <c r="W889" s="1">
        <v>1</v>
      </c>
      <c r="Y889" s="1">
        <v>0</v>
      </c>
      <c r="Z889" s="1">
        <v>0</v>
      </c>
      <c r="AI889" s="1" t="str">
        <f t="shared" si="587"/>
        <v>F10</v>
      </c>
      <c r="AJ889" s="1" t="str">
        <f t="shared" si="588"/>
        <v>KID</v>
      </c>
      <c r="AK889" s="1" t="str">
        <f t="shared" si="576"/>
        <v>PA</v>
      </c>
      <c r="AP889" s="1" t="str">
        <f t="shared" si="577"/>
        <v>False</v>
      </c>
      <c r="AR889" s="1" t="str">
        <f t="shared" si="589"/>
        <v>EBONY</v>
      </c>
      <c r="AY889" s="1" t="str">
        <f t="shared" si="578"/>
        <v>PF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 t="str">
        <f t="shared" si="590"/>
        <v>A EVA TOMAIA SYNTHETIC GLITTER</v>
      </c>
      <c r="BF889" s="1" t="str">
        <f t="shared" si="579"/>
        <v>Bonis SpA</v>
      </c>
    </row>
    <row r="890" spans="2:58" x14ac:dyDescent="0.25">
      <c r="B890" s="1">
        <v>2473</v>
      </c>
      <c r="C890" s="1" t="str">
        <f t="shared" si="585"/>
        <v>EBONY4175S7/Y2</v>
      </c>
      <c r="E890" s="1" t="str">
        <f>"34"</f>
        <v>34</v>
      </c>
      <c r="F890" s="1" t="str">
        <f t="shared" si="568"/>
        <v>BONIS SPA</v>
      </c>
      <c r="G890" s="1" t="str">
        <f t="shared" si="594"/>
        <v>STOCK SCAFFALE MP</v>
      </c>
      <c r="H890" s="1" t="str">
        <f t="shared" si="598"/>
        <v>SKBL</v>
      </c>
      <c r="K890" s="1">
        <v>1</v>
      </c>
      <c r="L890" s="1" t="str">
        <f t="shared" si="569"/>
        <v>01</v>
      </c>
      <c r="M890" s="1" t="str">
        <f t="shared" si="595"/>
        <v>408</v>
      </c>
      <c r="N890" s="1" t="str">
        <f t="shared" si="586"/>
        <v>006</v>
      </c>
      <c r="O890" s="1" t="str">
        <f t="shared" si="570"/>
        <v>00</v>
      </c>
      <c r="P890" s="1" t="str">
        <f t="shared" si="571"/>
        <v>S</v>
      </c>
      <c r="Q890" s="1" t="str">
        <f t="shared" si="572"/>
        <v>P</v>
      </c>
      <c r="R890" s="1" t="str">
        <f t="shared" si="573"/>
        <v>01</v>
      </c>
      <c r="S890" s="1" t="str">
        <f t="shared" si="596"/>
        <v>04</v>
      </c>
      <c r="T890" s="1" t="str">
        <f t="shared" si="574"/>
        <v>False</v>
      </c>
      <c r="U890" s="1" t="str">
        <f t="shared" si="575"/>
        <v>True</v>
      </c>
      <c r="V890" s="1" t="str">
        <f t="shared" si="597"/>
        <v>U0032686</v>
      </c>
      <c r="W890" s="1">
        <v>1</v>
      </c>
      <c r="Y890" s="1">
        <v>0</v>
      </c>
      <c r="Z890" s="1">
        <v>0</v>
      </c>
      <c r="AI890" s="1" t="str">
        <f t="shared" si="587"/>
        <v>F10</v>
      </c>
      <c r="AJ890" s="1" t="str">
        <f t="shared" si="588"/>
        <v>KID</v>
      </c>
      <c r="AK890" s="1" t="str">
        <f t="shared" si="576"/>
        <v>PA</v>
      </c>
      <c r="AP890" s="1" t="str">
        <f t="shared" si="577"/>
        <v>False</v>
      </c>
      <c r="AR890" s="1" t="str">
        <f t="shared" si="589"/>
        <v>EBONY</v>
      </c>
      <c r="AY890" s="1" t="str">
        <f t="shared" si="578"/>
        <v>PF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 t="str">
        <f t="shared" si="590"/>
        <v>A EVA TOMAIA SYNTHETIC GLITTER</v>
      </c>
      <c r="BF890" s="1" t="str">
        <f t="shared" si="579"/>
        <v>Bonis SpA</v>
      </c>
    </row>
    <row r="891" spans="2:58" x14ac:dyDescent="0.25">
      <c r="B891" s="1">
        <v>2473</v>
      </c>
      <c r="C891" s="1" t="str">
        <f t="shared" si="585"/>
        <v>EBONY4175S7/Y2</v>
      </c>
      <c r="E891" s="1" t="str">
        <f>"37"</f>
        <v>37</v>
      </c>
      <c r="F891" s="1" t="str">
        <f t="shared" si="568"/>
        <v>BONIS SPA</v>
      </c>
      <c r="G891" s="1" t="str">
        <f t="shared" si="594"/>
        <v>STOCK SCAFFALE MP</v>
      </c>
      <c r="H891" s="1" t="str">
        <f t="shared" si="598"/>
        <v>SKBL</v>
      </c>
      <c r="K891" s="1">
        <v>1</v>
      </c>
      <c r="L891" s="1" t="str">
        <f t="shared" si="569"/>
        <v>01</v>
      </c>
      <c r="M891" s="1" t="str">
        <f t="shared" si="595"/>
        <v>408</v>
      </c>
      <c r="N891" s="1" t="str">
        <f t="shared" si="586"/>
        <v>006</v>
      </c>
      <c r="O891" s="1" t="str">
        <f t="shared" si="570"/>
        <v>00</v>
      </c>
      <c r="P891" s="1" t="str">
        <f t="shared" si="571"/>
        <v>S</v>
      </c>
      <c r="Q891" s="1" t="str">
        <f t="shared" si="572"/>
        <v>P</v>
      </c>
      <c r="R891" s="1" t="str">
        <f t="shared" si="573"/>
        <v>01</v>
      </c>
      <c r="S891" s="1" t="str">
        <f t="shared" si="596"/>
        <v>04</v>
      </c>
      <c r="T891" s="1" t="str">
        <f t="shared" si="574"/>
        <v>False</v>
      </c>
      <c r="U891" s="1" t="str">
        <f t="shared" si="575"/>
        <v>True</v>
      </c>
      <c r="V891" s="1" t="str">
        <f t="shared" si="597"/>
        <v>U0032686</v>
      </c>
      <c r="W891" s="1">
        <v>1</v>
      </c>
      <c r="Y891" s="1">
        <v>0</v>
      </c>
      <c r="Z891" s="1">
        <v>0</v>
      </c>
      <c r="AI891" s="1" t="str">
        <f t="shared" si="587"/>
        <v>F10</v>
      </c>
      <c r="AJ891" s="1" t="str">
        <f t="shared" si="588"/>
        <v>KID</v>
      </c>
      <c r="AK891" s="1" t="str">
        <f t="shared" si="576"/>
        <v>PA</v>
      </c>
      <c r="AP891" s="1" t="str">
        <f t="shared" si="577"/>
        <v>False</v>
      </c>
      <c r="AR891" s="1" t="str">
        <f t="shared" si="589"/>
        <v>EBONY</v>
      </c>
      <c r="AY891" s="1" t="str">
        <f t="shared" si="578"/>
        <v>PF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 t="str">
        <f t="shared" si="590"/>
        <v>A EVA TOMAIA SYNTHETIC GLITTER</v>
      </c>
      <c r="BF891" s="1" t="str">
        <f t="shared" si="579"/>
        <v>Bonis SpA</v>
      </c>
    </row>
    <row r="892" spans="2:58" x14ac:dyDescent="0.25">
      <c r="B892" s="1">
        <v>2473</v>
      </c>
      <c r="C892" s="1" t="str">
        <f t="shared" si="585"/>
        <v>EBONY4175S7/Y2</v>
      </c>
      <c r="E892" s="1" t="str">
        <f>"36"</f>
        <v>36</v>
      </c>
      <c r="F892" s="1" t="str">
        <f t="shared" si="568"/>
        <v>BONIS SPA</v>
      </c>
      <c r="G892" s="1" t="str">
        <f t="shared" si="594"/>
        <v>STOCK SCAFFALE MP</v>
      </c>
      <c r="H892" s="1" t="str">
        <f t="shared" si="598"/>
        <v>SKBL</v>
      </c>
      <c r="K892" s="1">
        <v>2</v>
      </c>
      <c r="L892" s="1" t="str">
        <f t="shared" si="569"/>
        <v>01</v>
      </c>
      <c r="M892" s="1" t="str">
        <f t="shared" si="595"/>
        <v>408</v>
      </c>
      <c r="N892" s="1" t="str">
        <f t="shared" si="586"/>
        <v>006</v>
      </c>
      <c r="O892" s="1" t="str">
        <f t="shared" si="570"/>
        <v>00</v>
      </c>
      <c r="P892" s="1" t="str">
        <f t="shared" si="571"/>
        <v>S</v>
      </c>
      <c r="Q892" s="1" t="str">
        <f t="shared" si="572"/>
        <v>P</v>
      </c>
      <c r="R892" s="1" t="str">
        <f t="shared" si="573"/>
        <v>01</v>
      </c>
      <c r="S892" s="1" t="str">
        <f t="shared" si="596"/>
        <v>04</v>
      </c>
      <c r="T892" s="1" t="str">
        <f t="shared" si="574"/>
        <v>False</v>
      </c>
      <c r="U892" s="1" t="str">
        <f t="shared" si="575"/>
        <v>True</v>
      </c>
      <c r="V892" s="1" t="str">
        <f t="shared" si="597"/>
        <v>U0032686</v>
      </c>
      <c r="W892" s="1">
        <v>1</v>
      </c>
      <c r="Y892" s="1">
        <v>0</v>
      </c>
      <c r="Z892" s="1">
        <v>0</v>
      </c>
      <c r="AI892" s="1" t="str">
        <f t="shared" si="587"/>
        <v>F10</v>
      </c>
      <c r="AJ892" s="1" t="str">
        <f t="shared" si="588"/>
        <v>KID</v>
      </c>
      <c r="AK892" s="1" t="str">
        <f t="shared" si="576"/>
        <v>PA</v>
      </c>
      <c r="AP892" s="1" t="str">
        <f t="shared" si="577"/>
        <v>False</v>
      </c>
      <c r="AR892" s="1" t="str">
        <f t="shared" si="589"/>
        <v>EBONY</v>
      </c>
      <c r="AY892" s="1" t="str">
        <f t="shared" si="578"/>
        <v>PF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 t="str">
        <f t="shared" si="590"/>
        <v>A EVA TOMAIA SYNTHETIC GLITTER</v>
      </c>
      <c r="BF892" s="1" t="str">
        <f t="shared" si="579"/>
        <v>Bonis SpA</v>
      </c>
    </row>
    <row r="893" spans="2:58" x14ac:dyDescent="0.25">
      <c r="B893" s="1">
        <v>2473</v>
      </c>
      <c r="C893" s="1" t="str">
        <f t="shared" si="585"/>
        <v>EBONY4175S7/Y2</v>
      </c>
      <c r="E893" s="1" t="str">
        <f>"32"</f>
        <v>32</v>
      </c>
      <c r="F893" s="1" t="str">
        <f t="shared" si="568"/>
        <v>BONIS SPA</v>
      </c>
      <c r="G893" s="1" t="str">
        <f t="shared" si="594"/>
        <v>STOCK SCAFFALE MP</v>
      </c>
      <c r="H893" s="1" t="str">
        <f t="shared" si="598"/>
        <v>SKBL</v>
      </c>
      <c r="K893" s="1">
        <v>2</v>
      </c>
      <c r="L893" s="1" t="str">
        <f t="shared" si="569"/>
        <v>01</v>
      </c>
      <c r="M893" s="1" t="str">
        <f t="shared" si="595"/>
        <v>408</v>
      </c>
      <c r="N893" s="1" t="str">
        <f t="shared" si="586"/>
        <v>006</v>
      </c>
      <c r="O893" s="1" t="str">
        <f t="shared" si="570"/>
        <v>00</v>
      </c>
      <c r="P893" s="1" t="str">
        <f t="shared" si="571"/>
        <v>S</v>
      </c>
      <c r="Q893" s="1" t="str">
        <f t="shared" si="572"/>
        <v>P</v>
      </c>
      <c r="R893" s="1" t="str">
        <f t="shared" si="573"/>
        <v>01</v>
      </c>
      <c r="S893" s="1" t="str">
        <f t="shared" si="596"/>
        <v>04</v>
      </c>
      <c r="T893" s="1" t="str">
        <f t="shared" si="574"/>
        <v>False</v>
      </c>
      <c r="U893" s="1" t="str">
        <f t="shared" si="575"/>
        <v>True</v>
      </c>
      <c r="V893" s="1" t="str">
        <f t="shared" si="597"/>
        <v>U0032686</v>
      </c>
      <c r="W893" s="1">
        <v>1</v>
      </c>
      <c r="Y893" s="1">
        <v>0</v>
      </c>
      <c r="Z893" s="1">
        <v>0</v>
      </c>
      <c r="AI893" s="1" t="str">
        <f t="shared" si="587"/>
        <v>F10</v>
      </c>
      <c r="AJ893" s="1" t="str">
        <f t="shared" si="588"/>
        <v>KID</v>
      </c>
      <c r="AK893" s="1" t="str">
        <f t="shared" si="576"/>
        <v>PA</v>
      </c>
      <c r="AP893" s="1" t="str">
        <f t="shared" si="577"/>
        <v>False</v>
      </c>
      <c r="AR893" s="1" t="str">
        <f t="shared" si="589"/>
        <v>EBONY</v>
      </c>
      <c r="AY893" s="1" t="str">
        <f t="shared" si="578"/>
        <v>PF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 t="str">
        <f t="shared" si="590"/>
        <v>A EVA TOMAIA SYNTHETIC GLITTER</v>
      </c>
      <c r="BF893" s="1" t="str">
        <f t="shared" si="579"/>
        <v>Bonis SpA</v>
      </c>
    </row>
    <row r="894" spans="2:58" x14ac:dyDescent="0.25">
      <c r="B894" s="1">
        <v>2473</v>
      </c>
      <c r="C894" s="1" t="str">
        <f t="shared" si="585"/>
        <v>EBONY4175S7/Y2</v>
      </c>
      <c r="E894" s="1" t="str">
        <f>"33"</f>
        <v>33</v>
      </c>
      <c r="F894" s="1" t="str">
        <f t="shared" si="568"/>
        <v>BONIS SPA</v>
      </c>
      <c r="G894" s="1" t="str">
        <f t="shared" si="594"/>
        <v>STOCK SCAFFALE MP</v>
      </c>
      <c r="H894" s="1" t="str">
        <f t="shared" si="598"/>
        <v>SKBL</v>
      </c>
      <c r="K894" s="1">
        <v>1</v>
      </c>
      <c r="L894" s="1" t="str">
        <f t="shared" si="569"/>
        <v>01</v>
      </c>
      <c r="M894" s="1" t="str">
        <f t="shared" si="595"/>
        <v>408</v>
      </c>
      <c r="N894" s="1" t="str">
        <f t="shared" si="586"/>
        <v>006</v>
      </c>
      <c r="O894" s="1" t="str">
        <f t="shared" si="570"/>
        <v>00</v>
      </c>
      <c r="P894" s="1" t="str">
        <f t="shared" si="571"/>
        <v>S</v>
      </c>
      <c r="Q894" s="1" t="str">
        <f t="shared" si="572"/>
        <v>P</v>
      </c>
      <c r="R894" s="1" t="str">
        <f t="shared" si="573"/>
        <v>01</v>
      </c>
      <c r="S894" s="1" t="str">
        <f t="shared" si="596"/>
        <v>04</v>
      </c>
      <c r="T894" s="1" t="str">
        <f t="shared" si="574"/>
        <v>False</v>
      </c>
      <c r="U894" s="1" t="str">
        <f t="shared" si="575"/>
        <v>True</v>
      </c>
      <c r="V894" s="1" t="str">
        <f t="shared" si="597"/>
        <v>U0032686</v>
      </c>
      <c r="W894" s="1">
        <v>1</v>
      </c>
      <c r="Y894" s="1">
        <v>0</v>
      </c>
      <c r="Z894" s="1">
        <v>0</v>
      </c>
      <c r="AI894" s="1" t="str">
        <f t="shared" si="587"/>
        <v>F10</v>
      </c>
      <c r="AJ894" s="1" t="str">
        <f t="shared" si="588"/>
        <v>KID</v>
      </c>
      <c r="AK894" s="1" t="str">
        <f t="shared" si="576"/>
        <v>PA</v>
      </c>
      <c r="AP894" s="1" t="str">
        <f t="shared" si="577"/>
        <v>False</v>
      </c>
      <c r="AR894" s="1" t="str">
        <f t="shared" si="589"/>
        <v>EBONY</v>
      </c>
      <c r="AY894" s="1" t="str">
        <f t="shared" si="578"/>
        <v>PF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 t="str">
        <f t="shared" si="590"/>
        <v>A EVA TOMAIA SYNTHETIC GLITTER</v>
      </c>
      <c r="BF894" s="1" t="str">
        <f t="shared" si="579"/>
        <v>Bonis SpA</v>
      </c>
    </row>
    <row r="895" spans="2:58" x14ac:dyDescent="0.25">
      <c r="B895" s="1">
        <v>2473</v>
      </c>
      <c r="C895" s="1" t="str">
        <f t="shared" ref="C895:C926" si="599">"EBONY4175S7/Y2"</f>
        <v>EBONY4175S7/Y2</v>
      </c>
      <c r="E895" s="1" t="str">
        <f>"29"</f>
        <v>29</v>
      </c>
      <c r="F895" s="1" t="str">
        <f t="shared" si="568"/>
        <v>BONIS SPA</v>
      </c>
      <c r="G895" s="1" t="str">
        <f t="shared" si="594"/>
        <v>STOCK SCAFFALE MP</v>
      </c>
      <c r="H895" s="1" t="str">
        <f t="shared" si="598"/>
        <v>SKBL</v>
      </c>
      <c r="K895" s="1">
        <v>1</v>
      </c>
      <c r="L895" s="1" t="str">
        <f t="shared" si="569"/>
        <v>01</v>
      </c>
      <c r="M895" s="1" t="str">
        <f t="shared" si="595"/>
        <v>408</v>
      </c>
      <c r="N895" s="1" t="str">
        <f t="shared" ref="N895:N926" si="600">"006"</f>
        <v>006</v>
      </c>
      <c r="O895" s="1" t="str">
        <f t="shared" si="570"/>
        <v>00</v>
      </c>
      <c r="P895" s="1" t="str">
        <f t="shared" si="571"/>
        <v>S</v>
      </c>
      <c r="Q895" s="1" t="str">
        <f t="shared" si="572"/>
        <v>P</v>
      </c>
      <c r="R895" s="1" t="str">
        <f t="shared" si="573"/>
        <v>01</v>
      </c>
      <c r="S895" s="1" t="str">
        <f t="shared" si="596"/>
        <v>04</v>
      </c>
      <c r="T895" s="1" t="str">
        <f t="shared" si="574"/>
        <v>False</v>
      </c>
      <c r="U895" s="1" t="str">
        <f t="shared" si="575"/>
        <v>True</v>
      </c>
      <c r="V895" s="1" t="str">
        <f t="shared" si="597"/>
        <v>U0032686</v>
      </c>
      <c r="W895" s="1">
        <v>1</v>
      </c>
      <c r="Y895" s="1">
        <v>0</v>
      </c>
      <c r="Z895" s="1">
        <v>0</v>
      </c>
      <c r="AI895" s="1" t="str">
        <f t="shared" ref="AI895:AI926" si="601">"F10"</f>
        <v>F10</v>
      </c>
      <c r="AJ895" s="1" t="str">
        <f t="shared" ref="AJ895:AJ926" si="602">"KID"</f>
        <v>KID</v>
      </c>
      <c r="AK895" s="1" t="str">
        <f t="shared" si="576"/>
        <v>PA</v>
      </c>
      <c r="AP895" s="1" t="str">
        <f t="shared" si="577"/>
        <v>False</v>
      </c>
      <c r="AR895" s="1" t="str">
        <f t="shared" ref="AR895:AR926" si="603">"EBONY"</f>
        <v>EBONY</v>
      </c>
      <c r="AY895" s="1" t="str">
        <f t="shared" si="578"/>
        <v>PF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 t="str">
        <f t="shared" ref="BE895:BE926" si="604">"A EVA TOMAIA SYNTHETIC GLITTER"</f>
        <v>A EVA TOMAIA SYNTHETIC GLITTER</v>
      </c>
      <c r="BF895" s="1" t="str">
        <f t="shared" si="579"/>
        <v>Bonis SpA</v>
      </c>
    </row>
    <row r="896" spans="2:58" x14ac:dyDescent="0.25">
      <c r="B896" s="1">
        <v>2473</v>
      </c>
      <c r="C896" s="1" t="str">
        <f t="shared" si="599"/>
        <v>EBONY4175S7/Y2</v>
      </c>
      <c r="E896" s="1" t="str">
        <f>"28"</f>
        <v>28</v>
      </c>
      <c r="F896" s="1" t="str">
        <f t="shared" si="568"/>
        <v>BONIS SPA</v>
      </c>
      <c r="G896" s="1" t="str">
        <f t="shared" si="594"/>
        <v>STOCK SCAFFALE MP</v>
      </c>
      <c r="H896" s="1" t="str">
        <f t="shared" si="598"/>
        <v>SKBL</v>
      </c>
      <c r="K896" s="1">
        <v>1</v>
      </c>
      <c r="L896" s="1" t="str">
        <f t="shared" si="569"/>
        <v>01</v>
      </c>
      <c r="M896" s="1" t="str">
        <f t="shared" si="595"/>
        <v>408</v>
      </c>
      <c r="N896" s="1" t="str">
        <f t="shared" si="600"/>
        <v>006</v>
      </c>
      <c r="O896" s="1" t="str">
        <f t="shared" si="570"/>
        <v>00</v>
      </c>
      <c r="P896" s="1" t="str">
        <f t="shared" si="571"/>
        <v>S</v>
      </c>
      <c r="Q896" s="1" t="str">
        <f t="shared" si="572"/>
        <v>P</v>
      </c>
      <c r="R896" s="1" t="str">
        <f t="shared" si="573"/>
        <v>01</v>
      </c>
      <c r="S896" s="1" t="str">
        <f t="shared" si="596"/>
        <v>04</v>
      </c>
      <c r="T896" s="1" t="str">
        <f t="shared" si="574"/>
        <v>False</v>
      </c>
      <c r="U896" s="1" t="str">
        <f t="shared" si="575"/>
        <v>True</v>
      </c>
      <c r="V896" s="1" t="str">
        <f t="shared" si="597"/>
        <v>U0032686</v>
      </c>
      <c r="W896" s="1">
        <v>1</v>
      </c>
      <c r="Y896" s="1">
        <v>0</v>
      </c>
      <c r="Z896" s="1">
        <v>0</v>
      </c>
      <c r="AI896" s="1" t="str">
        <f t="shared" si="601"/>
        <v>F10</v>
      </c>
      <c r="AJ896" s="1" t="str">
        <f t="shared" si="602"/>
        <v>KID</v>
      </c>
      <c r="AK896" s="1" t="str">
        <f t="shared" si="576"/>
        <v>PA</v>
      </c>
      <c r="AP896" s="1" t="str">
        <f t="shared" si="577"/>
        <v>False</v>
      </c>
      <c r="AR896" s="1" t="str">
        <f t="shared" si="603"/>
        <v>EBONY</v>
      </c>
      <c r="AY896" s="1" t="str">
        <f t="shared" si="578"/>
        <v>PF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 t="str">
        <f t="shared" si="604"/>
        <v>A EVA TOMAIA SYNTHETIC GLITTER</v>
      </c>
      <c r="BF896" s="1" t="str">
        <f t="shared" si="579"/>
        <v>Bonis SpA</v>
      </c>
    </row>
    <row r="897" spans="2:58" x14ac:dyDescent="0.25">
      <c r="B897" s="1">
        <v>2473</v>
      </c>
      <c r="C897" s="1" t="str">
        <f t="shared" si="599"/>
        <v>EBONY4175S7/Y2</v>
      </c>
      <c r="E897" s="1" t="str">
        <f>"31"</f>
        <v>31</v>
      </c>
      <c r="F897" s="1" t="str">
        <f t="shared" si="568"/>
        <v>BONIS SPA</v>
      </c>
      <c r="G897" s="1" t="str">
        <f t="shared" si="594"/>
        <v>STOCK SCAFFALE MP</v>
      </c>
      <c r="H897" s="1" t="str">
        <f t="shared" si="598"/>
        <v>SKBL</v>
      </c>
      <c r="K897" s="1">
        <v>2</v>
      </c>
      <c r="L897" s="1" t="str">
        <f t="shared" si="569"/>
        <v>01</v>
      </c>
      <c r="M897" s="1" t="str">
        <f t="shared" si="595"/>
        <v>408</v>
      </c>
      <c r="N897" s="1" t="str">
        <f t="shared" si="600"/>
        <v>006</v>
      </c>
      <c r="O897" s="1" t="str">
        <f t="shared" si="570"/>
        <v>00</v>
      </c>
      <c r="P897" s="1" t="str">
        <f t="shared" si="571"/>
        <v>S</v>
      </c>
      <c r="Q897" s="1" t="str">
        <f t="shared" si="572"/>
        <v>P</v>
      </c>
      <c r="R897" s="1" t="str">
        <f t="shared" si="573"/>
        <v>01</v>
      </c>
      <c r="S897" s="1" t="str">
        <f t="shared" si="596"/>
        <v>04</v>
      </c>
      <c r="T897" s="1" t="str">
        <f t="shared" si="574"/>
        <v>False</v>
      </c>
      <c r="U897" s="1" t="str">
        <f t="shared" si="575"/>
        <v>True</v>
      </c>
      <c r="V897" s="1" t="str">
        <f t="shared" ref="V897:V907" si="605">"U0032685"</f>
        <v>U0032685</v>
      </c>
      <c r="W897" s="1">
        <v>1</v>
      </c>
      <c r="Y897" s="1">
        <v>0</v>
      </c>
      <c r="Z897" s="1">
        <v>0</v>
      </c>
      <c r="AI897" s="1" t="str">
        <f t="shared" si="601"/>
        <v>F10</v>
      </c>
      <c r="AJ897" s="1" t="str">
        <f t="shared" si="602"/>
        <v>KID</v>
      </c>
      <c r="AK897" s="1" t="str">
        <f t="shared" si="576"/>
        <v>PA</v>
      </c>
      <c r="AP897" s="1" t="str">
        <f t="shared" si="577"/>
        <v>False</v>
      </c>
      <c r="AR897" s="1" t="str">
        <f t="shared" si="603"/>
        <v>EBONY</v>
      </c>
      <c r="AY897" s="1" t="str">
        <f t="shared" si="578"/>
        <v>PF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 t="str">
        <f t="shared" si="604"/>
        <v>A EVA TOMAIA SYNTHETIC GLITTER</v>
      </c>
      <c r="BF897" s="1" t="str">
        <f t="shared" si="579"/>
        <v>Bonis SpA</v>
      </c>
    </row>
    <row r="898" spans="2:58" x14ac:dyDescent="0.25">
      <c r="B898" s="1">
        <v>2473</v>
      </c>
      <c r="C898" s="1" t="str">
        <f t="shared" si="599"/>
        <v>EBONY4175S7/Y2</v>
      </c>
      <c r="E898" s="1" t="str">
        <f>"30"</f>
        <v>30</v>
      </c>
      <c r="F898" s="1" t="str">
        <f t="shared" ref="F898:F961" si="606">"BONIS SPA"</f>
        <v>BONIS SPA</v>
      </c>
      <c r="G898" s="1" t="str">
        <f t="shared" si="594"/>
        <v>STOCK SCAFFALE MP</v>
      </c>
      <c r="H898" s="1" t="str">
        <f t="shared" si="598"/>
        <v>SKBL</v>
      </c>
      <c r="K898" s="1">
        <v>1</v>
      </c>
      <c r="L898" s="1" t="str">
        <f t="shared" ref="L898:L961" si="607">"01"</f>
        <v>01</v>
      </c>
      <c r="M898" s="1" t="str">
        <f t="shared" si="595"/>
        <v>408</v>
      </c>
      <c r="N898" s="1" t="str">
        <f t="shared" si="600"/>
        <v>006</v>
      </c>
      <c r="O898" s="1" t="str">
        <f t="shared" ref="O898:O961" si="608">"00"</f>
        <v>00</v>
      </c>
      <c r="P898" s="1" t="str">
        <f t="shared" ref="P898:P961" si="609">"S"</f>
        <v>S</v>
      </c>
      <c r="Q898" s="1" t="str">
        <f t="shared" ref="Q898:Q961" si="610">"P"</f>
        <v>P</v>
      </c>
      <c r="R898" s="1" t="str">
        <f t="shared" ref="R898:R961" si="611">"01"</f>
        <v>01</v>
      </c>
      <c r="S898" s="1" t="str">
        <f t="shared" si="596"/>
        <v>04</v>
      </c>
      <c r="T898" s="1" t="str">
        <f t="shared" ref="T898:T961" si="612">"False"</f>
        <v>False</v>
      </c>
      <c r="U898" s="1" t="str">
        <f t="shared" ref="U898:U961" si="613">"True"</f>
        <v>True</v>
      </c>
      <c r="V898" s="1" t="str">
        <f t="shared" si="605"/>
        <v>U0032685</v>
      </c>
      <c r="W898" s="1">
        <v>1</v>
      </c>
      <c r="Y898" s="1">
        <v>0</v>
      </c>
      <c r="Z898" s="1">
        <v>0</v>
      </c>
      <c r="AI898" s="1" t="str">
        <f t="shared" si="601"/>
        <v>F10</v>
      </c>
      <c r="AJ898" s="1" t="str">
        <f t="shared" si="602"/>
        <v>KID</v>
      </c>
      <c r="AK898" s="1" t="str">
        <f t="shared" ref="AK898:AK961" si="614">"PA"</f>
        <v>PA</v>
      </c>
      <c r="AP898" s="1" t="str">
        <f t="shared" ref="AP898:AP961" si="615">"False"</f>
        <v>False</v>
      </c>
      <c r="AR898" s="1" t="str">
        <f t="shared" si="603"/>
        <v>EBONY</v>
      </c>
      <c r="AY898" s="1" t="str">
        <f t="shared" ref="AY898:AY961" si="616">"PF"</f>
        <v>PF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 t="str">
        <f t="shared" si="604"/>
        <v>A EVA TOMAIA SYNTHETIC GLITTER</v>
      </c>
      <c r="BF898" s="1" t="str">
        <f t="shared" ref="BF898:BF961" si="617">"Bonis SpA"</f>
        <v>Bonis SpA</v>
      </c>
    </row>
    <row r="899" spans="2:58" x14ac:dyDescent="0.25">
      <c r="B899" s="1">
        <v>2473</v>
      </c>
      <c r="C899" s="1" t="str">
        <f t="shared" si="599"/>
        <v>EBONY4175S7/Y2</v>
      </c>
      <c r="E899" s="1" t="str">
        <f>"28"</f>
        <v>28</v>
      </c>
      <c r="F899" s="1" t="str">
        <f t="shared" si="606"/>
        <v>BONIS SPA</v>
      </c>
      <c r="G899" s="1" t="str">
        <f t="shared" si="594"/>
        <v>STOCK SCAFFALE MP</v>
      </c>
      <c r="H899" s="1" t="str">
        <f t="shared" si="598"/>
        <v>SKBL</v>
      </c>
      <c r="K899" s="1">
        <v>2</v>
      </c>
      <c r="L899" s="1" t="str">
        <f t="shared" si="607"/>
        <v>01</v>
      </c>
      <c r="M899" s="1" t="str">
        <f t="shared" si="595"/>
        <v>408</v>
      </c>
      <c r="N899" s="1" t="str">
        <f t="shared" si="600"/>
        <v>006</v>
      </c>
      <c r="O899" s="1" t="str">
        <f t="shared" si="608"/>
        <v>00</v>
      </c>
      <c r="P899" s="1" t="str">
        <f t="shared" si="609"/>
        <v>S</v>
      </c>
      <c r="Q899" s="1" t="str">
        <f t="shared" si="610"/>
        <v>P</v>
      </c>
      <c r="R899" s="1" t="str">
        <f t="shared" si="611"/>
        <v>01</v>
      </c>
      <c r="S899" s="1" t="str">
        <f t="shared" si="596"/>
        <v>04</v>
      </c>
      <c r="T899" s="1" t="str">
        <f t="shared" si="612"/>
        <v>False</v>
      </c>
      <c r="U899" s="1" t="str">
        <f t="shared" si="613"/>
        <v>True</v>
      </c>
      <c r="V899" s="1" t="str">
        <f t="shared" si="605"/>
        <v>U0032685</v>
      </c>
      <c r="W899" s="1">
        <v>1</v>
      </c>
      <c r="Y899" s="1">
        <v>0</v>
      </c>
      <c r="Z899" s="1">
        <v>0</v>
      </c>
      <c r="AI899" s="1" t="str">
        <f t="shared" si="601"/>
        <v>F10</v>
      </c>
      <c r="AJ899" s="1" t="str">
        <f t="shared" si="602"/>
        <v>KID</v>
      </c>
      <c r="AK899" s="1" t="str">
        <f t="shared" si="614"/>
        <v>PA</v>
      </c>
      <c r="AP899" s="1" t="str">
        <f t="shared" si="615"/>
        <v>False</v>
      </c>
      <c r="AR899" s="1" t="str">
        <f t="shared" si="603"/>
        <v>EBONY</v>
      </c>
      <c r="AY899" s="1" t="str">
        <f t="shared" si="616"/>
        <v>PF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 t="str">
        <f t="shared" si="604"/>
        <v>A EVA TOMAIA SYNTHETIC GLITTER</v>
      </c>
      <c r="BF899" s="1" t="str">
        <f t="shared" si="617"/>
        <v>Bonis SpA</v>
      </c>
    </row>
    <row r="900" spans="2:58" x14ac:dyDescent="0.25">
      <c r="B900" s="1">
        <v>2473</v>
      </c>
      <c r="C900" s="1" t="str">
        <f t="shared" si="599"/>
        <v>EBONY4175S7/Y2</v>
      </c>
      <c r="E900" s="1" t="str">
        <f>"29"</f>
        <v>29</v>
      </c>
      <c r="F900" s="1" t="str">
        <f t="shared" si="606"/>
        <v>BONIS SPA</v>
      </c>
      <c r="G900" s="1" t="str">
        <f t="shared" si="594"/>
        <v>STOCK SCAFFALE MP</v>
      </c>
      <c r="H900" s="1" t="str">
        <f t="shared" si="598"/>
        <v>SKBL</v>
      </c>
      <c r="K900" s="1">
        <v>2</v>
      </c>
      <c r="L900" s="1" t="str">
        <f t="shared" si="607"/>
        <v>01</v>
      </c>
      <c r="M900" s="1" t="str">
        <f t="shared" si="595"/>
        <v>408</v>
      </c>
      <c r="N900" s="1" t="str">
        <f t="shared" si="600"/>
        <v>006</v>
      </c>
      <c r="O900" s="1" t="str">
        <f t="shared" si="608"/>
        <v>00</v>
      </c>
      <c r="P900" s="1" t="str">
        <f t="shared" si="609"/>
        <v>S</v>
      </c>
      <c r="Q900" s="1" t="str">
        <f t="shared" si="610"/>
        <v>P</v>
      </c>
      <c r="R900" s="1" t="str">
        <f t="shared" si="611"/>
        <v>01</v>
      </c>
      <c r="S900" s="1" t="str">
        <f t="shared" si="596"/>
        <v>04</v>
      </c>
      <c r="T900" s="1" t="str">
        <f t="shared" si="612"/>
        <v>False</v>
      </c>
      <c r="U900" s="1" t="str">
        <f t="shared" si="613"/>
        <v>True</v>
      </c>
      <c r="V900" s="1" t="str">
        <f t="shared" si="605"/>
        <v>U0032685</v>
      </c>
      <c r="W900" s="1">
        <v>1</v>
      </c>
      <c r="Y900" s="1">
        <v>0</v>
      </c>
      <c r="Z900" s="1">
        <v>0</v>
      </c>
      <c r="AI900" s="1" t="str">
        <f t="shared" si="601"/>
        <v>F10</v>
      </c>
      <c r="AJ900" s="1" t="str">
        <f t="shared" si="602"/>
        <v>KID</v>
      </c>
      <c r="AK900" s="1" t="str">
        <f t="shared" si="614"/>
        <v>PA</v>
      </c>
      <c r="AP900" s="1" t="str">
        <f t="shared" si="615"/>
        <v>False</v>
      </c>
      <c r="AR900" s="1" t="str">
        <f t="shared" si="603"/>
        <v>EBONY</v>
      </c>
      <c r="AY900" s="1" t="str">
        <f t="shared" si="616"/>
        <v>PF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 t="str">
        <f t="shared" si="604"/>
        <v>A EVA TOMAIA SYNTHETIC GLITTER</v>
      </c>
      <c r="BF900" s="1" t="str">
        <f t="shared" si="617"/>
        <v>Bonis SpA</v>
      </c>
    </row>
    <row r="901" spans="2:58" x14ac:dyDescent="0.25">
      <c r="B901" s="1">
        <v>2473</v>
      </c>
      <c r="C901" s="1" t="str">
        <f t="shared" si="599"/>
        <v>EBONY4175S7/Y2</v>
      </c>
      <c r="E901" s="1" t="str">
        <f>"33"</f>
        <v>33</v>
      </c>
      <c r="F901" s="1" t="str">
        <f t="shared" si="606"/>
        <v>BONIS SPA</v>
      </c>
      <c r="G901" s="1" t="str">
        <f t="shared" si="594"/>
        <v>STOCK SCAFFALE MP</v>
      </c>
      <c r="H901" s="1" t="str">
        <f t="shared" si="598"/>
        <v>SKBL</v>
      </c>
      <c r="K901" s="1">
        <v>1</v>
      </c>
      <c r="L901" s="1" t="str">
        <f t="shared" si="607"/>
        <v>01</v>
      </c>
      <c r="M901" s="1" t="str">
        <f t="shared" si="595"/>
        <v>408</v>
      </c>
      <c r="N901" s="1" t="str">
        <f t="shared" si="600"/>
        <v>006</v>
      </c>
      <c r="O901" s="1" t="str">
        <f t="shared" si="608"/>
        <v>00</v>
      </c>
      <c r="P901" s="1" t="str">
        <f t="shared" si="609"/>
        <v>S</v>
      </c>
      <c r="Q901" s="1" t="str">
        <f t="shared" si="610"/>
        <v>P</v>
      </c>
      <c r="R901" s="1" t="str">
        <f t="shared" si="611"/>
        <v>01</v>
      </c>
      <c r="S901" s="1" t="str">
        <f t="shared" si="596"/>
        <v>04</v>
      </c>
      <c r="T901" s="1" t="str">
        <f t="shared" si="612"/>
        <v>False</v>
      </c>
      <c r="U901" s="1" t="str">
        <f t="shared" si="613"/>
        <v>True</v>
      </c>
      <c r="V901" s="1" t="str">
        <f t="shared" si="605"/>
        <v>U0032685</v>
      </c>
      <c r="W901" s="1">
        <v>1</v>
      </c>
      <c r="Y901" s="1">
        <v>0</v>
      </c>
      <c r="Z901" s="1">
        <v>0</v>
      </c>
      <c r="AI901" s="1" t="str">
        <f t="shared" si="601"/>
        <v>F10</v>
      </c>
      <c r="AJ901" s="1" t="str">
        <f t="shared" si="602"/>
        <v>KID</v>
      </c>
      <c r="AK901" s="1" t="str">
        <f t="shared" si="614"/>
        <v>PA</v>
      </c>
      <c r="AP901" s="1" t="str">
        <f t="shared" si="615"/>
        <v>False</v>
      </c>
      <c r="AR901" s="1" t="str">
        <f t="shared" si="603"/>
        <v>EBONY</v>
      </c>
      <c r="AY901" s="1" t="str">
        <f t="shared" si="616"/>
        <v>PF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 t="str">
        <f t="shared" si="604"/>
        <v>A EVA TOMAIA SYNTHETIC GLITTER</v>
      </c>
      <c r="BF901" s="1" t="str">
        <f t="shared" si="617"/>
        <v>Bonis SpA</v>
      </c>
    </row>
    <row r="902" spans="2:58" x14ac:dyDescent="0.25">
      <c r="B902" s="1">
        <v>2473</v>
      </c>
      <c r="C902" s="1" t="str">
        <f t="shared" si="599"/>
        <v>EBONY4175S7/Y2</v>
      </c>
      <c r="E902" s="1" t="str">
        <f>"32"</f>
        <v>32</v>
      </c>
      <c r="F902" s="1" t="str">
        <f t="shared" si="606"/>
        <v>BONIS SPA</v>
      </c>
      <c r="G902" s="1" t="str">
        <f t="shared" si="594"/>
        <v>STOCK SCAFFALE MP</v>
      </c>
      <c r="H902" s="1" t="str">
        <f t="shared" si="598"/>
        <v>SKBL</v>
      </c>
      <c r="K902" s="1">
        <v>1</v>
      </c>
      <c r="L902" s="1" t="str">
        <f t="shared" si="607"/>
        <v>01</v>
      </c>
      <c r="M902" s="1" t="str">
        <f t="shared" si="595"/>
        <v>408</v>
      </c>
      <c r="N902" s="1" t="str">
        <f t="shared" si="600"/>
        <v>006</v>
      </c>
      <c r="O902" s="1" t="str">
        <f t="shared" si="608"/>
        <v>00</v>
      </c>
      <c r="P902" s="1" t="str">
        <f t="shared" si="609"/>
        <v>S</v>
      </c>
      <c r="Q902" s="1" t="str">
        <f t="shared" si="610"/>
        <v>P</v>
      </c>
      <c r="R902" s="1" t="str">
        <f t="shared" si="611"/>
        <v>01</v>
      </c>
      <c r="S902" s="1" t="str">
        <f t="shared" si="596"/>
        <v>04</v>
      </c>
      <c r="T902" s="1" t="str">
        <f t="shared" si="612"/>
        <v>False</v>
      </c>
      <c r="U902" s="1" t="str">
        <f t="shared" si="613"/>
        <v>True</v>
      </c>
      <c r="V902" s="1" t="str">
        <f t="shared" si="605"/>
        <v>U0032685</v>
      </c>
      <c r="W902" s="1">
        <v>1</v>
      </c>
      <c r="Y902" s="1">
        <v>0</v>
      </c>
      <c r="Z902" s="1">
        <v>0</v>
      </c>
      <c r="AI902" s="1" t="str">
        <f t="shared" si="601"/>
        <v>F10</v>
      </c>
      <c r="AJ902" s="1" t="str">
        <f t="shared" si="602"/>
        <v>KID</v>
      </c>
      <c r="AK902" s="1" t="str">
        <f t="shared" si="614"/>
        <v>PA</v>
      </c>
      <c r="AP902" s="1" t="str">
        <f t="shared" si="615"/>
        <v>False</v>
      </c>
      <c r="AR902" s="1" t="str">
        <f t="shared" si="603"/>
        <v>EBONY</v>
      </c>
      <c r="AY902" s="1" t="str">
        <f t="shared" si="616"/>
        <v>PF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 t="str">
        <f t="shared" si="604"/>
        <v>A EVA TOMAIA SYNTHETIC GLITTER</v>
      </c>
      <c r="BF902" s="1" t="str">
        <f t="shared" si="617"/>
        <v>Bonis SpA</v>
      </c>
    </row>
    <row r="903" spans="2:58" x14ac:dyDescent="0.25">
      <c r="B903" s="1">
        <v>2473</v>
      </c>
      <c r="C903" s="1" t="str">
        <f t="shared" si="599"/>
        <v>EBONY4175S7/Y2</v>
      </c>
      <c r="E903" s="1" t="str">
        <f>"34"</f>
        <v>34</v>
      </c>
      <c r="F903" s="1" t="str">
        <f t="shared" si="606"/>
        <v>BONIS SPA</v>
      </c>
      <c r="G903" s="1" t="str">
        <f t="shared" si="594"/>
        <v>STOCK SCAFFALE MP</v>
      </c>
      <c r="H903" s="1" t="str">
        <f t="shared" si="598"/>
        <v>SKBL</v>
      </c>
      <c r="K903" s="1">
        <v>1</v>
      </c>
      <c r="L903" s="1" t="str">
        <f t="shared" si="607"/>
        <v>01</v>
      </c>
      <c r="M903" s="1" t="str">
        <f t="shared" si="595"/>
        <v>408</v>
      </c>
      <c r="N903" s="1" t="str">
        <f t="shared" si="600"/>
        <v>006</v>
      </c>
      <c r="O903" s="1" t="str">
        <f t="shared" si="608"/>
        <v>00</v>
      </c>
      <c r="P903" s="1" t="str">
        <f t="shared" si="609"/>
        <v>S</v>
      </c>
      <c r="Q903" s="1" t="str">
        <f t="shared" si="610"/>
        <v>P</v>
      </c>
      <c r="R903" s="1" t="str">
        <f t="shared" si="611"/>
        <v>01</v>
      </c>
      <c r="S903" s="1" t="str">
        <f t="shared" si="596"/>
        <v>04</v>
      </c>
      <c r="T903" s="1" t="str">
        <f t="shared" si="612"/>
        <v>False</v>
      </c>
      <c r="U903" s="1" t="str">
        <f t="shared" si="613"/>
        <v>True</v>
      </c>
      <c r="V903" s="1" t="str">
        <f t="shared" si="605"/>
        <v>U0032685</v>
      </c>
      <c r="W903" s="1">
        <v>1</v>
      </c>
      <c r="Y903" s="1">
        <v>0</v>
      </c>
      <c r="Z903" s="1">
        <v>0</v>
      </c>
      <c r="AI903" s="1" t="str">
        <f t="shared" si="601"/>
        <v>F10</v>
      </c>
      <c r="AJ903" s="1" t="str">
        <f t="shared" si="602"/>
        <v>KID</v>
      </c>
      <c r="AK903" s="1" t="str">
        <f t="shared" si="614"/>
        <v>PA</v>
      </c>
      <c r="AP903" s="1" t="str">
        <f t="shared" si="615"/>
        <v>False</v>
      </c>
      <c r="AR903" s="1" t="str">
        <f t="shared" si="603"/>
        <v>EBONY</v>
      </c>
      <c r="AY903" s="1" t="str">
        <f t="shared" si="616"/>
        <v>PF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 t="str">
        <f t="shared" si="604"/>
        <v>A EVA TOMAIA SYNTHETIC GLITTER</v>
      </c>
      <c r="BF903" s="1" t="str">
        <f t="shared" si="617"/>
        <v>Bonis SpA</v>
      </c>
    </row>
    <row r="904" spans="2:58" x14ac:dyDescent="0.25">
      <c r="B904" s="1">
        <v>2473</v>
      </c>
      <c r="C904" s="1" t="str">
        <f t="shared" si="599"/>
        <v>EBONY4175S7/Y2</v>
      </c>
      <c r="E904" s="1" t="str">
        <f>"35"</f>
        <v>35</v>
      </c>
      <c r="F904" s="1" t="str">
        <f t="shared" si="606"/>
        <v>BONIS SPA</v>
      </c>
      <c r="G904" s="1" t="str">
        <f t="shared" si="594"/>
        <v>STOCK SCAFFALE MP</v>
      </c>
      <c r="H904" s="1" t="str">
        <f t="shared" si="598"/>
        <v>SKBL</v>
      </c>
      <c r="K904" s="1">
        <v>1</v>
      </c>
      <c r="L904" s="1" t="str">
        <f t="shared" si="607"/>
        <v>01</v>
      </c>
      <c r="M904" s="1" t="str">
        <f t="shared" si="595"/>
        <v>408</v>
      </c>
      <c r="N904" s="1" t="str">
        <f t="shared" si="600"/>
        <v>006</v>
      </c>
      <c r="O904" s="1" t="str">
        <f t="shared" si="608"/>
        <v>00</v>
      </c>
      <c r="P904" s="1" t="str">
        <f t="shared" si="609"/>
        <v>S</v>
      </c>
      <c r="Q904" s="1" t="str">
        <f t="shared" si="610"/>
        <v>P</v>
      </c>
      <c r="R904" s="1" t="str">
        <f t="shared" si="611"/>
        <v>01</v>
      </c>
      <c r="S904" s="1" t="str">
        <f t="shared" si="596"/>
        <v>04</v>
      </c>
      <c r="T904" s="1" t="str">
        <f t="shared" si="612"/>
        <v>False</v>
      </c>
      <c r="U904" s="1" t="str">
        <f t="shared" si="613"/>
        <v>True</v>
      </c>
      <c r="V904" s="1" t="str">
        <f t="shared" si="605"/>
        <v>U0032685</v>
      </c>
      <c r="W904" s="1">
        <v>1</v>
      </c>
      <c r="Y904" s="1">
        <v>0</v>
      </c>
      <c r="Z904" s="1">
        <v>0</v>
      </c>
      <c r="AI904" s="1" t="str">
        <f t="shared" si="601"/>
        <v>F10</v>
      </c>
      <c r="AJ904" s="1" t="str">
        <f t="shared" si="602"/>
        <v>KID</v>
      </c>
      <c r="AK904" s="1" t="str">
        <f t="shared" si="614"/>
        <v>PA</v>
      </c>
      <c r="AP904" s="1" t="str">
        <f t="shared" si="615"/>
        <v>False</v>
      </c>
      <c r="AR904" s="1" t="str">
        <f t="shared" si="603"/>
        <v>EBONY</v>
      </c>
      <c r="AY904" s="1" t="str">
        <f t="shared" si="616"/>
        <v>PF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 t="str">
        <f t="shared" si="604"/>
        <v>A EVA TOMAIA SYNTHETIC GLITTER</v>
      </c>
      <c r="BF904" s="1" t="str">
        <f t="shared" si="617"/>
        <v>Bonis SpA</v>
      </c>
    </row>
    <row r="905" spans="2:58" x14ac:dyDescent="0.25">
      <c r="B905" s="1">
        <v>2473</v>
      </c>
      <c r="C905" s="1" t="str">
        <f t="shared" si="599"/>
        <v>EBONY4175S7/Y2</v>
      </c>
      <c r="E905" s="1" t="str">
        <f>"36"</f>
        <v>36</v>
      </c>
      <c r="F905" s="1" t="str">
        <f t="shared" si="606"/>
        <v>BONIS SPA</v>
      </c>
      <c r="G905" s="1" t="str">
        <f t="shared" si="594"/>
        <v>STOCK SCAFFALE MP</v>
      </c>
      <c r="H905" s="1" t="str">
        <f t="shared" si="598"/>
        <v>SKBL</v>
      </c>
      <c r="K905" s="1">
        <v>1</v>
      </c>
      <c r="L905" s="1" t="str">
        <f t="shared" si="607"/>
        <v>01</v>
      </c>
      <c r="M905" s="1" t="str">
        <f t="shared" si="595"/>
        <v>408</v>
      </c>
      <c r="N905" s="1" t="str">
        <f t="shared" si="600"/>
        <v>006</v>
      </c>
      <c r="O905" s="1" t="str">
        <f t="shared" si="608"/>
        <v>00</v>
      </c>
      <c r="P905" s="1" t="str">
        <f t="shared" si="609"/>
        <v>S</v>
      </c>
      <c r="Q905" s="1" t="str">
        <f t="shared" si="610"/>
        <v>P</v>
      </c>
      <c r="R905" s="1" t="str">
        <f t="shared" si="611"/>
        <v>01</v>
      </c>
      <c r="S905" s="1" t="str">
        <f t="shared" si="596"/>
        <v>04</v>
      </c>
      <c r="T905" s="1" t="str">
        <f t="shared" si="612"/>
        <v>False</v>
      </c>
      <c r="U905" s="1" t="str">
        <f t="shared" si="613"/>
        <v>True</v>
      </c>
      <c r="V905" s="1" t="str">
        <f t="shared" si="605"/>
        <v>U0032685</v>
      </c>
      <c r="W905" s="1">
        <v>1</v>
      </c>
      <c r="Y905" s="1">
        <v>0</v>
      </c>
      <c r="Z905" s="1">
        <v>0</v>
      </c>
      <c r="AI905" s="1" t="str">
        <f t="shared" si="601"/>
        <v>F10</v>
      </c>
      <c r="AJ905" s="1" t="str">
        <f t="shared" si="602"/>
        <v>KID</v>
      </c>
      <c r="AK905" s="1" t="str">
        <f t="shared" si="614"/>
        <v>PA</v>
      </c>
      <c r="AP905" s="1" t="str">
        <f t="shared" si="615"/>
        <v>False</v>
      </c>
      <c r="AR905" s="1" t="str">
        <f t="shared" si="603"/>
        <v>EBONY</v>
      </c>
      <c r="AY905" s="1" t="str">
        <f t="shared" si="616"/>
        <v>PF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 t="str">
        <f t="shared" si="604"/>
        <v>A EVA TOMAIA SYNTHETIC GLITTER</v>
      </c>
      <c r="BF905" s="1" t="str">
        <f t="shared" si="617"/>
        <v>Bonis SpA</v>
      </c>
    </row>
    <row r="906" spans="2:58" x14ac:dyDescent="0.25">
      <c r="B906" s="1">
        <v>2473</v>
      </c>
      <c r="C906" s="1" t="str">
        <f t="shared" si="599"/>
        <v>EBONY4175S7/Y2</v>
      </c>
      <c r="E906" s="1" t="str">
        <f>"37"</f>
        <v>37</v>
      </c>
      <c r="F906" s="1" t="str">
        <f t="shared" si="606"/>
        <v>BONIS SPA</v>
      </c>
      <c r="G906" s="1" t="str">
        <f t="shared" si="594"/>
        <v>STOCK SCAFFALE MP</v>
      </c>
      <c r="H906" s="1" t="str">
        <f t="shared" si="598"/>
        <v>SKBL</v>
      </c>
      <c r="K906" s="1">
        <v>1</v>
      </c>
      <c r="L906" s="1" t="str">
        <f t="shared" si="607"/>
        <v>01</v>
      </c>
      <c r="M906" s="1" t="str">
        <f t="shared" si="595"/>
        <v>408</v>
      </c>
      <c r="N906" s="1" t="str">
        <f t="shared" si="600"/>
        <v>006</v>
      </c>
      <c r="O906" s="1" t="str">
        <f t="shared" si="608"/>
        <v>00</v>
      </c>
      <c r="P906" s="1" t="str">
        <f t="shared" si="609"/>
        <v>S</v>
      </c>
      <c r="Q906" s="1" t="str">
        <f t="shared" si="610"/>
        <v>P</v>
      </c>
      <c r="R906" s="1" t="str">
        <f t="shared" si="611"/>
        <v>01</v>
      </c>
      <c r="S906" s="1" t="str">
        <f t="shared" si="596"/>
        <v>04</v>
      </c>
      <c r="T906" s="1" t="str">
        <f t="shared" si="612"/>
        <v>False</v>
      </c>
      <c r="U906" s="1" t="str">
        <f t="shared" si="613"/>
        <v>True</v>
      </c>
      <c r="V906" s="1" t="str">
        <f t="shared" si="605"/>
        <v>U0032685</v>
      </c>
      <c r="W906" s="1">
        <v>1</v>
      </c>
      <c r="Y906" s="1">
        <v>0</v>
      </c>
      <c r="Z906" s="1">
        <v>0</v>
      </c>
      <c r="AI906" s="1" t="str">
        <f t="shared" si="601"/>
        <v>F10</v>
      </c>
      <c r="AJ906" s="1" t="str">
        <f t="shared" si="602"/>
        <v>KID</v>
      </c>
      <c r="AK906" s="1" t="str">
        <f t="shared" si="614"/>
        <v>PA</v>
      </c>
      <c r="AP906" s="1" t="str">
        <f t="shared" si="615"/>
        <v>False</v>
      </c>
      <c r="AR906" s="1" t="str">
        <f t="shared" si="603"/>
        <v>EBONY</v>
      </c>
      <c r="AY906" s="1" t="str">
        <f t="shared" si="616"/>
        <v>PF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 t="str">
        <f t="shared" si="604"/>
        <v>A EVA TOMAIA SYNTHETIC GLITTER</v>
      </c>
      <c r="BF906" s="1" t="str">
        <f t="shared" si="617"/>
        <v>Bonis SpA</v>
      </c>
    </row>
    <row r="907" spans="2:58" x14ac:dyDescent="0.25">
      <c r="B907" s="1">
        <v>2473</v>
      </c>
      <c r="C907" s="1" t="str">
        <f t="shared" si="599"/>
        <v>EBONY4175S7/Y2</v>
      </c>
      <c r="E907" s="1" t="str">
        <f>"38"</f>
        <v>38</v>
      </c>
      <c r="F907" s="1" t="str">
        <f t="shared" si="606"/>
        <v>BONIS SPA</v>
      </c>
      <c r="G907" s="1" t="str">
        <f t="shared" si="594"/>
        <v>STOCK SCAFFALE MP</v>
      </c>
      <c r="H907" s="1" t="str">
        <f t="shared" si="598"/>
        <v>SKBL</v>
      </c>
      <c r="K907" s="1">
        <v>1</v>
      </c>
      <c r="L907" s="1" t="str">
        <f t="shared" si="607"/>
        <v>01</v>
      </c>
      <c r="M907" s="1" t="str">
        <f t="shared" si="595"/>
        <v>408</v>
      </c>
      <c r="N907" s="1" t="str">
        <f t="shared" si="600"/>
        <v>006</v>
      </c>
      <c r="O907" s="1" t="str">
        <f t="shared" si="608"/>
        <v>00</v>
      </c>
      <c r="P907" s="1" t="str">
        <f t="shared" si="609"/>
        <v>S</v>
      </c>
      <c r="Q907" s="1" t="str">
        <f t="shared" si="610"/>
        <v>P</v>
      </c>
      <c r="R907" s="1" t="str">
        <f t="shared" si="611"/>
        <v>01</v>
      </c>
      <c r="S907" s="1" t="str">
        <f t="shared" si="596"/>
        <v>04</v>
      </c>
      <c r="T907" s="1" t="str">
        <f t="shared" si="612"/>
        <v>False</v>
      </c>
      <c r="U907" s="1" t="str">
        <f t="shared" si="613"/>
        <v>True</v>
      </c>
      <c r="V907" s="1" t="str">
        <f t="shared" si="605"/>
        <v>U0032685</v>
      </c>
      <c r="W907" s="1">
        <v>1</v>
      </c>
      <c r="Y907" s="1">
        <v>0</v>
      </c>
      <c r="Z907" s="1">
        <v>0</v>
      </c>
      <c r="AI907" s="1" t="str">
        <f t="shared" si="601"/>
        <v>F10</v>
      </c>
      <c r="AJ907" s="1" t="str">
        <f t="shared" si="602"/>
        <v>KID</v>
      </c>
      <c r="AK907" s="1" t="str">
        <f t="shared" si="614"/>
        <v>PA</v>
      </c>
      <c r="AP907" s="1" t="str">
        <f t="shared" si="615"/>
        <v>False</v>
      </c>
      <c r="AR907" s="1" t="str">
        <f t="shared" si="603"/>
        <v>EBONY</v>
      </c>
      <c r="AY907" s="1" t="str">
        <f t="shared" si="616"/>
        <v>PF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 t="str">
        <f t="shared" si="604"/>
        <v>A EVA TOMAIA SYNTHETIC GLITTER</v>
      </c>
      <c r="BF907" s="1" t="str">
        <f t="shared" si="617"/>
        <v>Bonis SpA</v>
      </c>
    </row>
    <row r="908" spans="2:58" x14ac:dyDescent="0.25">
      <c r="B908" s="1">
        <v>2473</v>
      </c>
      <c r="C908" s="1" t="str">
        <f t="shared" si="599"/>
        <v>EBONY4175S7/Y2</v>
      </c>
      <c r="E908" s="1" t="str">
        <f>"34"</f>
        <v>34</v>
      </c>
      <c r="F908" s="1" t="str">
        <f t="shared" si="606"/>
        <v>BONIS SPA</v>
      </c>
      <c r="G908" s="1" t="str">
        <f t="shared" si="594"/>
        <v>STOCK SCAFFALE MP</v>
      </c>
      <c r="H908" s="1" t="str">
        <f t="shared" si="598"/>
        <v>SKBL</v>
      </c>
      <c r="K908" s="1">
        <v>2</v>
      </c>
      <c r="L908" s="1" t="str">
        <f t="shared" si="607"/>
        <v>01</v>
      </c>
      <c r="M908" s="1" t="str">
        <f t="shared" si="595"/>
        <v>408</v>
      </c>
      <c r="N908" s="1" t="str">
        <f t="shared" si="600"/>
        <v>006</v>
      </c>
      <c r="O908" s="1" t="str">
        <f t="shared" si="608"/>
        <v>00</v>
      </c>
      <c r="P908" s="1" t="str">
        <f t="shared" si="609"/>
        <v>S</v>
      </c>
      <c r="Q908" s="1" t="str">
        <f t="shared" si="610"/>
        <v>P</v>
      </c>
      <c r="R908" s="1" t="str">
        <f t="shared" si="611"/>
        <v>01</v>
      </c>
      <c r="S908" s="1" t="str">
        <f t="shared" si="596"/>
        <v>04</v>
      </c>
      <c r="T908" s="1" t="str">
        <f t="shared" si="612"/>
        <v>False</v>
      </c>
      <c r="U908" s="1" t="str">
        <f t="shared" si="613"/>
        <v>True</v>
      </c>
      <c r="V908" s="1" t="str">
        <f t="shared" ref="V908:V916" si="618">"U0032684"</f>
        <v>U0032684</v>
      </c>
      <c r="W908" s="1">
        <v>1</v>
      </c>
      <c r="Y908" s="1">
        <v>0</v>
      </c>
      <c r="Z908" s="1">
        <v>0</v>
      </c>
      <c r="AI908" s="1" t="str">
        <f t="shared" si="601"/>
        <v>F10</v>
      </c>
      <c r="AJ908" s="1" t="str">
        <f t="shared" si="602"/>
        <v>KID</v>
      </c>
      <c r="AK908" s="1" t="str">
        <f t="shared" si="614"/>
        <v>PA</v>
      </c>
      <c r="AP908" s="1" t="str">
        <f t="shared" si="615"/>
        <v>False</v>
      </c>
      <c r="AR908" s="1" t="str">
        <f t="shared" si="603"/>
        <v>EBONY</v>
      </c>
      <c r="AY908" s="1" t="str">
        <f t="shared" si="616"/>
        <v>PF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 t="str">
        <f t="shared" si="604"/>
        <v>A EVA TOMAIA SYNTHETIC GLITTER</v>
      </c>
      <c r="BF908" s="1" t="str">
        <f t="shared" si="617"/>
        <v>Bonis SpA</v>
      </c>
    </row>
    <row r="909" spans="2:58" x14ac:dyDescent="0.25">
      <c r="B909" s="1">
        <v>2473</v>
      </c>
      <c r="C909" s="1" t="str">
        <f t="shared" si="599"/>
        <v>EBONY4175S7/Y2</v>
      </c>
      <c r="E909" s="1" t="str">
        <f>"35"</f>
        <v>35</v>
      </c>
      <c r="F909" s="1" t="str">
        <f t="shared" si="606"/>
        <v>BONIS SPA</v>
      </c>
      <c r="G909" s="1" t="str">
        <f t="shared" si="594"/>
        <v>STOCK SCAFFALE MP</v>
      </c>
      <c r="H909" s="1" t="str">
        <f t="shared" si="598"/>
        <v>SKBL</v>
      </c>
      <c r="K909" s="1">
        <v>2</v>
      </c>
      <c r="L909" s="1" t="str">
        <f t="shared" si="607"/>
        <v>01</v>
      </c>
      <c r="M909" s="1" t="str">
        <f t="shared" si="595"/>
        <v>408</v>
      </c>
      <c r="N909" s="1" t="str">
        <f t="shared" si="600"/>
        <v>006</v>
      </c>
      <c r="O909" s="1" t="str">
        <f t="shared" si="608"/>
        <v>00</v>
      </c>
      <c r="P909" s="1" t="str">
        <f t="shared" si="609"/>
        <v>S</v>
      </c>
      <c r="Q909" s="1" t="str">
        <f t="shared" si="610"/>
        <v>P</v>
      </c>
      <c r="R909" s="1" t="str">
        <f t="shared" si="611"/>
        <v>01</v>
      </c>
      <c r="S909" s="1" t="str">
        <f t="shared" si="596"/>
        <v>04</v>
      </c>
      <c r="T909" s="1" t="str">
        <f t="shared" si="612"/>
        <v>False</v>
      </c>
      <c r="U909" s="1" t="str">
        <f t="shared" si="613"/>
        <v>True</v>
      </c>
      <c r="V909" s="1" t="str">
        <f t="shared" si="618"/>
        <v>U0032684</v>
      </c>
      <c r="W909" s="1">
        <v>1</v>
      </c>
      <c r="Y909" s="1">
        <v>0</v>
      </c>
      <c r="Z909" s="1">
        <v>0</v>
      </c>
      <c r="AI909" s="1" t="str">
        <f t="shared" si="601"/>
        <v>F10</v>
      </c>
      <c r="AJ909" s="1" t="str">
        <f t="shared" si="602"/>
        <v>KID</v>
      </c>
      <c r="AK909" s="1" t="str">
        <f t="shared" si="614"/>
        <v>PA</v>
      </c>
      <c r="AP909" s="1" t="str">
        <f t="shared" si="615"/>
        <v>False</v>
      </c>
      <c r="AR909" s="1" t="str">
        <f t="shared" si="603"/>
        <v>EBONY</v>
      </c>
      <c r="AY909" s="1" t="str">
        <f t="shared" si="616"/>
        <v>PF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 t="str">
        <f t="shared" si="604"/>
        <v>A EVA TOMAIA SYNTHETIC GLITTER</v>
      </c>
      <c r="BF909" s="1" t="str">
        <f t="shared" si="617"/>
        <v>Bonis SpA</v>
      </c>
    </row>
    <row r="910" spans="2:58" x14ac:dyDescent="0.25">
      <c r="B910" s="1">
        <v>2473</v>
      </c>
      <c r="C910" s="1" t="str">
        <f t="shared" si="599"/>
        <v>EBONY4175S7/Y2</v>
      </c>
      <c r="E910" s="1" t="str">
        <f>"32"</f>
        <v>32</v>
      </c>
      <c r="F910" s="1" t="str">
        <f t="shared" si="606"/>
        <v>BONIS SPA</v>
      </c>
      <c r="G910" s="1" t="str">
        <f t="shared" si="594"/>
        <v>STOCK SCAFFALE MP</v>
      </c>
      <c r="H910" s="1" t="str">
        <f t="shared" si="598"/>
        <v>SKBL</v>
      </c>
      <c r="K910" s="1">
        <v>1</v>
      </c>
      <c r="L910" s="1" t="str">
        <f t="shared" si="607"/>
        <v>01</v>
      </c>
      <c r="M910" s="1" t="str">
        <f t="shared" si="595"/>
        <v>408</v>
      </c>
      <c r="N910" s="1" t="str">
        <f t="shared" si="600"/>
        <v>006</v>
      </c>
      <c r="O910" s="1" t="str">
        <f t="shared" si="608"/>
        <v>00</v>
      </c>
      <c r="P910" s="1" t="str">
        <f t="shared" si="609"/>
        <v>S</v>
      </c>
      <c r="Q910" s="1" t="str">
        <f t="shared" si="610"/>
        <v>P</v>
      </c>
      <c r="R910" s="1" t="str">
        <f t="shared" si="611"/>
        <v>01</v>
      </c>
      <c r="S910" s="1" t="str">
        <f t="shared" si="596"/>
        <v>04</v>
      </c>
      <c r="T910" s="1" t="str">
        <f t="shared" si="612"/>
        <v>False</v>
      </c>
      <c r="U910" s="1" t="str">
        <f t="shared" si="613"/>
        <v>True</v>
      </c>
      <c r="V910" s="1" t="str">
        <f t="shared" si="618"/>
        <v>U0032684</v>
      </c>
      <c r="W910" s="1">
        <v>1</v>
      </c>
      <c r="Y910" s="1">
        <v>0</v>
      </c>
      <c r="Z910" s="1">
        <v>0</v>
      </c>
      <c r="AI910" s="1" t="str">
        <f t="shared" si="601"/>
        <v>F10</v>
      </c>
      <c r="AJ910" s="1" t="str">
        <f t="shared" si="602"/>
        <v>KID</v>
      </c>
      <c r="AK910" s="1" t="str">
        <f t="shared" si="614"/>
        <v>PA</v>
      </c>
      <c r="AP910" s="1" t="str">
        <f t="shared" si="615"/>
        <v>False</v>
      </c>
      <c r="AR910" s="1" t="str">
        <f t="shared" si="603"/>
        <v>EBONY</v>
      </c>
      <c r="AY910" s="1" t="str">
        <f t="shared" si="616"/>
        <v>PF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 t="str">
        <f t="shared" si="604"/>
        <v>A EVA TOMAIA SYNTHETIC GLITTER</v>
      </c>
      <c r="BF910" s="1" t="str">
        <f t="shared" si="617"/>
        <v>Bonis SpA</v>
      </c>
    </row>
    <row r="911" spans="2:58" x14ac:dyDescent="0.25">
      <c r="B911" s="1">
        <v>2473</v>
      </c>
      <c r="C911" s="1" t="str">
        <f t="shared" si="599"/>
        <v>EBONY4175S7/Y2</v>
      </c>
      <c r="E911" s="1" t="str">
        <f>"31"</f>
        <v>31</v>
      </c>
      <c r="F911" s="1" t="str">
        <f t="shared" si="606"/>
        <v>BONIS SPA</v>
      </c>
      <c r="G911" s="1" t="str">
        <f t="shared" si="594"/>
        <v>STOCK SCAFFALE MP</v>
      </c>
      <c r="H911" s="1" t="str">
        <f t="shared" si="598"/>
        <v>SKBL</v>
      </c>
      <c r="K911" s="1">
        <v>1</v>
      </c>
      <c r="L911" s="1" t="str">
        <f t="shared" si="607"/>
        <v>01</v>
      </c>
      <c r="M911" s="1" t="str">
        <f t="shared" si="595"/>
        <v>408</v>
      </c>
      <c r="N911" s="1" t="str">
        <f t="shared" si="600"/>
        <v>006</v>
      </c>
      <c r="O911" s="1" t="str">
        <f t="shared" si="608"/>
        <v>00</v>
      </c>
      <c r="P911" s="1" t="str">
        <f t="shared" si="609"/>
        <v>S</v>
      </c>
      <c r="Q911" s="1" t="str">
        <f t="shared" si="610"/>
        <v>P</v>
      </c>
      <c r="R911" s="1" t="str">
        <f t="shared" si="611"/>
        <v>01</v>
      </c>
      <c r="S911" s="1" t="str">
        <f t="shared" si="596"/>
        <v>04</v>
      </c>
      <c r="T911" s="1" t="str">
        <f t="shared" si="612"/>
        <v>False</v>
      </c>
      <c r="U911" s="1" t="str">
        <f t="shared" si="613"/>
        <v>True</v>
      </c>
      <c r="V911" s="1" t="str">
        <f t="shared" si="618"/>
        <v>U0032684</v>
      </c>
      <c r="W911" s="1">
        <v>1</v>
      </c>
      <c r="Y911" s="1">
        <v>0</v>
      </c>
      <c r="Z911" s="1">
        <v>0</v>
      </c>
      <c r="AI911" s="1" t="str">
        <f t="shared" si="601"/>
        <v>F10</v>
      </c>
      <c r="AJ911" s="1" t="str">
        <f t="shared" si="602"/>
        <v>KID</v>
      </c>
      <c r="AK911" s="1" t="str">
        <f t="shared" si="614"/>
        <v>PA</v>
      </c>
      <c r="AP911" s="1" t="str">
        <f t="shared" si="615"/>
        <v>False</v>
      </c>
      <c r="AR911" s="1" t="str">
        <f t="shared" si="603"/>
        <v>EBONY</v>
      </c>
      <c r="AY911" s="1" t="str">
        <f t="shared" si="616"/>
        <v>PF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 t="str">
        <f t="shared" si="604"/>
        <v>A EVA TOMAIA SYNTHETIC GLITTER</v>
      </c>
      <c r="BF911" s="1" t="str">
        <f t="shared" si="617"/>
        <v>Bonis SpA</v>
      </c>
    </row>
    <row r="912" spans="2:58" x14ac:dyDescent="0.25">
      <c r="B912" s="1">
        <v>2473</v>
      </c>
      <c r="C912" s="1" t="str">
        <f t="shared" si="599"/>
        <v>EBONY4175S7/Y2</v>
      </c>
      <c r="E912" s="1" t="str">
        <f>"36"</f>
        <v>36</v>
      </c>
      <c r="F912" s="1" t="str">
        <f t="shared" si="606"/>
        <v>BONIS SPA</v>
      </c>
      <c r="G912" s="1" t="str">
        <f t="shared" si="594"/>
        <v>STOCK SCAFFALE MP</v>
      </c>
      <c r="H912" s="1" t="str">
        <f t="shared" si="598"/>
        <v>SKBL</v>
      </c>
      <c r="K912" s="1">
        <v>1</v>
      </c>
      <c r="L912" s="1" t="str">
        <f t="shared" si="607"/>
        <v>01</v>
      </c>
      <c r="M912" s="1" t="str">
        <f t="shared" si="595"/>
        <v>408</v>
      </c>
      <c r="N912" s="1" t="str">
        <f t="shared" si="600"/>
        <v>006</v>
      </c>
      <c r="O912" s="1" t="str">
        <f t="shared" si="608"/>
        <v>00</v>
      </c>
      <c r="P912" s="1" t="str">
        <f t="shared" si="609"/>
        <v>S</v>
      </c>
      <c r="Q912" s="1" t="str">
        <f t="shared" si="610"/>
        <v>P</v>
      </c>
      <c r="R912" s="1" t="str">
        <f t="shared" si="611"/>
        <v>01</v>
      </c>
      <c r="S912" s="1" t="str">
        <f t="shared" si="596"/>
        <v>04</v>
      </c>
      <c r="T912" s="1" t="str">
        <f t="shared" si="612"/>
        <v>False</v>
      </c>
      <c r="U912" s="1" t="str">
        <f t="shared" si="613"/>
        <v>True</v>
      </c>
      <c r="V912" s="1" t="str">
        <f t="shared" si="618"/>
        <v>U0032684</v>
      </c>
      <c r="W912" s="1">
        <v>1</v>
      </c>
      <c r="Y912" s="1">
        <v>0</v>
      </c>
      <c r="Z912" s="1">
        <v>0</v>
      </c>
      <c r="AI912" s="1" t="str">
        <f t="shared" si="601"/>
        <v>F10</v>
      </c>
      <c r="AJ912" s="1" t="str">
        <f t="shared" si="602"/>
        <v>KID</v>
      </c>
      <c r="AK912" s="1" t="str">
        <f t="shared" si="614"/>
        <v>PA</v>
      </c>
      <c r="AP912" s="1" t="str">
        <f t="shared" si="615"/>
        <v>False</v>
      </c>
      <c r="AR912" s="1" t="str">
        <f t="shared" si="603"/>
        <v>EBONY</v>
      </c>
      <c r="AY912" s="1" t="str">
        <f t="shared" si="616"/>
        <v>PF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 t="str">
        <f t="shared" si="604"/>
        <v>A EVA TOMAIA SYNTHETIC GLITTER</v>
      </c>
      <c r="BF912" s="1" t="str">
        <f t="shared" si="617"/>
        <v>Bonis SpA</v>
      </c>
    </row>
    <row r="913" spans="2:58" x14ac:dyDescent="0.25">
      <c r="B913" s="1">
        <v>2473</v>
      </c>
      <c r="C913" s="1" t="str">
        <f t="shared" si="599"/>
        <v>EBONY4175S7/Y2</v>
      </c>
      <c r="E913" s="1" t="str">
        <f>"33"</f>
        <v>33</v>
      </c>
      <c r="F913" s="1" t="str">
        <f t="shared" si="606"/>
        <v>BONIS SPA</v>
      </c>
      <c r="G913" s="1" t="str">
        <f t="shared" si="594"/>
        <v>STOCK SCAFFALE MP</v>
      </c>
      <c r="H913" s="1" t="str">
        <f t="shared" si="598"/>
        <v>SKBL</v>
      </c>
      <c r="K913" s="1">
        <v>2</v>
      </c>
      <c r="L913" s="1" t="str">
        <f t="shared" si="607"/>
        <v>01</v>
      </c>
      <c r="M913" s="1" t="str">
        <f t="shared" si="595"/>
        <v>408</v>
      </c>
      <c r="N913" s="1" t="str">
        <f t="shared" si="600"/>
        <v>006</v>
      </c>
      <c r="O913" s="1" t="str">
        <f t="shared" si="608"/>
        <v>00</v>
      </c>
      <c r="P913" s="1" t="str">
        <f t="shared" si="609"/>
        <v>S</v>
      </c>
      <c r="Q913" s="1" t="str">
        <f t="shared" si="610"/>
        <v>P</v>
      </c>
      <c r="R913" s="1" t="str">
        <f t="shared" si="611"/>
        <v>01</v>
      </c>
      <c r="S913" s="1" t="str">
        <f t="shared" si="596"/>
        <v>04</v>
      </c>
      <c r="T913" s="1" t="str">
        <f t="shared" si="612"/>
        <v>False</v>
      </c>
      <c r="U913" s="1" t="str">
        <f t="shared" si="613"/>
        <v>True</v>
      </c>
      <c r="V913" s="1" t="str">
        <f t="shared" si="618"/>
        <v>U0032684</v>
      </c>
      <c r="W913" s="1">
        <v>1</v>
      </c>
      <c r="Y913" s="1">
        <v>0</v>
      </c>
      <c r="Z913" s="1">
        <v>0</v>
      </c>
      <c r="AI913" s="1" t="str">
        <f t="shared" si="601"/>
        <v>F10</v>
      </c>
      <c r="AJ913" s="1" t="str">
        <f t="shared" si="602"/>
        <v>KID</v>
      </c>
      <c r="AK913" s="1" t="str">
        <f t="shared" si="614"/>
        <v>PA</v>
      </c>
      <c r="AP913" s="1" t="str">
        <f t="shared" si="615"/>
        <v>False</v>
      </c>
      <c r="AR913" s="1" t="str">
        <f t="shared" si="603"/>
        <v>EBONY</v>
      </c>
      <c r="AY913" s="1" t="str">
        <f t="shared" si="616"/>
        <v>PF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 t="str">
        <f t="shared" si="604"/>
        <v>A EVA TOMAIA SYNTHETIC GLITTER</v>
      </c>
      <c r="BF913" s="1" t="str">
        <f t="shared" si="617"/>
        <v>Bonis SpA</v>
      </c>
    </row>
    <row r="914" spans="2:58" x14ac:dyDescent="0.25">
      <c r="B914" s="1">
        <v>2473</v>
      </c>
      <c r="C914" s="1" t="str">
        <f t="shared" si="599"/>
        <v>EBONY4175S7/Y2</v>
      </c>
      <c r="E914" s="1" t="str">
        <f>"38"</f>
        <v>38</v>
      </c>
      <c r="F914" s="1" t="str">
        <f t="shared" si="606"/>
        <v>BONIS SPA</v>
      </c>
      <c r="G914" s="1" t="str">
        <f t="shared" si="594"/>
        <v>STOCK SCAFFALE MP</v>
      </c>
      <c r="H914" s="1" t="str">
        <f t="shared" si="598"/>
        <v>SKBL</v>
      </c>
      <c r="K914" s="1">
        <v>2</v>
      </c>
      <c r="L914" s="1" t="str">
        <f t="shared" si="607"/>
        <v>01</v>
      </c>
      <c r="M914" s="1" t="str">
        <f t="shared" si="595"/>
        <v>408</v>
      </c>
      <c r="N914" s="1" t="str">
        <f t="shared" si="600"/>
        <v>006</v>
      </c>
      <c r="O914" s="1" t="str">
        <f t="shared" si="608"/>
        <v>00</v>
      </c>
      <c r="P914" s="1" t="str">
        <f t="shared" si="609"/>
        <v>S</v>
      </c>
      <c r="Q914" s="1" t="str">
        <f t="shared" si="610"/>
        <v>P</v>
      </c>
      <c r="R914" s="1" t="str">
        <f t="shared" si="611"/>
        <v>01</v>
      </c>
      <c r="S914" s="1" t="str">
        <f t="shared" si="596"/>
        <v>04</v>
      </c>
      <c r="T914" s="1" t="str">
        <f t="shared" si="612"/>
        <v>False</v>
      </c>
      <c r="U914" s="1" t="str">
        <f t="shared" si="613"/>
        <v>True</v>
      </c>
      <c r="V914" s="1" t="str">
        <f t="shared" si="618"/>
        <v>U0032684</v>
      </c>
      <c r="W914" s="1">
        <v>1</v>
      </c>
      <c r="Y914" s="1">
        <v>0</v>
      </c>
      <c r="Z914" s="1">
        <v>0</v>
      </c>
      <c r="AI914" s="1" t="str">
        <f t="shared" si="601"/>
        <v>F10</v>
      </c>
      <c r="AJ914" s="1" t="str">
        <f t="shared" si="602"/>
        <v>KID</v>
      </c>
      <c r="AK914" s="1" t="str">
        <f t="shared" si="614"/>
        <v>PA</v>
      </c>
      <c r="AP914" s="1" t="str">
        <f t="shared" si="615"/>
        <v>False</v>
      </c>
      <c r="AR914" s="1" t="str">
        <f t="shared" si="603"/>
        <v>EBONY</v>
      </c>
      <c r="AY914" s="1" t="str">
        <f t="shared" si="616"/>
        <v>PF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 t="str">
        <f t="shared" si="604"/>
        <v>A EVA TOMAIA SYNTHETIC GLITTER</v>
      </c>
      <c r="BF914" s="1" t="str">
        <f t="shared" si="617"/>
        <v>Bonis SpA</v>
      </c>
    </row>
    <row r="915" spans="2:58" x14ac:dyDescent="0.25">
      <c r="B915" s="1">
        <v>2473</v>
      </c>
      <c r="C915" s="1" t="str">
        <f t="shared" si="599"/>
        <v>EBONY4175S7/Y2</v>
      </c>
      <c r="E915" s="1" t="str">
        <f>"37"</f>
        <v>37</v>
      </c>
      <c r="F915" s="1" t="str">
        <f t="shared" si="606"/>
        <v>BONIS SPA</v>
      </c>
      <c r="G915" s="1" t="str">
        <f t="shared" si="594"/>
        <v>STOCK SCAFFALE MP</v>
      </c>
      <c r="H915" s="1" t="str">
        <f t="shared" si="598"/>
        <v>SKBL</v>
      </c>
      <c r="K915" s="1">
        <v>1</v>
      </c>
      <c r="L915" s="1" t="str">
        <f t="shared" si="607"/>
        <v>01</v>
      </c>
      <c r="M915" s="1" t="str">
        <f t="shared" si="595"/>
        <v>408</v>
      </c>
      <c r="N915" s="1" t="str">
        <f t="shared" si="600"/>
        <v>006</v>
      </c>
      <c r="O915" s="1" t="str">
        <f t="shared" si="608"/>
        <v>00</v>
      </c>
      <c r="P915" s="1" t="str">
        <f t="shared" si="609"/>
        <v>S</v>
      </c>
      <c r="Q915" s="1" t="str">
        <f t="shared" si="610"/>
        <v>P</v>
      </c>
      <c r="R915" s="1" t="str">
        <f t="shared" si="611"/>
        <v>01</v>
      </c>
      <c r="S915" s="1" t="str">
        <f t="shared" si="596"/>
        <v>04</v>
      </c>
      <c r="T915" s="1" t="str">
        <f t="shared" si="612"/>
        <v>False</v>
      </c>
      <c r="U915" s="1" t="str">
        <f t="shared" si="613"/>
        <v>True</v>
      </c>
      <c r="V915" s="1" t="str">
        <f t="shared" si="618"/>
        <v>U0032684</v>
      </c>
      <c r="W915" s="1">
        <v>1</v>
      </c>
      <c r="Y915" s="1">
        <v>0</v>
      </c>
      <c r="Z915" s="1">
        <v>0</v>
      </c>
      <c r="AI915" s="1" t="str">
        <f t="shared" si="601"/>
        <v>F10</v>
      </c>
      <c r="AJ915" s="1" t="str">
        <f t="shared" si="602"/>
        <v>KID</v>
      </c>
      <c r="AK915" s="1" t="str">
        <f t="shared" si="614"/>
        <v>PA</v>
      </c>
      <c r="AP915" s="1" t="str">
        <f t="shared" si="615"/>
        <v>False</v>
      </c>
      <c r="AR915" s="1" t="str">
        <f t="shared" si="603"/>
        <v>EBONY</v>
      </c>
      <c r="AY915" s="1" t="str">
        <f t="shared" si="616"/>
        <v>PF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 t="str">
        <f t="shared" si="604"/>
        <v>A EVA TOMAIA SYNTHETIC GLITTER</v>
      </c>
      <c r="BF915" s="1" t="str">
        <f t="shared" si="617"/>
        <v>Bonis SpA</v>
      </c>
    </row>
    <row r="916" spans="2:58" x14ac:dyDescent="0.25">
      <c r="B916" s="1">
        <v>2473</v>
      </c>
      <c r="C916" s="1" t="str">
        <f t="shared" si="599"/>
        <v>EBONY4175S7/Y2</v>
      </c>
      <c r="E916" s="1" t="str">
        <f>"30"</f>
        <v>30</v>
      </c>
      <c r="F916" s="1" t="str">
        <f t="shared" si="606"/>
        <v>BONIS SPA</v>
      </c>
      <c r="G916" s="1" t="str">
        <f t="shared" si="594"/>
        <v>STOCK SCAFFALE MP</v>
      </c>
      <c r="H916" s="1" t="str">
        <f t="shared" si="598"/>
        <v>SKBL</v>
      </c>
      <c r="K916" s="1">
        <v>2</v>
      </c>
      <c r="L916" s="1" t="str">
        <f t="shared" si="607"/>
        <v>01</v>
      </c>
      <c r="M916" s="1" t="str">
        <f t="shared" si="595"/>
        <v>408</v>
      </c>
      <c r="N916" s="1" t="str">
        <f t="shared" si="600"/>
        <v>006</v>
      </c>
      <c r="O916" s="1" t="str">
        <f t="shared" si="608"/>
        <v>00</v>
      </c>
      <c r="P916" s="1" t="str">
        <f t="shared" si="609"/>
        <v>S</v>
      </c>
      <c r="Q916" s="1" t="str">
        <f t="shared" si="610"/>
        <v>P</v>
      </c>
      <c r="R916" s="1" t="str">
        <f t="shared" si="611"/>
        <v>01</v>
      </c>
      <c r="S916" s="1" t="str">
        <f t="shared" si="596"/>
        <v>04</v>
      </c>
      <c r="T916" s="1" t="str">
        <f t="shared" si="612"/>
        <v>False</v>
      </c>
      <c r="U916" s="1" t="str">
        <f t="shared" si="613"/>
        <v>True</v>
      </c>
      <c r="V916" s="1" t="str">
        <f t="shared" si="618"/>
        <v>U0032684</v>
      </c>
      <c r="W916" s="1">
        <v>1</v>
      </c>
      <c r="Y916" s="1">
        <v>0</v>
      </c>
      <c r="Z916" s="1">
        <v>0</v>
      </c>
      <c r="AI916" s="1" t="str">
        <f t="shared" si="601"/>
        <v>F10</v>
      </c>
      <c r="AJ916" s="1" t="str">
        <f t="shared" si="602"/>
        <v>KID</v>
      </c>
      <c r="AK916" s="1" t="str">
        <f t="shared" si="614"/>
        <v>PA</v>
      </c>
      <c r="AP916" s="1" t="str">
        <f t="shared" si="615"/>
        <v>False</v>
      </c>
      <c r="AR916" s="1" t="str">
        <f t="shared" si="603"/>
        <v>EBONY</v>
      </c>
      <c r="AY916" s="1" t="str">
        <f t="shared" si="616"/>
        <v>PF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 t="str">
        <f t="shared" si="604"/>
        <v>A EVA TOMAIA SYNTHETIC GLITTER</v>
      </c>
      <c r="BF916" s="1" t="str">
        <f t="shared" si="617"/>
        <v>Bonis SpA</v>
      </c>
    </row>
    <row r="917" spans="2:58" x14ac:dyDescent="0.25">
      <c r="B917" s="1">
        <v>2473</v>
      </c>
      <c r="C917" s="1" t="str">
        <f t="shared" si="599"/>
        <v>EBONY4175S7/Y2</v>
      </c>
      <c r="E917" s="1" t="str">
        <f>"28"</f>
        <v>28</v>
      </c>
      <c r="F917" s="1" t="str">
        <f t="shared" si="606"/>
        <v>BONIS SPA</v>
      </c>
      <c r="G917" s="1" t="str">
        <f t="shared" si="594"/>
        <v>STOCK SCAFFALE MP</v>
      </c>
      <c r="H917" s="1" t="str">
        <f t="shared" ref="H917:H930" si="619">"SIL"</f>
        <v>SIL</v>
      </c>
      <c r="K917" s="1">
        <v>3</v>
      </c>
      <c r="L917" s="1" t="str">
        <f t="shared" si="607"/>
        <v>01</v>
      </c>
      <c r="M917" s="1" t="str">
        <f t="shared" si="595"/>
        <v>408</v>
      </c>
      <c r="N917" s="1" t="str">
        <f t="shared" si="600"/>
        <v>006</v>
      </c>
      <c r="O917" s="1" t="str">
        <f t="shared" si="608"/>
        <v>00</v>
      </c>
      <c r="P917" s="1" t="str">
        <f t="shared" si="609"/>
        <v>S</v>
      </c>
      <c r="Q917" s="1" t="str">
        <f t="shared" si="610"/>
        <v>P</v>
      </c>
      <c r="R917" s="1" t="str">
        <f t="shared" si="611"/>
        <v>01</v>
      </c>
      <c r="S917" s="1" t="str">
        <f t="shared" si="596"/>
        <v>04</v>
      </c>
      <c r="T917" s="1" t="str">
        <f t="shared" si="612"/>
        <v>False</v>
      </c>
      <c r="U917" s="1" t="str">
        <f t="shared" si="613"/>
        <v>True</v>
      </c>
      <c r="V917" s="1" t="str">
        <f t="shared" ref="V917:V924" si="620">"U0032683"</f>
        <v>U0032683</v>
      </c>
      <c r="W917" s="1">
        <v>1</v>
      </c>
      <c r="Y917" s="1">
        <v>0</v>
      </c>
      <c r="Z917" s="1">
        <v>0</v>
      </c>
      <c r="AI917" s="1" t="str">
        <f t="shared" si="601"/>
        <v>F10</v>
      </c>
      <c r="AJ917" s="1" t="str">
        <f t="shared" si="602"/>
        <v>KID</v>
      </c>
      <c r="AK917" s="1" t="str">
        <f t="shared" si="614"/>
        <v>PA</v>
      </c>
      <c r="AP917" s="1" t="str">
        <f t="shared" si="615"/>
        <v>False</v>
      </c>
      <c r="AR917" s="1" t="str">
        <f t="shared" si="603"/>
        <v>EBONY</v>
      </c>
      <c r="AY917" s="1" t="str">
        <f t="shared" si="616"/>
        <v>PF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 t="str">
        <f t="shared" si="604"/>
        <v>A EVA TOMAIA SYNTHETIC GLITTER</v>
      </c>
      <c r="BF917" s="1" t="str">
        <f t="shared" si="617"/>
        <v>Bonis SpA</v>
      </c>
    </row>
    <row r="918" spans="2:58" x14ac:dyDescent="0.25">
      <c r="B918" s="1">
        <v>2473</v>
      </c>
      <c r="C918" s="1" t="str">
        <f t="shared" si="599"/>
        <v>EBONY4175S7/Y2</v>
      </c>
      <c r="E918" s="1" t="str">
        <f>"30"</f>
        <v>30</v>
      </c>
      <c r="F918" s="1" t="str">
        <f t="shared" si="606"/>
        <v>BONIS SPA</v>
      </c>
      <c r="G918" s="1" t="str">
        <f t="shared" si="594"/>
        <v>STOCK SCAFFALE MP</v>
      </c>
      <c r="H918" s="1" t="str">
        <f t="shared" si="619"/>
        <v>SIL</v>
      </c>
      <c r="K918" s="1">
        <v>2</v>
      </c>
      <c r="L918" s="1" t="str">
        <f t="shared" si="607"/>
        <v>01</v>
      </c>
      <c r="M918" s="1" t="str">
        <f t="shared" si="595"/>
        <v>408</v>
      </c>
      <c r="N918" s="1" t="str">
        <f t="shared" si="600"/>
        <v>006</v>
      </c>
      <c r="O918" s="1" t="str">
        <f t="shared" si="608"/>
        <v>00</v>
      </c>
      <c r="P918" s="1" t="str">
        <f t="shared" si="609"/>
        <v>S</v>
      </c>
      <c r="Q918" s="1" t="str">
        <f t="shared" si="610"/>
        <v>P</v>
      </c>
      <c r="R918" s="1" t="str">
        <f t="shared" si="611"/>
        <v>01</v>
      </c>
      <c r="S918" s="1" t="str">
        <f t="shared" si="596"/>
        <v>04</v>
      </c>
      <c r="T918" s="1" t="str">
        <f t="shared" si="612"/>
        <v>False</v>
      </c>
      <c r="U918" s="1" t="str">
        <f t="shared" si="613"/>
        <v>True</v>
      </c>
      <c r="V918" s="1" t="str">
        <f t="shared" si="620"/>
        <v>U0032683</v>
      </c>
      <c r="W918" s="1">
        <v>1</v>
      </c>
      <c r="Y918" s="1">
        <v>0</v>
      </c>
      <c r="Z918" s="1">
        <v>0</v>
      </c>
      <c r="AI918" s="1" t="str">
        <f t="shared" si="601"/>
        <v>F10</v>
      </c>
      <c r="AJ918" s="1" t="str">
        <f t="shared" si="602"/>
        <v>KID</v>
      </c>
      <c r="AK918" s="1" t="str">
        <f t="shared" si="614"/>
        <v>PA</v>
      </c>
      <c r="AP918" s="1" t="str">
        <f t="shared" si="615"/>
        <v>False</v>
      </c>
      <c r="AR918" s="1" t="str">
        <f t="shared" si="603"/>
        <v>EBONY</v>
      </c>
      <c r="AY918" s="1" t="str">
        <f t="shared" si="616"/>
        <v>PF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 t="str">
        <f t="shared" si="604"/>
        <v>A EVA TOMAIA SYNTHETIC GLITTER</v>
      </c>
      <c r="BF918" s="1" t="str">
        <f t="shared" si="617"/>
        <v>Bonis SpA</v>
      </c>
    </row>
    <row r="919" spans="2:58" x14ac:dyDescent="0.25">
      <c r="B919" s="1">
        <v>2473</v>
      </c>
      <c r="C919" s="1" t="str">
        <f t="shared" si="599"/>
        <v>EBONY4175S7/Y2</v>
      </c>
      <c r="E919" s="1" t="str">
        <f>"31"</f>
        <v>31</v>
      </c>
      <c r="F919" s="1" t="str">
        <f t="shared" si="606"/>
        <v>BONIS SPA</v>
      </c>
      <c r="G919" s="1" t="str">
        <f t="shared" si="594"/>
        <v>STOCK SCAFFALE MP</v>
      </c>
      <c r="H919" s="1" t="str">
        <f t="shared" si="619"/>
        <v>SIL</v>
      </c>
      <c r="K919" s="1">
        <v>3</v>
      </c>
      <c r="L919" s="1" t="str">
        <f t="shared" si="607"/>
        <v>01</v>
      </c>
      <c r="M919" s="1" t="str">
        <f t="shared" si="595"/>
        <v>408</v>
      </c>
      <c r="N919" s="1" t="str">
        <f t="shared" si="600"/>
        <v>006</v>
      </c>
      <c r="O919" s="1" t="str">
        <f t="shared" si="608"/>
        <v>00</v>
      </c>
      <c r="P919" s="1" t="str">
        <f t="shared" si="609"/>
        <v>S</v>
      </c>
      <c r="Q919" s="1" t="str">
        <f t="shared" si="610"/>
        <v>P</v>
      </c>
      <c r="R919" s="1" t="str">
        <f t="shared" si="611"/>
        <v>01</v>
      </c>
      <c r="S919" s="1" t="str">
        <f t="shared" si="596"/>
        <v>04</v>
      </c>
      <c r="T919" s="1" t="str">
        <f t="shared" si="612"/>
        <v>False</v>
      </c>
      <c r="U919" s="1" t="str">
        <f t="shared" si="613"/>
        <v>True</v>
      </c>
      <c r="V919" s="1" t="str">
        <f t="shared" si="620"/>
        <v>U0032683</v>
      </c>
      <c r="W919" s="1">
        <v>1</v>
      </c>
      <c r="Y919" s="1">
        <v>0</v>
      </c>
      <c r="Z919" s="1">
        <v>0</v>
      </c>
      <c r="AI919" s="1" t="str">
        <f t="shared" si="601"/>
        <v>F10</v>
      </c>
      <c r="AJ919" s="1" t="str">
        <f t="shared" si="602"/>
        <v>KID</v>
      </c>
      <c r="AK919" s="1" t="str">
        <f t="shared" si="614"/>
        <v>PA</v>
      </c>
      <c r="AP919" s="1" t="str">
        <f t="shared" si="615"/>
        <v>False</v>
      </c>
      <c r="AR919" s="1" t="str">
        <f t="shared" si="603"/>
        <v>EBONY</v>
      </c>
      <c r="AY919" s="1" t="str">
        <f t="shared" si="616"/>
        <v>PF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 t="str">
        <f t="shared" si="604"/>
        <v>A EVA TOMAIA SYNTHETIC GLITTER</v>
      </c>
      <c r="BF919" s="1" t="str">
        <f t="shared" si="617"/>
        <v>Bonis SpA</v>
      </c>
    </row>
    <row r="920" spans="2:58" x14ac:dyDescent="0.25">
      <c r="B920" s="1">
        <v>2473</v>
      </c>
      <c r="C920" s="1" t="str">
        <f t="shared" si="599"/>
        <v>EBONY4175S7/Y2</v>
      </c>
      <c r="E920" s="1" t="str">
        <f>"34"</f>
        <v>34</v>
      </c>
      <c r="F920" s="1" t="str">
        <f t="shared" si="606"/>
        <v>BONIS SPA</v>
      </c>
      <c r="G920" s="1" t="str">
        <f t="shared" si="594"/>
        <v>STOCK SCAFFALE MP</v>
      </c>
      <c r="H920" s="1" t="str">
        <f t="shared" si="619"/>
        <v>SIL</v>
      </c>
      <c r="K920" s="1">
        <v>2</v>
      </c>
      <c r="L920" s="1" t="str">
        <f t="shared" si="607"/>
        <v>01</v>
      </c>
      <c r="M920" s="1" t="str">
        <f t="shared" si="595"/>
        <v>408</v>
      </c>
      <c r="N920" s="1" t="str">
        <f t="shared" si="600"/>
        <v>006</v>
      </c>
      <c r="O920" s="1" t="str">
        <f t="shared" si="608"/>
        <v>00</v>
      </c>
      <c r="P920" s="1" t="str">
        <f t="shared" si="609"/>
        <v>S</v>
      </c>
      <c r="Q920" s="1" t="str">
        <f t="shared" si="610"/>
        <v>P</v>
      </c>
      <c r="R920" s="1" t="str">
        <f t="shared" si="611"/>
        <v>01</v>
      </c>
      <c r="S920" s="1" t="str">
        <f t="shared" si="596"/>
        <v>04</v>
      </c>
      <c r="T920" s="1" t="str">
        <f t="shared" si="612"/>
        <v>False</v>
      </c>
      <c r="U920" s="1" t="str">
        <f t="shared" si="613"/>
        <v>True</v>
      </c>
      <c r="V920" s="1" t="str">
        <f t="shared" si="620"/>
        <v>U0032683</v>
      </c>
      <c r="W920" s="1">
        <v>1</v>
      </c>
      <c r="Y920" s="1">
        <v>0</v>
      </c>
      <c r="Z920" s="1">
        <v>0</v>
      </c>
      <c r="AI920" s="1" t="str">
        <f t="shared" si="601"/>
        <v>F10</v>
      </c>
      <c r="AJ920" s="1" t="str">
        <f t="shared" si="602"/>
        <v>KID</v>
      </c>
      <c r="AK920" s="1" t="str">
        <f t="shared" si="614"/>
        <v>PA</v>
      </c>
      <c r="AP920" s="1" t="str">
        <f t="shared" si="615"/>
        <v>False</v>
      </c>
      <c r="AR920" s="1" t="str">
        <f t="shared" si="603"/>
        <v>EBONY</v>
      </c>
      <c r="AY920" s="1" t="str">
        <f t="shared" si="616"/>
        <v>PF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 t="str">
        <f t="shared" si="604"/>
        <v>A EVA TOMAIA SYNTHETIC GLITTER</v>
      </c>
      <c r="BF920" s="1" t="str">
        <f t="shared" si="617"/>
        <v>Bonis SpA</v>
      </c>
    </row>
    <row r="921" spans="2:58" x14ac:dyDescent="0.25">
      <c r="B921" s="1">
        <v>2473</v>
      </c>
      <c r="C921" s="1" t="str">
        <f t="shared" si="599"/>
        <v>EBONY4175S7/Y2</v>
      </c>
      <c r="E921" s="1" t="str">
        <f>"33"</f>
        <v>33</v>
      </c>
      <c r="F921" s="1" t="str">
        <f t="shared" si="606"/>
        <v>BONIS SPA</v>
      </c>
      <c r="G921" s="1" t="str">
        <f t="shared" si="594"/>
        <v>STOCK SCAFFALE MP</v>
      </c>
      <c r="H921" s="1" t="str">
        <f t="shared" si="619"/>
        <v>SIL</v>
      </c>
      <c r="K921" s="1">
        <v>2</v>
      </c>
      <c r="L921" s="1" t="str">
        <f t="shared" si="607"/>
        <v>01</v>
      </c>
      <c r="M921" s="1" t="str">
        <f t="shared" si="595"/>
        <v>408</v>
      </c>
      <c r="N921" s="1" t="str">
        <f t="shared" si="600"/>
        <v>006</v>
      </c>
      <c r="O921" s="1" t="str">
        <f t="shared" si="608"/>
        <v>00</v>
      </c>
      <c r="P921" s="1" t="str">
        <f t="shared" si="609"/>
        <v>S</v>
      </c>
      <c r="Q921" s="1" t="str">
        <f t="shared" si="610"/>
        <v>P</v>
      </c>
      <c r="R921" s="1" t="str">
        <f t="shared" si="611"/>
        <v>01</v>
      </c>
      <c r="S921" s="1" t="str">
        <f t="shared" si="596"/>
        <v>04</v>
      </c>
      <c r="T921" s="1" t="str">
        <f t="shared" si="612"/>
        <v>False</v>
      </c>
      <c r="U921" s="1" t="str">
        <f t="shared" si="613"/>
        <v>True</v>
      </c>
      <c r="V921" s="1" t="str">
        <f t="shared" si="620"/>
        <v>U0032683</v>
      </c>
      <c r="W921" s="1">
        <v>1</v>
      </c>
      <c r="Y921" s="1">
        <v>0</v>
      </c>
      <c r="Z921" s="1">
        <v>0</v>
      </c>
      <c r="AI921" s="1" t="str">
        <f t="shared" si="601"/>
        <v>F10</v>
      </c>
      <c r="AJ921" s="1" t="str">
        <f t="shared" si="602"/>
        <v>KID</v>
      </c>
      <c r="AK921" s="1" t="str">
        <f t="shared" si="614"/>
        <v>PA</v>
      </c>
      <c r="AP921" s="1" t="str">
        <f t="shared" si="615"/>
        <v>False</v>
      </c>
      <c r="AR921" s="1" t="str">
        <f t="shared" si="603"/>
        <v>EBONY</v>
      </c>
      <c r="AY921" s="1" t="str">
        <f t="shared" si="616"/>
        <v>PF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 t="str">
        <f t="shared" si="604"/>
        <v>A EVA TOMAIA SYNTHETIC GLITTER</v>
      </c>
      <c r="BF921" s="1" t="str">
        <f t="shared" si="617"/>
        <v>Bonis SpA</v>
      </c>
    </row>
    <row r="922" spans="2:58" x14ac:dyDescent="0.25">
      <c r="B922" s="1">
        <v>2473</v>
      </c>
      <c r="C922" s="1" t="str">
        <f t="shared" si="599"/>
        <v>EBONY4175S7/Y2</v>
      </c>
      <c r="E922" s="1" t="str">
        <f>"36"</f>
        <v>36</v>
      </c>
      <c r="F922" s="1" t="str">
        <f t="shared" si="606"/>
        <v>BONIS SPA</v>
      </c>
      <c r="G922" s="1" t="str">
        <f t="shared" si="594"/>
        <v>STOCK SCAFFALE MP</v>
      </c>
      <c r="H922" s="1" t="str">
        <f t="shared" si="619"/>
        <v>SIL</v>
      </c>
      <c r="K922" s="1">
        <v>1</v>
      </c>
      <c r="L922" s="1" t="str">
        <f t="shared" si="607"/>
        <v>01</v>
      </c>
      <c r="M922" s="1" t="str">
        <f t="shared" si="595"/>
        <v>408</v>
      </c>
      <c r="N922" s="1" t="str">
        <f t="shared" si="600"/>
        <v>006</v>
      </c>
      <c r="O922" s="1" t="str">
        <f t="shared" si="608"/>
        <v>00</v>
      </c>
      <c r="P922" s="1" t="str">
        <f t="shared" si="609"/>
        <v>S</v>
      </c>
      <c r="Q922" s="1" t="str">
        <f t="shared" si="610"/>
        <v>P</v>
      </c>
      <c r="R922" s="1" t="str">
        <f t="shared" si="611"/>
        <v>01</v>
      </c>
      <c r="S922" s="1" t="str">
        <f t="shared" si="596"/>
        <v>04</v>
      </c>
      <c r="T922" s="1" t="str">
        <f t="shared" si="612"/>
        <v>False</v>
      </c>
      <c r="U922" s="1" t="str">
        <f t="shared" si="613"/>
        <v>True</v>
      </c>
      <c r="V922" s="1" t="str">
        <f t="shared" si="620"/>
        <v>U0032683</v>
      </c>
      <c r="W922" s="1">
        <v>1</v>
      </c>
      <c r="Y922" s="1">
        <v>0</v>
      </c>
      <c r="Z922" s="1">
        <v>0</v>
      </c>
      <c r="AI922" s="1" t="str">
        <f t="shared" si="601"/>
        <v>F10</v>
      </c>
      <c r="AJ922" s="1" t="str">
        <f t="shared" si="602"/>
        <v>KID</v>
      </c>
      <c r="AK922" s="1" t="str">
        <f t="shared" si="614"/>
        <v>PA</v>
      </c>
      <c r="AP922" s="1" t="str">
        <f t="shared" si="615"/>
        <v>False</v>
      </c>
      <c r="AR922" s="1" t="str">
        <f t="shared" si="603"/>
        <v>EBONY</v>
      </c>
      <c r="AY922" s="1" t="str">
        <f t="shared" si="616"/>
        <v>PF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 t="str">
        <f t="shared" si="604"/>
        <v>A EVA TOMAIA SYNTHETIC GLITTER</v>
      </c>
      <c r="BF922" s="1" t="str">
        <f t="shared" si="617"/>
        <v>Bonis SpA</v>
      </c>
    </row>
    <row r="923" spans="2:58" x14ac:dyDescent="0.25">
      <c r="B923" s="1">
        <v>2473</v>
      </c>
      <c r="C923" s="1" t="str">
        <f t="shared" si="599"/>
        <v>EBONY4175S7/Y2</v>
      </c>
      <c r="E923" s="1" t="str">
        <f>"29"</f>
        <v>29</v>
      </c>
      <c r="F923" s="1" t="str">
        <f t="shared" si="606"/>
        <v>BONIS SPA</v>
      </c>
      <c r="G923" s="1" t="str">
        <f t="shared" si="594"/>
        <v>STOCK SCAFFALE MP</v>
      </c>
      <c r="H923" s="1" t="str">
        <f t="shared" si="619"/>
        <v>SIL</v>
      </c>
      <c r="K923" s="1">
        <v>1</v>
      </c>
      <c r="L923" s="1" t="str">
        <f t="shared" si="607"/>
        <v>01</v>
      </c>
      <c r="M923" s="1" t="str">
        <f t="shared" si="595"/>
        <v>408</v>
      </c>
      <c r="N923" s="1" t="str">
        <f t="shared" si="600"/>
        <v>006</v>
      </c>
      <c r="O923" s="1" t="str">
        <f t="shared" si="608"/>
        <v>00</v>
      </c>
      <c r="P923" s="1" t="str">
        <f t="shared" si="609"/>
        <v>S</v>
      </c>
      <c r="Q923" s="1" t="str">
        <f t="shared" si="610"/>
        <v>P</v>
      </c>
      <c r="R923" s="1" t="str">
        <f t="shared" si="611"/>
        <v>01</v>
      </c>
      <c r="S923" s="1" t="str">
        <f t="shared" si="596"/>
        <v>04</v>
      </c>
      <c r="T923" s="1" t="str">
        <f t="shared" si="612"/>
        <v>False</v>
      </c>
      <c r="U923" s="1" t="str">
        <f t="shared" si="613"/>
        <v>True</v>
      </c>
      <c r="V923" s="1" t="str">
        <f t="shared" si="620"/>
        <v>U0032683</v>
      </c>
      <c r="W923" s="1">
        <v>1</v>
      </c>
      <c r="Y923" s="1">
        <v>0</v>
      </c>
      <c r="Z923" s="1">
        <v>0</v>
      </c>
      <c r="AI923" s="1" t="str">
        <f t="shared" si="601"/>
        <v>F10</v>
      </c>
      <c r="AJ923" s="1" t="str">
        <f t="shared" si="602"/>
        <v>KID</v>
      </c>
      <c r="AK923" s="1" t="str">
        <f t="shared" si="614"/>
        <v>PA</v>
      </c>
      <c r="AP923" s="1" t="str">
        <f t="shared" si="615"/>
        <v>False</v>
      </c>
      <c r="AR923" s="1" t="str">
        <f t="shared" si="603"/>
        <v>EBONY</v>
      </c>
      <c r="AY923" s="1" t="str">
        <f t="shared" si="616"/>
        <v>PF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 t="str">
        <f t="shared" si="604"/>
        <v>A EVA TOMAIA SYNTHETIC GLITTER</v>
      </c>
      <c r="BF923" s="1" t="str">
        <f t="shared" si="617"/>
        <v>Bonis SpA</v>
      </c>
    </row>
    <row r="924" spans="2:58" x14ac:dyDescent="0.25">
      <c r="B924" s="1">
        <v>2473</v>
      </c>
      <c r="C924" s="1" t="str">
        <f t="shared" si="599"/>
        <v>EBONY4175S7/Y2</v>
      </c>
      <c r="E924" s="1" t="str">
        <f>"32"</f>
        <v>32</v>
      </c>
      <c r="F924" s="1" t="str">
        <f t="shared" si="606"/>
        <v>BONIS SPA</v>
      </c>
      <c r="G924" s="1" t="str">
        <f t="shared" si="594"/>
        <v>STOCK SCAFFALE MP</v>
      </c>
      <c r="H924" s="1" t="str">
        <f t="shared" si="619"/>
        <v>SIL</v>
      </c>
      <c r="K924" s="1">
        <v>2</v>
      </c>
      <c r="L924" s="1" t="str">
        <f t="shared" si="607"/>
        <v>01</v>
      </c>
      <c r="M924" s="1" t="str">
        <f t="shared" si="595"/>
        <v>408</v>
      </c>
      <c r="N924" s="1" t="str">
        <f t="shared" si="600"/>
        <v>006</v>
      </c>
      <c r="O924" s="1" t="str">
        <f t="shared" si="608"/>
        <v>00</v>
      </c>
      <c r="P924" s="1" t="str">
        <f t="shared" si="609"/>
        <v>S</v>
      </c>
      <c r="Q924" s="1" t="str">
        <f t="shared" si="610"/>
        <v>P</v>
      </c>
      <c r="R924" s="1" t="str">
        <f t="shared" si="611"/>
        <v>01</v>
      </c>
      <c r="S924" s="1" t="str">
        <f t="shared" si="596"/>
        <v>04</v>
      </c>
      <c r="T924" s="1" t="str">
        <f t="shared" si="612"/>
        <v>False</v>
      </c>
      <c r="U924" s="1" t="str">
        <f t="shared" si="613"/>
        <v>True</v>
      </c>
      <c r="V924" s="1" t="str">
        <f t="shared" si="620"/>
        <v>U0032683</v>
      </c>
      <c r="W924" s="1">
        <v>1</v>
      </c>
      <c r="Y924" s="1">
        <v>0</v>
      </c>
      <c r="Z924" s="1">
        <v>0</v>
      </c>
      <c r="AI924" s="1" t="str">
        <f t="shared" si="601"/>
        <v>F10</v>
      </c>
      <c r="AJ924" s="1" t="str">
        <f t="shared" si="602"/>
        <v>KID</v>
      </c>
      <c r="AK924" s="1" t="str">
        <f t="shared" si="614"/>
        <v>PA</v>
      </c>
      <c r="AP924" s="1" t="str">
        <f t="shared" si="615"/>
        <v>False</v>
      </c>
      <c r="AR924" s="1" t="str">
        <f t="shared" si="603"/>
        <v>EBONY</v>
      </c>
      <c r="AY924" s="1" t="str">
        <f t="shared" si="616"/>
        <v>PF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 t="str">
        <f t="shared" si="604"/>
        <v>A EVA TOMAIA SYNTHETIC GLITTER</v>
      </c>
      <c r="BF924" s="1" t="str">
        <f t="shared" si="617"/>
        <v>Bonis SpA</v>
      </c>
    </row>
    <row r="925" spans="2:58" x14ac:dyDescent="0.25">
      <c r="B925" s="1">
        <v>2473</v>
      </c>
      <c r="C925" s="1" t="str">
        <f t="shared" si="599"/>
        <v>EBONY4175S7/Y2</v>
      </c>
      <c r="E925" s="1" t="str">
        <f>"33"</f>
        <v>33</v>
      </c>
      <c r="F925" s="1" t="str">
        <f t="shared" si="606"/>
        <v>BONIS SPA</v>
      </c>
      <c r="G925" s="1" t="str">
        <f t="shared" si="594"/>
        <v>STOCK SCAFFALE MP</v>
      </c>
      <c r="H925" s="1" t="str">
        <f t="shared" si="619"/>
        <v>SIL</v>
      </c>
      <c r="K925" s="1">
        <v>2</v>
      </c>
      <c r="L925" s="1" t="str">
        <f t="shared" si="607"/>
        <v>01</v>
      </c>
      <c r="M925" s="1" t="str">
        <f t="shared" si="595"/>
        <v>408</v>
      </c>
      <c r="N925" s="1" t="str">
        <f t="shared" si="600"/>
        <v>006</v>
      </c>
      <c r="O925" s="1" t="str">
        <f t="shared" si="608"/>
        <v>00</v>
      </c>
      <c r="P925" s="1" t="str">
        <f t="shared" si="609"/>
        <v>S</v>
      </c>
      <c r="Q925" s="1" t="str">
        <f t="shared" si="610"/>
        <v>P</v>
      </c>
      <c r="R925" s="1" t="str">
        <f t="shared" si="611"/>
        <v>01</v>
      </c>
      <c r="S925" s="1" t="str">
        <f t="shared" si="596"/>
        <v>04</v>
      </c>
      <c r="T925" s="1" t="str">
        <f t="shared" si="612"/>
        <v>False</v>
      </c>
      <c r="U925" s="1" t="str">
        <f t="shared" si="613"/>
        <v>True</v>
      </c>
      <c r="V925" s="1" t="str">
        <f t="shared" ref="V925:V935" si="621">"U0032682"</f>
        <v>U0032682</v>
      </c>
      <c r="W925" s="1">
        <v>1</v>
      </c>
      <c r="Y925" s="1">
        <v>0</v>
      </c>
      <c r="Z925" s="1">
        <v>0</v>
      </c>
      <c r="AI925" s="1" t="str">
        <f t="shared" si="601"/>
        <v>F10</v>
      </c>
      <c r="AJ925" s="1" t="str">
        <f t="shared" si="602"/>
        <v>KID</v>
      </c>
      <c r="AK925" s="1" t="str">
        <f t="shared" si="614"/>
        <v>PA</v>
      </c>
      <c r="AP925" s="1" t="str">
        <f t="shared" si="615"/>
        <v>False</v>
      </c>
      <c r="AR925" s="1" t="str">
        <f t="shared" si="603"/>
        <v>EBONY</v>
      </c>
      <c r="AY925" s="1" t="str">
        <f t="shared" si="616"/>
        <v>PF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 t="str">
        <f t="shared" si="604"/>
        <v>A EVA TOMAIA SYNTHETIC GLITTER</v>
      </c>
      <c r="BF925" s="1" t="str">
        <f t="shared" si="617"/>
        <v>Bonis SpA</v>
      </c>
    </row>
    <row r="926" spans="2:58" x14ac:dyDescent="0.25">
      <c r="B926" s="1">
        <v>2473</v>
      </c>
      <c r="C926" s="1" t="str">
        <f t="shared" si="599"/>
        <v>EBONY4175S7/Y2</v>
      </c>
      <c r="E926" s="1" t="str">
        <f>"37"</f>
        <v>37</v>
      </c>
      <c r="F926" s="1" t="str">
        <f t="shared" si="606"/>
        <v>BONIS SPA</v>
      </c>
      <c r="G926" s="1" t="str">
        <f t="shared" si="594"/>
        <v>STOCK SCAFFALE MP</v>
      </c>
      <c r="H926" s="1" t="str">
        <f t="shared" si="619"/>
        <v>SIL</v>
      </c>
      <c r="K926" s="1">
        <v>1</v>
      </c>
      <c r="L926" s="1" t="str">
        <f t="shared" si="607"/>
        <v>01</v>
      </c>
      <c r="M926" s="1" t="str">
        <f t="shared" si="595"/>
        <v>408</v>
      </c>
      <c r="N926" s="1" t="str">
        <f t="shared" si="600"/>
        <v>006</v>
      </c>
      <c r="O926" s="1" t="str">
        <f t="shared" si="608"/>
        <v>00</v>
      </c>
      <c r="P926" s="1" t="str">
        <f t="shared" si="609"/>
        <v>S</v>
      </c>
      <c r="Q926" s="1" t="str">
        <f t="shared" si="610"/>
        <v>P</v>
      </c>
      <c r="R926" s="1" t="str">
        <f t="shared" si="611"/>
        <v>01</v>
      </c>
      <c r="S926" s="1" t="str">
        <f t="shared" si="596"/>
        <v>04</v>
      </c>
      <c r="T926" s="1" t="str">
        <f t="shared" si="612"/>
        <v>False</v>
      </c>
      <c r="U926" s="1" t="str">
        <f t="shared" si="613"/>
        <v>True</v>
      </c>
      <c r="V926" s="1" t="str">
        <f t="shared" si="621"/>
        <v>U0032682</v>
      </c>
      <c r="W926" s="1">
        <v>1</v>
      </c>
      <c r="Y926" s="1">
        <v>0</v>
      </c>
      <c r="Z926" s="1">
        <v>0</v>
      </c>
      <c r="AI926" s="1" t="str">
        <f t="shared" si="601"/>
        <v>F10</v>
      </c>
      <c r="AJ926" s="1" t="str">
        <f t="shared" si="602"/>
        <v>KID</v>
      </c>
      <c r="AK926" s="1" t="str">
        <f t="shared" si="614"/>
        <v>PA</v>
      </c>
      <c r="AP926" s="1" t="str">
        <f t="shared" si="615"/>
        <v>False</v>
      </c>
      <c r="AR926" s="1" t="str">
        <f t="shared" si="603"/>
        <v>EBONY</v>
      </c>
      <c r="AY926" s="1" t="str">
        <f t="shared" si="616"/>
        <v>PF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 t="str">
        <f t="shared" si="604"/>
        <v>A EVA TOMAIA SYNTHETIC GLITTER</v>
      </c>
      <c r="BF926" s="1" t="str">
        <f t="shared" si="617"/>
        <v>Bonis SpA</v>
      </c>
    </row>
    <row r="927" spans="2:58" x14ac:dyDescent="0.25">
      <c r="B927" s="1">
        <v>2473</v>
      </c>
      <c r="C927" s="1" t="str">
        <f t="shared" ref="C927:C935" si="622">"EBONY4175S7/Y2"</f>
        <v>EBONY4175S7/Y2</v>
      </c>
      <c r="E927" s="1" t="str">
        <f>"28"</f>
        <v>28</v>
      </c>
      <c r="F927" s="1" t="str">
        <f t="shared" si="606"/>
        <v>BONIS SPA</v>
      </c>
      <c r="G927" s="1" t="str">
        <f t="shared" si="594"/>
        <v>STOCK SCAFFALE MP</v>
      </c>
      <c r="H927" s="1" t="str">
        <f t="shared" si="619"/>
        <v>SIL</v>
      </c>
      <c r="K927" s="1">
        <v>1</v>
      </c>
      <c r="L927" s="1" t="str">
        <f t="shared" si="607"/>
        <v>01</v>
      </c>
      <c r="M927" s="1" t="str">
        <f t="shared" si="595"/>
        <v>408</v>
      </c>
      <c r="N927" s="1" t="str">
        <f t="shared" ref="N927:N935" si="623">"006"</f>
        <v>006</v>
      </c>
      <c r="O927" s="1" t="str">
        <f t="shared" si="608"/>
        <v>00</v>
      </c>
      <c r="P927" s="1" t="str">
        <f t="shared" si="609"/>
        <v>S</v>
      </c>
      <c r="Q927" s="1" t="str">
        <f t="shared" si="610"/>
        <v>P</v>
      </c>
      <c r="R927" s="1" t="str">
        <f t="shared" si="611"/>
        <v>01</v>
      </c>
      <c r="S927" s="1" t="str">
        <f t="shared" si="596"/>
        <v>04</v>
      </c>
      <c r="T927" s="1" t="str">
        <f t="shared" si="612"/>
        <v>False</v>
      </c>
      <c r="U927" s="1" t="str">
        <f t="shared" si="613"/>
        <v>True</v>
      </c>
      <c r="V927" s="1" t="str">
        <f t="shared" si="621"/>
        <v>U0032682</v>
      </c>
      <c r="W927" s="1">
        <v>1</v>
      </c>
      <c r="Y927" s="1">
        <v>0</v>
      </c>
      <c r="Z927" s="1">
        <v>0</v>
      </c>
      <c r="AI927" s="1" t="str">
        <f t="shared" ref="AI927:AI935" si="624">"F10"</f>
        <v>F10</v>
      </c>
      <c r="AJ927" s="1" t="str">
        <f t="shared" ref="AJ927:AJ935" si="625">"KID"</f>
        <v>KID</v>
      </c>
      <c r="AK927" s="1" t="str">
        <f t="shared" si="614"/>
        <v>PA</v>
      </c>
      <c r="AP927" s="1" t="str">
        <f t="shared" si="615"/>
        <v>False</v>
      </c>
      <c r="AR927" s="1" t="str">
        <f t="shared" ref="AR927:AR935" si="626">"EBONY"</f>
        <v>EBONY</v>
      </c>
      <c r="AY927" s="1" t="str">
        <f t="shared" si="616"/>
        <v>PF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 t="str">
        <f t="shared" ref="BE927:BE935" si="627">"A EVA TOMAIA SYNTHETIC GLITTER"</f>
        <v>A EVA TOMAIA SYNTHETIC GLITTER</v>
      </c>
      <c r="BF927" s="1" t="str">
        <f t="shared" si="617"/>
        <v>Bonis SpA</v>
      </c>
    </row>
    <row r="928" spans="2:58" x14ac:dyDescent="0.25">
      <c r="B928" s="1">
        <v>2473</v>
      </c>
      <c r="C928" s="1" t="str">
        <f t="shared" si="622"/>
        <v>EBONY4175S7/Y2</v>
      </c>
      <c r="E928" s="1" t="str">
        <f>"32"</f>
        <v>32</v>
      </c>
      <c r="F928" s="1" t="str">
        <f t="shared" si="606"/>
        <v>BONIS SPA</v>
      </c>
      <c r="G928" s="1" t="str">
        <f t="shared" si="594"/>
        <v>STOCK SCAFFALE MP</v>
      </c>
      <c r="H928" s="1" t="str">
        <f t="shared" si="619"/>
        <v>SIL</v>
      </c>
      <c r="K928" s="1">
        <v>3</v>
      </c>
      <c r="L928" s="1" t="str">
        <f t="shared" si="607"/>
        <v>01</v>
      </c>
      <c r="M928" s="1" t="str">
        <f t="shared" si="595"/>
        <v>408</v>
      </c>
      <c r="N928" s="1" t="str">
        <f t="shared" si="623"/>
        <v>006</v>
      </c>
      <c r="O928" s="1" t="str">
        <f t="shared" si="608"/>
        <v>00</v>
      </c>
      <c r="P928" s="1" t="str">
        <f t="shared" si="609"/>
        <v>S</v>
      </c>
      <c r="Q928" s="1" t="str">
        <f t="shared" si="610"/>
        <v>P</v>
      </c>
      <c r="R928" s="1" t="str">
        <f t="shared" si="611"/>
        <v>01</v>
      </c>
      <c r="S928" s="1" t="str">
        <f t="shared" si="596"/>
        <v>04</v>
      </c>
      <c r="T928" s="1" t="str">
        <f t="shared" si="612"/>
        <v>False</v>
      </c>
      <c r="U928" s="1" t="str">
        <f t="shared" si="613"/>
        <v>True</v>
      </c>
      <c r="V928" s="1" t="str">
        <f t="shared" si="621"/>
        <v>U0032682</v>
      </c>
      <c r="W928" s="1">
        <v>1</v>
      </c>
      <c r="Y928" s="1">
        <v>0</v>
      </c>
      <c r="Z928" s="1">
        <v>0</v>
      </c>
      <c r="AI928" s="1" t="str">
        <f t="shared" si="624"/>
        <v>F10</v>
      </c>
      <c r="AJ928" s="1" t="str">
        <f t="shared" si="625"/>
        <v>KID</v>
      </c>
      <c r="AK928" s="1" t="str">
        <f t="shared" si="614"/>
        <v>PA</v>
      </c>
      <c r="AP928" s="1" t="str">
        <f t="shared" si="615"/>
        <v>False</v>
      </c>
      <c r="AR928" s="1" t="str">
        <f t="shared" si="626"/>
        <v>EBONY</v>
      </c>
      <c r="AY928" s="1" t="str">
        <f t="shared" si="616"/>
        <v>PF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 t="str">
        <f t="shared" si="627"/>
        <v>A EVA TOMAIA SYNTHETIC GLITTER</v>
      </c>
      <c r="BF928" s="1" t="str">
        <f t="shared" si="617"/>
        <v>Bonis SpA</v>
      </c>
    </row>
    <row r="929" spans="2:58" x14ac:dyDescent="0.25">
      <c r="B929" s="1">
        <v>2473</v>
      </c>
      <c r="C929" s="1" t="str">
        <f t="shared" si="622"/>
        <v>EBONY4175S7/Y2</v>
      </c>
      <c r="E929" s="1" t="str">
        <f>"30"</f>
        <v>30</v>
      </c>
      <c r="F929" s="1" t="str">
        <f t="shared" si="606"/>
        <v>BONIS SPA</v>
      </c>
      <c r="G929" s="1" t="str">
        <f t="shared" si="594"/>
        <v>STOCK SCAFFALE MP</v>
      </c>
      <c r="H929" s="1" t="str">
        <f t="shared" si="619"/>
        <v>SIL</v>
      </c>
      <c r="K929" s="1">
        <v>2</v>
      </c>
      <c r="L929" s="1" t="str">
        <f t="shared" si="607"/>
        <v>01</v>
      </c>
      <c r="M929" s="1" t="str">
        <f t="shared" si="595"/>
        <v>408</v>
      </c>
      <c r="N929" s="1" t="str">
        <f t="shared" si="623"/>
        <v>006</v>
      </c>
      <c r="O929" s="1" t="str">
        <f t="shared" si="608"/>
        <v>00</v>
      </c>
      <c r="P929" s="1" t="str">
        <f t="shared" si="609"/>
        <v>S</v>
      </c>
      <c r="Q929" s="1" t="str">
        <f t="shared" si="610"/>
        <v>P</v>
      </c>
      <c r="R929" s="1" t="str">
        <f t="shared" si="611"/>
        <v>01</v>
      </c>
      <c r="S929" s="1" t="str">
        <f t="shared" si="596"/>
        <v>04</v>
      </c>
      <c r="T929" s="1" t="str">
        <f t="shared" si="612"/>
        <v>False</v>
      </c>
      <c r="U929" s="1" t="str">
        <f t="shared" si="613"/>
        <v>True</v>
      </c>
      <c r="V929" s="1" t="str">
        <f t="shared" si="621"/>
        <v>U0032682</v>
      </c>
      <c r="W929" s="1">
        <v>1</v>
      </c>
      <c r="Y929" s="1">
        <v>0</v>
      </c>
      <c r="Z929" s="1">
        <v>0</v>
      </c>
      <c r="AI929" s="1" t="str">
        <f t="shared" si="624"/>
        <v>F10</v>
      </c>
      <c r="AJ929" s="1" t="str">
        <f t="shared" si="625"/>
        <v>KID</v>
      </c>
      <c r="AK929" s="1" t="str">
        <f t="shared" si="614"/>
        <v>PA</v>
      </c>
      <c r="AP929" s="1" t="str">
        <f t="shared" si="615"/>
        <v>False</v>
      </c>
      <c r="AR929" s="1" t="str">
        <f t="shared" si="626"/>
        <v>EBONY</v>
      </c>
      <c r="AY929" s="1" t="str">
        <f t="shared" si="616"/>
        <v>PF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 t="str">
        <f t="shared" si="627"/>
        <v>A EVA TOMAIA SYNTHETIC GLITTER</v>
      </c>
      <c r="BF929" s="1" t="str">
        <f t="shared" si="617"/>
        <v>Bonis SpA</v>
      </c>
    </row>
    <row r="930" spans="2:58" x14ac:dyDescent="0.25">
      <c r="B930" s="1">
        <v>2473</v>
      </c>
      <c r="C930" s="1" t="str">
        <f t="shared" si="622"/>
        <v>EBONY4175S7/Y2</v>
      </c>
      <c r="E930" s="1" t="str">
        <f>"29"</f>
        <v>29</v>
      </c>
      <c r="F930" s="1" t="str">
        <f t="shared" si="606"/>
        <v>BONIS SPA</v>
      </c>
      <c r="G930" s="1" t="str">
        <f t="shared" si="594"/>
        <v>STOCK SCAFFALE MP</v>
      </c>
      <c r="H930" s="1" t="str">
        <f t="shared" si="619"/>
        <v>SIL</v>
      </c>
      <c r="K930" s="1">
        <v>1</v>
      </c>
      <c r="L930" s="1" t="str">
        <f t="shared" si="607"/>
        <v>01</v>
      </c>
      <c r="M930" s="1" t="str">
        <f t="shared" si="595"/>
        <v>408</v>
      </c>
      <c r="N930" s="1" t="str">
        <f t="shared" si="623"/>
        <v>006</v>
      </c>
      <c r="O930" s="1" t="str">
        <f t="shared" si="608"/>
        <v>00</v>
      </c>
      <c r="P930" s="1" t="str">
        <f t="shared" si="609"/>
        <v>S</v>
      </c>
      <c r="Q930" s="1" t="str">
        <f t="shared" si="610"/>
        <v>P</v>
      </c>
      <c r="R930" s="1" t="str">
        <f t="shared" si="611"/>
        <v>01</v>
      </c>
      <c r="S930" s="1" t="str">
        <f t="shared" si="596"/>
        <v>04</v>
      </c>
      <c r="T930" s="1" t="str">
        <f t="shared" si="612"/>
        <v>False</v>
      </c>
      <c r="U930" s="1" t="str">
        <f t="shared" si="613"/>
        <v>True</v>
      </c>
      <c r="V930" s="1" t="str">
        <f t="shared" si="621"/>
        <v>U0032682</v>
      </c>
      <c r="W930" s="1">
        <v>1</v>
      </c>
      <c r="Y930" s="1">
        <v>0</v>
      </c>
      <c r="Z930" s="1">
        <v>0</v>
      </c>
      <c r="AI930" s="1" t="str">
        <f t="shared" si="624"/>
        <v>F10</v>
      </c>
      <c r="AJ930" s="1" t="str">
        <f t="shared" si="625"/>
        <v>KID</v>
      </c>
      <c r="AK930" s="1" t="str">
        <f t="shared" si="614"/>
        <v>PA</v>
      </c>
      <c r="AP930" s="1" t="str">
        <f t="shared" si="615"/>
        <v>False</v>
      </c>
      <c r="AR930" s="1" t="str">
        <f t="shared" si="626"/>
        <v>EBONY</v>
      </c>
      <c r="AY930" s="1" t="str">
        <f t="shared" si="616"/>
        <v>PF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 t="str">
        <f t="shared" si="627"/>
        <v>A EVA TOMAIA SYNTHETIC GLITTER</v>
      </c>
      <c r="BF930" s="1" t="str">
        <f t="shared" si="617"/>
        <v>Bonis SpA</v>
      </c>
    </row>
    <row r="931" spans="2:58" x14ac:dyDescent="0.25">
      <c r="B931" s="1">
        <v>2473</v>
      </c>
      <c r="C931" s="1" t="str">
        <f t="shared" si="622"/>
        <v>EBONY4175S7/Y2</v>
      </c>
      <c r="E931" s="1" t="str">
        <f>"28"</f>
        <v>28</v>
      </c>
      <c r="F931" s="1" t="str">
        <f t="shared" si="606"/>
        <v>BONIS SPA</v>
      </c>
      <c r="G931" s="1" t="str">
        <f t="shared" si="594"/>
        <v>STOCK SCAFFALE MP</v>
      </c>
      <c r="H931" s="1" t="str">
        <f>"SKBL"</f>
        <v>SKBL</v>
      </c>
      <c r="K931" s="1">
        <v>1</v>
      </c>
      <c r="L931" s="1" t="str">
        <f t="shared" si="607"/>
        <v>01</v>
      </c>
      <c r="M931" s="1" t="str">
        <f t="shared" si="595"/>
        <v>408</v>
      </c>
      <c r="N931" s="1" t="str">
        <f t="shared" si="623"/>
        <v>006</v>
      </c>
      <c r="O931" s="1" t="str">
        <f t="shared" si="608"/>
        <v>00</v>
      </c>
      <c r="P931" s="1" t="str">
        <f t="shared" si="609"/>
        <v>S</v>
      </c>
      <c r="Q931" s="1" t="str">
        <f t="shared" si="610"/>
        <v>P</v>
      </c>
      <c r="R931" s="1" t="str">
        <f t="shared" si="611"/>
        <v>01</v>
      </c>
      <c r="S931" s="1" t="str">
        <f t="shared" si="596"/>
        <v>04</v>
      </c>
      <c r="T931" s="1" t="str">
        <f t="shared" si="612"/>
        <v>False</v>
      </c>
      <c r="U931" s="1" t="str">
        <f t="shared" si="613"/>
        <v>True</v>
      </c>
      <c r="V931" s="1" t="str">
        <f t="shared" si="621"/>
        <v>U0032682</v>
      </c>
      <c r="W931" s="1">
        <v>1</v>
      </c>
      <c r="Y931" s="1">
        <v>0</v>
      </c>
      <c r="Z931" s="1">
        <v>0</v>
      </c>
      <c r="AI931" s="1" t="str">
        <f t="shared" si="624"/>
        <v>F10</v>
      </c>
      <c r="AJ931" s="1" t="str">
        <f t="shared" si="625"/>
        <v>KID</v>
      </c>
      <c r="AK931" s="1" t="str">
        <f t="shared" si="614"/>
        <v>PA</v>
      </c>
      <c r="AP931" s="1" t="str">
        <f t="shared" si="615"/>
        <v>False</v>
      </c>
      <c r="AR931" s="1" t="str">
        <f t="shared" si="626"/>
        <v>EBONY</v>
      </c>
      <c r="AY931" s="1" t="str">
        <f t="shared" si="616"/>
        <v>PF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 t="str">
        <f t="shared" si="627"/>
        <v>A EVA TOMAIA SYNTHETIC GLITTER</v>
      </c>
      <c r="BF931" s="1" t="str">
        <f t="shared" si="617"/>
        <v>Bonis SpA</v>
      </c>
    </row>
    <row r="932" spans="2:58" x14ac:dyDescent="0.25">
      <c r="B932" s="1">
        <v>2473</v>
      </c>
      <c r="C932" s="1" t="str">
        <f t="shared" si="622"/>
        <v>EBONY4175S7/Y2</v>
      </c>
      <c r="E932" s="1" t="str">
        <f>"31"</f>
        <v>31</v>
      </c>
      <c r="F932" s="1" t="str">
        <f t="shared" si="606"/>
        <v>BONIS SPA</v>
      </c>
      <c r="G932" s="1" t="str">
        <f t="shared" si="594"/>
        <v>STOCK SCAFFALE MP</v>
      </c>
      <c r="H932" s="1" t="str">
        <f>"SIL"</f>
        <v>SIL</v>
      </c>
      <c r="K932" s="1">
        <v>2</v>
      </c>
      <c r="L932" s="1" t="str">
        <f t="shared" si="607"/>
        <v>01</v>
      </c>
      <c r="M932" s="1" t="str">
        <f t="shared" si="595"/>
        <v>408</v>
      </c>
      <c r="N932" s="1" t="str">
        <f t="shared" si="623"/>
        <v>006</v>
      </c>
      <c r="O932" s="1" t="str">
        <f t="shared" si="608"/>
        <v>00</v>
      </c>
      <c r="P932" s="1" t="str">
        <f t="shared" si="609"/>
        <v>S</v>
      </c>
      <c r="Q932" s="1" t="str">
        <f t="shared" si="610"/>
        <v>P</v>
      </c>
      <c r="R932" s="1" t="str">
        <f t="shared" si="611"/>
        <v>01</v>
      </c>
      <c r="S932" s="1" t="str">
        <f t="shared" si="596"/>
        <v>04</v>
      </c>
      <c r="T932" s="1" t="str">
        <f t="shared" si="612"/>
        <v>False</v>
      </c>
      <c r="U932" s="1" t="str">
        <f t="shared" si="613"/>
        <v>True</v>
      </c>
      <c r="V932" s="1" t="str">
        <f t="shared" si="621"/>
        <v>U0032682</v>
      </c>
      <c r="W932" s="1">
        <v>1</v>
      </c>
      <c r="Y932" s="1">
        <v>0</v>
      </c>
      <c r="Z932" s="1">
        <v>0</v>
      </c>
      <c r="AI932" s="1" t="str">
        <f t="shared" si="624"/>
        <v>F10</v>
      </c>
      <c r="AJ932" s="1" t="str">
        <f t="shared" si="625"/>
        <v>KID</v>
      </c>
      <c r="AK932" s="1" t="str">
        <f t="shared" si="614"/>
        <v>PA</v>
      </c>
      <c r="AP932" s="1" t="str">
        <f t="shared" si="615"/>
        <v>False</v>
      </c>
      <c r="AR932" s="1" t="str">
        <f t="shared" si="626"/>
        <v>EBONY</v>
      </c>
      <c r="AY932" s="1" t="str">
        <f t="shared" si="616"/>
        <v>PF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 t="str">
        <f t="shared" si="627"/>
        <v>A EVA TOMAIA SYNTHETIC GLITTER</v>
      </c>
      <c r="BF932" s="1" t="str">
        <f t="shared" si="617"/>
        <v>Bonis SpA</v>
      </c>
    </row>
    <row r="933" spans="2:58" x14ac:dyDescent="0.25">
      <c r="B933" s="1">
        <v>2473</v>
      </c>
      <c r="C933" s="1" t="str">
        <f t="shared" si="622"/>
        <v>EBONY4175S7/Y2</v>
      </c>
      <c r="E933" s="1" t="str">
        <f>"34"</f>
        <v>34</v>
      </c>
      <c r="F933" s="1" t="str">
        <f t="shared" si="606"/>
        <v>BONIS SPA</v>
      </c>
      <c r="G933" s="1" t="str">
        <f t="shared" si="594"/>
        <v>STOCK SCAFFALE MP</v>
      </c>
      <c r="H933" s="1" t="str">
        <f>"SIL"</f>
        <v>SIL</v>
      </c>
      <c r="K933" s="1">
        <v>1</v>
      </c>
      <c r="L933" s="1" t="str">
        <f t="shared" si="607"/>
        <v>01</v>
      </c>
      <c r="M933" s="1" t="str">
        <f t="shared" si="595"/>
        <v>408</v>
      </c>
      <c r="N933" s="1" t="str">
        <f t="shared" si="623"/>
        <v>006</v>
      </c>
      <c r="O933" s="1" t="str">
        <f t="shared" si="608"/>
        <v>00</v>
      </c>
      <c r="P933" s="1" t="str">
        <f t="shared" si="609"/>
        <v>S</v>
      </c>
      <c r="Q933" s="1" t="str">
        <f t="shared" si="610"/>
        <v>P</v>
      </c>
      <c r="R933" s="1" t="str">
        <f t="shared" si="611"/>
        <v>01</v>
      </c>
      <c r="S933" s="1" t="str">
        <f t="shared" si="596"/>
        <v>04</v>
      </c>
      <c r="T933" s="1" t="str">
        <f t="shared" si="612"/>
        <v>False</v>
      </c>
      <c r="U933" s="1" t="str">
        <f t="shared" si="613"/>
        <v>True</v>
      </c>
      <c r="V933" s="1" t="str">
        <f t="shared" si="621"/>
        <v>U0032682</v>
      </c>
      <c r="W933" s="1">
        <v>1</v>
      </c>
      <c r="Y933" s="1">
        <v>0</v>
      </c>
      <c r="Z933" s="1">
        <v>0</v>
      </c>
      <c r="AI933" s="1" t="str">
        <f t="shared" si="624"/>
        <v>F10</v>
      </c>
      <c r="AJ933" s="1" t="str">
        <f t="shared" si="625"/>
        <v>KID</v>
      </c>
      <c r="AK933" s="1" t="str">
        <f t="shared" si="614"/>
        <v>PA</v>
      </c>
      <c r="AP933" s="1" t="str">
        <f t="shared" si="615"/>
        <v>False</v>
      </c>
      <c r="AR933" s="1" t="str">
        <f t="shared" si="626"/>
        <v>EBONY</v>
      </c>
      <c r="AY933" s="1" t="str">
        <f t="shared" si="616"/>
        <v>PF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 t="str">
        <f t="shared" si="627"/>
        <v>A EVA TOMAIA SYNTHETIC GLITTER</v>
      </c>
      <c r="BF933" s="1" t="str">
        <f t="shared" si="617"/>
        <v>Bonis SpA</v>
      </c>
    </row>
    <row r="934" spans="2:58" x14ac:dyDescent="0.25">
      <c r="B934" s="1">
        <v>2473</v>
      </c>
      <c r="C934" s="1" t="str">
        <f t="shared" si="622"/>
        <v>EBONY4175S7/Y2</v>
      </c>
      <c r="E934" s="1" t="str">
        <f>"35"</f>
        <v>35</v>
      </c>
      <c r="F934" s="1" t="str">
        <f t="shared" si="606"/>
        <v>BONIS SPA</v>
      </c>
      <c r="G934" s="1" t="str">
        <f t="shared" si="594"/>
        <v>STOCK SCAFFALE MP</v>
      </c>
      <c r="H934" s="1" t="str">
        <f>"SIL"</f>
        <v>SIL</v>
      </c>
      <c r="K934" s="1">
        <v>2</v>
      </c>
      <c r="L934" s="1" t="str">
        <f t="shared" si="607"/>
        <v>01</v>
      </c>
      <c r="M934" s="1" t="str">
        <f t="shared" si="595"/>
        <v>408</v>
      </c>
      <c r="N934" s="1" t="str">
        <f t="shared" si="623"/>
        <v>006</v>
      </c>
      <c r="O934" s="1" t="str">
        <f t="shared" si="608"/>
        <v>00</v>
      </c>
      <c r="P934" s="1" t="str">
        <f t="shared" si="609"/>
        <v>S</v>
      </c>
      <c r="Q934" s="1" t="str">
        <f t="shared" si="610"/>
        <v>P</v>
      </c>
      <c r="R934" s="1" t="str">
        <f t="shared" si="611"/>
        <v>01</v>
      </c>
      <c r="S934" s="1" t="str">
        <f t="shared" si="596"/>
        <v>04</v>
      </c>
      <c r="T934" s="1" t="str">
        <f t="shared" si="612"/>
        <v>False</v>
      </c>
      <c r="U934" s="1" t="str">
        <f t="shared" si="613"/>
        <v>True</v>
      </c>
      <c r="V934" s="1" t="str">
        <f t="shared" si="621"/>
        <v>U0032682</v>
      </c>
      <c r="W934" s="1">
        <v>1</v>
      </c>
      <c r="Y934" s="1">
        <v>0</v>
      </c>
      <c r="Z934" s="1">
        <v>0</v>
      </c>
      <c r="AI934" s="1" t="str">
        <f t="shared" si="624"/>
        <v>F10</v>
      </c>
      <c r="AJ934" s="1" t="str">
        <f t="shared" si="625"/>
        <v>KID</v>
      </c>
      <c r="AK934" s="1" t="str">
        <f t="shared" si="614"/>
        <v>PA</v>
      </c>
      <c r="AP934" s="1" t="str">
        <f t="shared" si="615"/>
        <v>False</v>
      </c>
      <c r="AR934" s="1" t="str">
        <f t="shared" si="626"/>
        <v>EBONY</v>
      </c>
      <c r="AY934" s="1" t="str">
        <f t="shared" si="616"/>
        <v>PF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 t="str">
        <f t="shared" si="627"/>
        <v>A EVA TOMAIA SYNTHETIC GLITTER</v>
      </c>
      <c r="BF934" s="1" t="str">
        <f t="shared" si="617"/>
        <v>Bonis SpA</v>
      </c>
    </row>
    <row r="935" spans="2:58" x14ac:dyDescent="0.25">
      <c r="B935" s="1">
        <v>2473</v>
      </c>
      <c r="C935" s="1" t="str">
        <f t="shared" si="622"/>
        <v>EBONY4175S7/Y2</v>
      </c>
      <c r="E935" s="1" t="str">
        <f>"39"</f>
        <v>39</v>
      </c>
      <c r="F935" s="1" t="str">
        <f t="shared" si="606"/>
        <v>BONIS SPA</v>
      </c>
      <c r="G935" s="1" t="str">
        <f t="shared" si="594"/>
        <v>STOCK SCAFFALE MP</v>
      </c>
      <c r="H935" s="1" t="str">
        <f>"SIL"</f>
        <v>SIL</v>
      </c>
      <c r="K935" s="1">
        <v>1</v>
      </c>
      <c r="L935" s="1" t="str">
        <f t="shared" si="607"/>
        <v>01</v>
      </c>
      <c r="M935" s="1" t="str">
        <f t="shared" si="595"/>
        <v>408</v>
      </c>
      <c r="N935" s="1" t="str">
        <f t="shared" si="623"/>
        <v>006</v>
      </c>
      <c r="O935" s="1" t="str">
        <f t="shared" si="608"/>
        <v>00</v>
      </c>
      <c r="P935" s="1" t="str">
        <f t="shared" si="609"/>
        <v>S</v>
      </c>
      <c r="Q935" s="1" t="str">
        <f t="shared" si="610"/>
        <v>P</v>
      </c>
      <c r="R935" s="1" t="str">
        <f t="shared" si="611"/>
        <v>01</v>
      </c>
      <c r="S935" s="1" t="str">
        <f t="shared" si="596"/>
        <v>04</v>
      </c>
      <c r="T935" s="1" t="str">
        <f t="shared" si="612"/>
        <v>False</v>
      </c>
      <c r="U935" s="1" t="str">
        <f t="shared" si="613"/>
        <v>True</v>
      </c>
      <c r="V935" s="1" t="str">
        <f t="shared" si="621"/>
        <v>U0032682</v>
      </c>
      <c r="W935" s="1">
        <v>1</v>
      </c>
      <c r="Y935" s="1">
        <v>0</v>
      </c>
      <c r="Z935" s="1">
        <v>0</v>
      </c>
      <c r="AI935" s="1" t="str">
        <f t="shared" si="624"/>
        <v>F10</v>
      </c>
      <c r="AJ935" s="1" t="str">
        <f t="shared" si="625"/>
        <v>KID</v>
      </c>
      <c r="AK935" s="1" t="str">
        <f t="shared" si="614"/>
        <v>PA</v>
      </c>
      <c r="AP935" s="1" t="str">
        <f t="shared" si="615"/>
        <v>False</v>
      </c>
      <c r="AR935" s="1" t="str">
        <f t="shared" si="626"/>
        <v>EBONY</v>
      </c>
      <c r="AY935" s="1" t="str">
        <f t="shared" si="616"/>
        <v>PF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 t="str">
        <f t="shared" si="627"/>
        <v>A EVA TOMAIA SYNTHETIC GLITTER</v>
      </c>
      <c r="BF935" s="1" t="str">
        <f t="shared" si="617"/>
        <v>Bonis SpA</v>
      </c>
    </row>
    <row r="936" spans="2:58" x14ac:dyDescent="0.25">
      <c r="B936" s="1">
        <v>2476</v>
      </c>
      <c r="C936" s="1" t="str">
        <f>"ETNA4094S7/Y1"</f>
        <v>ETNA4094S7/Y1</v>
      </c>
      <c r="E936" s="1" t="str">
        <f>"39"</f>
        <v>39</v>
      </c>
      <c r="F936" s="1" t="str">
        <f t="shared" si="606"/>
        <v>BONIS SPA</v>
      </c>
      <c r="G936" s="1" t="str">
        <f t="shared" si="594"/>
        <v>STOCK SCAFFALE MP</v>
      </c>
      <c r="H936" s="1" t="str">
        <f>"BLK"</f>
        <v>BLK</v>
      </c>
      <c r="K936" s="1">
        <v>1</v>
      </c>
      <c r="L936" s="1" t="str">
        <f t="shared" si="607"/>
        <v>01</v>
      </c>
      <c r="M936" s="1" t="str">
        <f t="shared" si="595"/>
        <v>408</v>
      </c>
      <c r="N936" s="1" t="str">
        <f>"007"</f>
        <v>007</v>
      </c>
      <c r="O936" s="1" t="str">
        <f t="shared" si="608"/>
        <v>00</v>
      </c>
      <c r="P936" s="1" t="str">
        <f t="shared" si="609"/>
        <v>S</v>
      </c>
      <c r="Q936" s="1" t="str">
        <f t="shared" si="610"/>
        <v>P</v>
      </c>
      <c r="R936" s="1" t="str">
        <f t="shared" si="611"/>
        <v>01</v>
      </c>
      <c r="S936" s="1" t="str">
        <f t="shared" si="596"/>
        <v>04</v>
      </c>
      <c r="T936" s="1" t="str">
        <f t="shared" si="612"/>
        <v>False</v>
      </c>
      <c r="U936" s="1" t="str">
        <f t="shared" si="613"/>
        <v>True</v>
      </c>
      <c r="V936" s="1" t="str">
        <f>"U0032743"</f>
        <v>U0032743</v>
      </c>
      <c r="W936" s="1">
        <v>1</v>
      </c>
      <c r="Y936" s="1">
        <v>0</v>
      </c>
      <c r="Z936" s="1">
        <v>0</v>
      </c>
      <c r="AI936" s="1" t="str">
        <f>"F06"</f>
        <v>F06</v>
      </c>
      <c r="AJ936" s="1" t="str">
        <f t="shared" ref="AJ936:AJ948" si="628">"WOMAN"</f>
        <v>WOMAN</v>
      </c>
      <c r="AK936" s="1" t="str">
        <f t="shared" si="614"/>
        <v>PA</v>
      </c>
      <c r="AP936" s="1" t="str">
        <f t="shared" si="615"/>
        <v>False</v>
      </c>
      <c r="AR936" s="1" t="str">
        <f>"ETNA"</f>
        <v>ETNA</v>
      </c>
      <c r="AY936" s="1" t="str">
        <f t="shared" si="616"/>
        <v>PF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 t="str">
        <f>"A+TOMAIA PU"</f>
        <v>A+TOMAIA PU</v>
      </c>
      <c r="BF936" s="1" t="str">
        <f t="shared" si="617"/>
        <v>Bonis SpA</v>
      </c>
    </row>
    <row r="937" spans="2:58" x14ac:dyDescent="0.25">
      <c r="B937" s="1">
        <v>2491</v>
      </c>
      <c r="C937" s="1" t="str">
        <f t="shared" ref="C937:C948" si="629">"ELIDE4142S7/T1"</f>
        <v>ELIDE4142S7/T1</v>
      </c>
      <c r="E937" s="1" t="str">
        <f>"36"</f>
        <v>36</v>
      </c>
      <c r="F937" s="1" t="str">
        <f t="shared" si="606"/>
        <v>BONIS SPA</v>
      </c>
      <c r="G937" s="1" t="str">
        <f t="shared" si="594"/>
        <v>STOCK SCAFFALE MP</v>
      </c>
      <c r="H937" s="1" t="str">
        <f t="shared" ref="H937:H948" si="630">"ORA"</f>
        <v>ORA</v>
      </c>
      <c r="K937" s="1">
        <v>1</v>
      </c>
      <c r="L937" s="1" t="str">
        <f t="shared" si="607"/>
        <v>01</v>
      </c>
      <c r="M937" s="1" t="str">
        <f t="shared" si="595"/>
        <v>408</v>
      </c>
      <c r="N937" s="1" t="str">
        <f>"012"</f>
        <v>012</v>
      </c>
      <c r="O937" s="1" t="str">
        <f t="shared" si="608"/>
        <v>00</v>
      </c>
      <c r="P937" s="1" t="str">
        <f t="shared" si="609"/>
        <v>S</v>
      </c>
      <c r="Q937" s="1" t="str">
        <f t="shared" si="610"/>
        <v>P</v>
      </c>
      <c r="R937" s="1" t="str">
        <f t="shared" si="611"/>
        <v>01</v>
      </c>
      <c r="S937" s="1" t="str">
        <f t="shared" si="596"/>
        <v>04</v>
      </c>
      <c r="T937" s="1" t="str">
        <f t="shared" si="612"/>
        <v>False</v>
      </c>
      <c r="U937" s="1" t="str">
        <f t="shared" si="613"/>
        <v>True</v>
      </c>
      <c r="V937" s="1" t="str">
        <f>"U0033220"</f>
        <v>U0033220</v>
      </c>
      <c r="W937" s="1">
        <v>1</v>
      </c>
      <c r="Y937" s="1">
        <v>0</v>
      </c>
      <c r="Z937" s="1">
        <v>0</v>
      </c>
      <c r="AI937" s="1" t="str">
        <f>"F10"</f>
        <v>F10</v>
      </c>
      <c r="AJ937" s="1" t="str">
        <f t="shared" si="628"/>
        <v>WOMAN</v>
      </c>
      <c r="AK937" s="1" t="str">
        <f t="shared" si="614"/>
        <v>PA</v>
      </c>
      <c r="AP937" s="1" t="str">
        <f t="shared" si="615"/>
        <v>False</v>
      </c>
      <c r="AR937" s="1" t="str">
        <f t="shared" ref="AR937:AR948" si="631">"ELIDE"</f>
        <v>ELIDE</v>
      </c>
      <c r="AY937" s="1" t="str">
        <f t="shared" si="616"/>
        <v>PF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 t="str">
        <f t="shared" ref="BE937:BE948" si="632">"A+TOMAIA MESH"</f>
        <v>A+TOMAIA MESH</v>
      </c>
      <c r="BF937" s="1" t="str">
        <f t="shared" si="617"/>
        <v>Bonis SpA</v>
      </c>
    </row>
    <row r="938" spans="2:58" x14ac:dyDescent="0.25">
      <c r="B938" s="1">
        <v>2485</v>
      </c>
      <c r="C938" s="1" t="str">
        <f t="shared" si="629"/>
        <v>ELIDE4142S7/T1</v>
      </c>
      <c r="E938" s="1" t="str">
        <f>"36"</f>
        <v>36</v>
      </c>
      <c r="F938" s="1" t="str">
        <f t="shared" si="606"/>
        <v>BONIS SPA</v>
      </c>
      <c r="G938" s="1" t="str">
        <f t="shared" si="594"/>
        <v>STOCK SCAFFALE MP</v>
      </c>
      <c r="H938" s="1" t="str">
        <f t="shared" si="630"/>
        <v>ORA</v>
      </c>
      <c r="K938" s="1">
        <v>1</v>
      </c>
      <c r="L938" s="1" t="str">
        <f t="shared" si="607"/>
        <v>01</v>
      </c>
      <c r="M938" s="1" t="str">
        <f t="shared" si="595"/>
        <v>408</v>
      </c>
      <c r="N938" s="1" t="str">
        <f>"010"</f>
        <v>010</v>
      </c>
      <c r="O938" s="1" t="str">
        <f t="shared" si="608"/>
        <v>00</v>
      </c>
      <c r="P938" s="1" t="str">
        <f t="shared" si="609"/>
        <v>S</v>
      </c>
      <c r="Q938" s="1" t="str">
        <f t="shared" si="610"/>
        <v>P</v>
      </c>
      <c r="R938" s="1" t="str">
        <f t="shared" si="611"/>
        <v>01</v>
      </c>
      <c r="S938" s="1" t="str">
        <f t="shared" si="596"/>
        <v>04</v>
      </c>
      <c r="T938" s="1" t="str">
        <f t="shared" si="612"/>
        <v>False</v>
      </c>
      <c r="U938" s="1" t="str">
        <f t="shared" si="613"/>
        <v>True</v>
      </c>
      <c r="V938" s="1" t="str">
        <f>"U0032676"</f>
        <v>U0032676</v>
      </c>
      <c r="W938" s="1">
        <v>1</v>
      </c>
      <c r="Y938" s="1">
        <v>0</v>
      </c>
      <c r="Z938" s="1">
        <v>0</v>
      </c>
      <c r="AI938" s="1" t="str">
        <f>"106"</f>
        <v>106</v>
      </c>
      <c r="AJ938" s="1" t="str">
        <f t="shared" si="628"/>
        <v>WOMAN</v>
      </c>
      <c r="AK938" s="1" t="str">
        <f t="shared" si="614"/>
        <v>PA</v>
      </c>
      <c r="AP938" s="1" t="str">
        <f t="shared" si="615"/>
        <v>False</v>
      </c>
      <c r="AR938" s="1" t="str">
        <f t="shared" si="631"/>
        <v>ELIDE</v>
      </c>
      <c r="AY938" s="1" t="str">
        <f t="shared" si="616"/>
        <v>PF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 t="str">
        <f t="shared" si="632"/>
        <v>A+TOMAIA MESH</v>
      </c>
      <c r="BF938" s="1" t="str">
        <f t="shared" si="617"/>
        <v>Bonis SpA</v>
      </c>
    </row>
    <row r="939" spans="2:58" x14ac:dyDescent="0.25">
      <c r="B939" s="1">
        <v>2476</v>
      </c>
      <c r="C939" s="1" t="str">
        <f t="shared" si="629"/>
        <v>ELIDE4142S7/T1</v>
      </c>
      <c r="E939" s="1" t="str">
        <f>"39"</f>
        <v>39</v>
      </c>
      <c r="F939" s="1" t="str">
        <f t="shared" si="606"/>
        <v>BONIS SPA</v>
      </c>
      <c r="G939" s="1" t="str">
        <f t="shared" si="594"/>
        <v>STOCK SCAFFALE MP</v>
      </c>
      <c r="H939" s="1" t="str">
        <f t="shared" si="630"/>
        <v>ORA</v>
      </c>
      <c r="K939" s="1">
        <v>1</v>
      </c>
      <c r="L939" s="1" t="str">
        <f t="shared" si="607"/>
        <v>01</v>
      </c>
      <c r="M939" s="1" t="str">
        <f t="shared" si="595"/>
        <v>408</v>
      </c>
      <c r="N939" s="1" t="str">
        <f>"007"</f>
        <v>007</v>
      </c>
      <c r="O939" s="1" t="str">
        <f t="shared" si="608"/>
        <v>00</v>
      </c>
      <c r="P939" s="1" t="str">
        <f t="shared" si="609"/>
        <v>S</v>
      </c>
      <c r="Q939" s="1" t="str">
        <f t="shared" si="610"/>
        <v>P</v>
      </c>
      <c r="R939" s="1" t="str">
        <f t="shared" si="611"/>
        <v>01</v>
      </c>
      <c r="S939" s="1" t="str">
        <f t="shared" si="596"/>
        <v>04</v>
      </c>
      <c r="T939" s="1" t="str">
        <f t="shared" si="612"/>
        <v>False</v>
      </c>
      <c r="U939" s="1" t="str">
        <f t="shared" si="613"/>
        <v>True</v>
      </c>
      <c r="V939" s="1" t="str">
        <f>"U0032743"</f>
        <v>U0032743</v>
      </c>
      <c r="W939" s="1">
        <v>1</v>
      </c>
      <c r="Y939" s="1">
        <v>0</v>
      </c>
      <c r="Z939" s="1">
        <v>0</v>
      </c>
      <c r="AI939" s="1" t="str">
        <f>"F06"</f>
        <v>F06</v>
      </c>
      <c r="AJ939" s="1" t="str">
        <f t="shared" si="628"/>
        <v>WOMAN</v>
      </c>
      <c r="AK939" s="1" t="str">
        <f t="shared" si="614"/>
        <v>PA</v>
      </c>
      <c r="AP939" s="1" t="str">
        <f t="shared" si="615"/>
        <v>False</v>
      </c>
      <c r="AR939" s="1" t="str">
        <f t="shared" si="631"/>
        <v>ELIDE</v>
      </c>
      <c r="AY939" s="1" t="str">
        <f t="shared" si="616"/>
        <v>PF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 t="str">
        <f t="shared" si="632"/>
        <v>A+TOMAIA MESH</v>
      </c>
      <c r="BF939" s="1" t="str">
        <f t="shared" si="617"/>
        <v>Bonis SpA</v>
      </c>
    </row>
    <row r="940" spans="2:58" x14ac:dyDescent="0.25">
      <c r="B940" s="1">
        <v>2485</v>
      </c>
      <c r="C940" s="1" t="str">
        <f t="shared" si="629"/>
        <v>ELIDE4142S7/T1</v>
      </c>
      <c r="E940" s="1" t="str">
        <f>"39"</f>
        <v>39</v>
      </c>
      <c r="F940" s="1" t="str">
        <f t="shared" si="606"/>
        <v>BONIS SPA</v>
      </c>
      <c r="G940" s="1" t="str">
        <f t="shared" si="594"/>
        <v>STOCK SCAFFALE MP</v>
      </c>
      <c r="H940" s="1" t="str">
        <f t="shared" si="630"/>
        <v>ORA</v>
      </c>
      <c r="K940" s="1">
        <v>3</v>
      </c>
      <c r="L940" s="1" t="str">
        <f t="shared" si="607"/>
        <v>01</v>
      </c>
      <c r="M940" s="1" t="str">
        <f t="shared" si="595"/>
        <v>408</v>
      </c>
      <c r="N940" s="1" t="str">
        <f t="shared" ref="N940:N947" si="633">"010"</f>
        <v>010</v>
      </c>
      <c r="O940" s="1" t="str">
        <f t="shared" si="608"/>
        <v>00</v>
      </c>
      <c r="P940" s="1" t="str">
        <f t="shared" si="609"/>
        <v>S</v>
      </c>
      <c r="Q940" s="1" t="str">
        <f t="shared" si="610"/>
        <v>P</v>
      </c>
      <c r="R940" s="1" t="str">
        <f t="shared" si="611"/>
        <v>01</v>
      </c>
      <c r="S940" s="1" t="str">
        <f t="shared" si="596"/>
        <v>04</v>
      </c>
      <c r="T940" s="1" t="str">
        <f t="shared" si="612"/>
        <v>False</v>
      </c>
      <c r="U940" s="1" t="str">
        <f t="shared" si="613"/>
        <v>True</v>
      </c>
      <c r="V940" s="1" t="str">
        <f>"U0032662"</f>
        <v>U0032662</v>
      </c>
      <c r="W940" s="1">
        <v>1</v>
      </c>
      <c r="Y940" s="1">
        <v>0</v>
      </c>
      <c r="Z940" s="1">
        <v>0</v>
      </c>
      <c r="AI940" s="1" t="str">
        <f t="shared" ref="AI940:AI947" si="634">"F11"</f>
        <v>F11</v>
      </c>
      <c r="AJ940" s="1" t="str">
        <f t="shared" si="628"/>
        <v>WOMAN</v>
      </c>
      <c r="AK940" s="1" t="str">
        <f t="shared" si="614"/>
        <v>PA</v>
      </c>
      <c r="AP940" s="1" t="str">
        <f t="shared" si="615"/>
        <v>False</v>
      </c>
      <c r="AR940" s="1" t="str">
        <f t="shared" si="631"/>
        <v>ELIDE</v>
      </c>
      <c r="AY940" s="1" t="str">
        <f t="shared" si="616"/>
        <v>PF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 t="str">
        <f t="shared" si="632"/>
        <v>A+TOMAIA MESH</v>
      </c>
      <c r="BF940" s="1" t="str">
        <f t="shared" si="617"/>
        <v>Bonis SpA</v>
      </c>
    </row>
    <row r="941" spans="2:58" x14ac:dyDescent="0.25">
      <c r="B941" s="1">
        <v>2485</v>
      </c>
      <c r="C941" s="1" t="str">
        <f t="shared" si="629"/>
        <v>ELIDE4142S7/T1</v>
      </c>
      <c r="E941" s="1" t="str">
        <f>"38"</f>
        <v>38</v>
      </c>
      <c r="F941" s="1" t="str">
        <f t="shared" si="606"/>
        <v>BONIS SPA</v>
      </c>
      <c r="G941" s="1" t="str">
        <f t="shared" si="594"/>
        <v>STOCK SCAFFALE MP</v>
      </c>
      <c r="H941" s="1" t="str">
        <f t="shared" si="630"/>
        <v>ORA</v>
      </c>
      <c r="K941" s="1">
        <v>2</v>
      </c>
      <c r="L941" s="1" t="str">
        <f t="shared" si="607"/>
        <v>01</v>
      </c>
      <c r="M941" s="1" t="str">
        <f t="shared" si="595"/>
        <v>408</v>
      </c>
      <c r="N941" s="1" t="str">
        <f t="shared" si="633"/>
        <v>010</v>
      </c>
      <c r="O941" s="1" t="str">
        <f t="shared" si="608"/>
        <v>00</v>
      </c>
      <c r="P941" s="1" t="str">
        <f t="shared" si="609"/>
        <v>S</v>
      </c>
      <c r="Q941" s="1" t="str">
        <f t="shared" si="610"/>
        <v>P</v>
      </c>
      <c r="R941" s="1" t="str">
        <f t="shared" si="611"/>
        <v>01</v>
      </c>
      <c r="S941" s="1" t="str">
        <f t="shared" si="596"/>
        <v>04</v>
      </c>
      <c r="T941" s="1" t="str">
        <f t="shared" si="612"/>
        <v>False</v>
      </c>
      <c r="U941" s="1" t="str">
        <f t="shared" si="613"/>
        <v>True</v>
      </c>
      <c r="V941" s="1" t="str">
        <f>"U0032662"</f>
        <v>U0032662</v>
      </c>
      <c r="W941" s="1">
        <v>1</v>
      </c>
      <c r="Y941" s="1">
        <v>0</v>
      </c>
      <c r="Z941" s="1">
        <v>0</v>
      </c>
      <c r="AI941" s="1" t="str">
        <f t="shared" si="634"/>
        <v>F11</v>
      </c>
      <c r="AJ941" s="1" t="str">
        <f t="shared" si="628"/>
        <v>WOMAN</v>
      </c>
      <c r="AK941" s="1" t="str">
        <f t="shared" si="614"/>
        <v>PA</v>
      </c>
      <c r="AP941" s="1" t="str">
        <f t="shared" si="615"/>
        <v>False</v>
      </c>
      <c r="AR941" s="1" t="str">
        <f t="shared" si="631"/>
        <v>ELIDE</v>
      </c>
      <c r="AY941" s="1" t="str">
        <f t="shared" si="616"/>
        <v>PF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 t="str">
        <f t="shared" si="632"/>
        <v>A+TOMAIA MESH</v>
      </c>
      <c r="BF941" s="1" t="str">
        <f t="shared" si="617"/>
        <v>Bonis SpA</v>
      </c>
    </row>
    <row r="942" spans="2:58" x14ac:dyDescent="0.25">
      <c r="B942" s="1">
        <v>2485</v>
      </c>
      <c r="C942" s="1" t="str">
        <f t="shared" si="629"/>
        <v>ELIDE4142S7/T1</v>
      </c>
      <c r="E942" s="1" t="str">
        <f>"36"</f>
        <v>36</v>
      </c>
      <c r="F942" s="1" t="str">
        <f t="shared" si="606"/>
        <v>BONIS SPA</v>
      </c>
      <c r="G942" s="1" t="str">
        <f t="shared" si="594"/>
        <v>STOCK SCAFFALE MP</v>
      </c>
      <c r="H942" s="1" t="str">
        <f t="shared" si="630"/>
        <v>ORA</v>
      </c>
      <c r="K942" s="1">
        <v>1</v>
      </c>
      <c r="L942" s="1" t="str">
        <f t="shared" si="607"/>
        <v>01</v>
      </c>
      <c r="M942" s="1" t="str">
        <f t="shared" si="595"/>
        <v>408</v>
      </c>
      <c r="N942" s="1" t="str">
        <f t="shared" si="633"/>
        <v>010</v>
      </c>
      <c r="O942" s="1" t="str">
        <f t="shared" si="608"/>
        <v>00</v>
      </c>
      <c r="P942" s="1" t="str">
        <f t="shared" si="609"/>
        <v>S</v>
      </c>
      <c r="Q942" s="1" t="str">
        <f t="shared" si="610"/>
        <v>P</v>
      </c>
      <c r="R942" s="1" t="str">
        <f t="shared" si="611"/>
        <v>01</v>
      </c>
      <c r="S942" s="1" t="str">
        <f t="shared" si="596"/>
        <v>04</v>
      </c>
      <c r="T942" s="1" t="str">
        <f t="shared" si="612"/>
        <v>False</v>
      </c>
      <c r="U942" s="1" t="str">
        <f t="shared" si="613"/>
        <v>True</v>
      </c>
      <c r="V942" s="1" t="str">
        <f>"U0032662"</f>
        <v>U0032662</v>
      </c>
      <c r="W942" s="1">
        <v>1</v>
      </c>
      <c r="Y942" s="1">
        <v>0</v>
      </c>
      <c r="Z942" s="1">
        <v>0</v>
      </c>
      <c r="AI942" s="1" t="str">
        <f t="shared" si="634"/>
        <v>F11</v>
      </c>
      <c r="AJ942" s="1" t="str">
        <f t="shared" si="628"/>
        <v>WOMAN</v>
      </c>
      <c r="AK942" s="1" t="str">
        <f t="shared" si="614"/>
        <v>PA</v>
      </c>
      <c r="AP942" s="1" t="str">
        <f t="shared" si="615"/>
        <v>False</v>
      </c>
      <c r="AR942" s="1" t="str">
        <f t="shared" si="631"/>
        <v>ELIDE</v>
      </c>
      <c r="AY942" s="1" t="str">
        <f t="shared" si="616"/>
        <v>PF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 t="str">
        <f t="shared" si="632"/>
        <v>A+TOMAIA MESH</v>
      </c>
      <c r="BF942" s="1" t="str">
        <f t="shared" si="617"/>
        <v>Bonis SpA</v>
      </c>
    </row>
    <row r="943" spans="2:58" x14ac:dyDescent="0.25">
      <c r="B943" s="1">
        <v>2485</v>
      </c>
      <c r="C943" s="1" t="str">
        <f t="shared" si="629"/>
        <v>ELIDE4142S7/T1</v>
      </c>
      <c r="E943" s="1" t="str">
        <f>"37"</f>
        <v>37</v>
      </c>
      <c r="F943" s="1" t="str">
        <f t="shared" si="606"/>
        <v>BONIS SPA</v>
      </c>
      <c r="G943" s="1" t="str">
        <f t="shared" si="594"/>
        <v>STOCK SCAFFALE MP</v>
      </c>
      <c r="H943" s="1" t="str">
        <f t="shared" si="630"/>
        <v>ORA</v>
      </c>
      <c r="K943" s="1">
        <v>2</v>
      </c>
      <c r="L943" s="1" t="str">
        <f t="shared" si="607"/>
        <v>01</v>
      </c>
      <c r="M943" s="1" t="str">
        <f t="shared" si="595"/>
        <v>408</v>
      </c>
      <c r="N943" s="1" t="str">
        <f t="shared" si="633"/>
        <v>010</v>
      </c>
      <c r="O943" s="1" t="str">
        <f t="shared" si="608"/>
        <v>00</v>
      </c>
      <c r="P943" s="1" t="str">
        <f t="shared" si="609"/>
        <v>S</v>
      </c>
      <c r="Q943" s="1" t="str">
        <f t="shared" si="610"/>
        <v>P</v>
      </c>
      <c r="R943" s="1" t="str">
        <f t="shared" si="611"/>
        <v>01</v>
      </c>
      <c r="S943" s="1" t="str">
        <f t="shared" si="596"/>
        <v>04</v>
      </c>
      <c r="T943" s="1" t="str">
        <f t="shared" si="612"/>
        <v>False</v>
      </c>
      <c r="U943" s="1" t="str">
        <f t="shared" si="613"/>
        <v>True</v>
      </c>
      <c r="V943" s="1" t="str">
        <f>"U0032662"</f>
        <v>U0032662</v>
      </c>
      <c r="W943" s="1">
        <v>1</v>
      </c>
      <c r="Y943" s="1">
        <v>0</v>
      </c>
      <c r="Z943" s="1">
        <v>0</v>
      </c>
      <c r="AI943" s="1" t="str">
        <f t="shared" si="634"/>
        <v>F11</v>
      </c>
      <c r="AJ943" s="1" t="str">
        <f t="shared" si="628"/>
        <v>WOMAN</v>
      </c>
      <c r="AK943" s="1" t="str">
        <f t="shared" si="614"/>
        <v>PA</v>
      </c>
      <c r="AP943" s="1" t="str">
        <f t="shared" si="615"/>
        <v>False</v>
      </c>
      <c r="AR943" s="1" t="str">
        <f t="shared" si="631"/>
        <v>ELIDE</v>
      </c>
      <c r="AY943" s="1" t="str">
        <f t="shared" si="616"/>
        <v>PF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 t="str">
        <f t="shared" si="632"/>
        <v>A+TOMAIA MESH</v>
      </c>
      <c r="BF943" s="1" t="str">
        <f t="shared" si="617"/>
        <v>Bonis SpA</v>
      </c>
    </row>
    <row r="944" spans="2:58" x14ac:dyDescent="0.25">
      <c r="B944" s="1">
        <v>2485</v>
      </c>
      <c r="C944" s="1" t="str">
        <f t="shared" si="629"/>
        <v>ELIDE4142S7/T1</v>
      </c>
      <c r="E944" s="1" t="str">
        <f>"38"</f>
        <v>38</v>
      </c>
      <c r="F944" s="1" t="str">
        <f t="shared" si="606"/>
        <v>BONIS SPA</v>
      </c>
      <c r="G944" s="1" t="str">
        <f t="shared" ref="G944:G1007" si="635">"STOCK SCAFFALE MP"</f>
        <v>STOCK SCAFFALE MP</v>
      </c>
      <c r="H944" s="1" t="str">
        <f t="shared" si="630"/>
        <v>ORA</v>
      </c>
      <c r="K944" s="1">
        <v>2</v>
      </c>
      <c r="L944" s="1" t="str">
        <f t="shared" si="607"/>
        <v>01</v>
      </c>
      <c r="M944" s="1" t="str">
        <f t="shared" ref="M944:M1007" si="636">"408"</f>
        <v>408</v>
      </c>
      <c r="N944" s="1" t="str">
        <f t="shared" si="633"/>
        <v>010</v>
      </c>
      <c r="O944" s="1" t="str">
        <f t="shared" si="608"/>
        <v>00</v>
      </c>
      <c r="P944" s="1" t="str">
        <f t="shared" si="609"/>
        <v>S</v>
      </c>
      <c r="Q944" s="1" t="str">
        <f t="shared" si="610"/>
        <v>P</v>
      </c>
      <c r="R944" s="1" t="str">
        <f t="shared" si="611"/>
        <v>01</v>
      </c>
      <c r="S944" s="1" t="str">
        <f t="shared" ref="S944:S1007" si="637">"04"</f>
        <v>04</v>
      </c>
      <c r="T944" s="1" t="str">
        <f t="shared" si="612"/>
        <v>False</v>
      </c>
      <c r="U944" s="1" t="str">
        <f t="shared" si="613"/>
        <v>True</v>
      </c>
      <c r="V944" s="1" t="str">
        <f>"U0032660"</f>
        <v>U0032660</v>
      </c>
      <c r="W944" s="1">
        <v>1</v>
      </c>
      <c r="Y944" s="1">
        <v>0</v>
      </c>
      <c r="Z944" s="1">
        <v>0</v>
      </c>
      <c r="AI944" s="1" t="str">
        <f t="shared" si="634"/>
        <v>F11</v>
      </c>
      <c r="AJ944" s="1" t="str">
        <f t="shared" si="628"/>
        <v>WOMAN</v>
      </c>
      <c r="AK944" s="1" t="str">
        <f t="shared" si="614"/>
        <v>PA</v>
      </c>
      <c r="AP944" s="1" t="str">
        <f t="shared" si="615"/>
        <v>False</v>
      </c>
      <c r="AR944" s="1" t="str">
        <f t="shared" si="631"/>
        <v>ELIDE</v>
      </c>
      <c r="AY944" s="1" t="str">
        <f t="shared" si="616"/>
        <v>PF</v>
      </c>
      <c r="AZ944" s="1">
        <v>0</v>
      </c>
      <c r="BA944" s="1">
        <v>0</v>
      </c>
      <c r="BB944" s="1">
        <v>0</v>
      </c>
      <c r="BC944" s="1">
        <v>0</v>
      </c>
      <c r="BD944" s="1">
        <v>0</v>
      </c>
      <c r="BE944" s="1" t="str">
        <f t="shared" si="632"/>
        <v>A+TOMAIA MESH</v>
      </c>
      <c r="BF944" s="1" t="str">
        <f t="shared" si="617"/>
        <v>Bonis SpA</v>
      </c>
    </row>
    <row r="945" spans="2:58" x14ac:dyDescent="0.25">
      <c r="B945" s="1">
        <v>2485</v>
      </c>
      <c r="C945" s="1" t="str">
        <f t="shared" si="629"/>
        <v>ELIDE4142S7/T1</v>
      </c>
      <c r="E945" s="1" t="str">
        <f>"39"</f>
        <v>39</v>
      </c>
      <c r="F945" s="1" t="str">
        <f t="shared" si="606"/>
        <v>BONIS SPA</v>
      </c>
      <c r="G945" s="1" t="str">
        <f t="shared" si="635"/>
        <v>STOCK SCAFFALE MP</v>
      </c>
      <c r="H945" s="1" t="str">
        <f t="shared" si="630"/>
        <v>ORA</v>
      </c>
      <c r="K945" s="1">
        <v>2</v>
      </c>
      <c r="L945" s="1" t="str">
        <f t="shared" si="607"/>
        <v>01</v>
      </c>
      <c r="M945" s="1" t="str">
        <f t="shared" si="636"/>
        <v>408</v>
      </c>
      <c r="N945" s="1" t="str">
        <f t="shared" si="633"/>
        <v>010</v>
      </c>
      <c r="O945" s="1" t="str">
        <f t="shared" si="608"/>
        <v>00</v>
      </c>
      <c r="P945" s="1" t="str">
        <f t="shared" si="609"/>
        <v>S</v>
      </c>
      <c r="Q945" s="1" t="str">
        <f t="shared" si="610"/>
        <v>P</v>
      </c>
      <c r="R945" s="1" t="str">
        <f t="shared" si="611"/>
        <v>01</v>
      </c>
      <c r="S945" s="1" t="str">
        <f t="shared" si="637"/>
        <v>04</v>
      </c>
      <c r="T945" s="1" t="str">
        <f t="shared" si="612"/>
        <v>False</v>
      </c>
      <c r="U945" s="1" t="str">
        <f t="shared" si="613"/>
        <v>True</v>
      </c>
      <c r="V945" s="1" t="str">
        <f>"U0032660"</f>
        <v>U0032660</v>
      </c>
      <c r="W945" s="1">
        <v>1</v>
      </c>
      <c r="Y945" s="1">
        <v>0</v>
      </c>
      <c r="Z945" s="1">
        <v>0</v>
      </c>
      <c r="AI945" s="1" t="str">
        <f t="shared" si="634"/>
        <v>F11</v>
      </c>
      <c r="AJ945" s="1" t="str">
        <f t="shared" si="628"/>
        <v>WOMAN</v>
      </c>
      <c r="AK945" s="1" t="str">
        <f t="shared" si="614"/>
        <v>PA</v>
      </c>
      <c r="AP945" s="1" t="str">
        <f t="shared" si="615"/>
        <v>False</v>
      </c>
      <c r="AR945" s="1" t="str">
        <f t="shared" si="631"/>
        <v>ELIDE</v>
      </c>
      <c r="AY945" s="1" t="str">
        <f t="shared" si="616"/>
        <v>PF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 t="str">
        <f t="shared" si="632"/>
        <v>A+TOMAIA MESH</v>
      </c>
      <c r="BF945" s="1" t="str">
        <f t="shared" si="617"/>
        <v>Bonis SpA</v>
      </c>
    </row>
    <row r="946" spans="2:58" x14ac:dyDescent="0.25">
      <c r="B946" s="1">
        <v>2485</v>
      </c>
      <c r="C946" s="1" t="str">
        <f t="shared" si="629"/>
        <v>ELIDE4142S7/T1</v>
      </c>
      <c r="E946" s="1" t="str">
        <f>"37"</f>
        <v>37</v>
      </c>
      <c r="F946" s="1" t="str">
        <f t="shared" si="606"/>
        <v>BONIS SPA</v>
      </c>
      <c r="G946" s="1" t="str">
        <f t="shared" si="635"/>
        <v>STOCK SCAFFALE MP</v>
      </c>
      <c r="H946" s="1" t="str">
        <f t="shared" si="630"/>
        <v>ORA</v>
      </c>
      <c r="K946" s="1">
        <v>2</v>
      </c>
      <c r="L946" s="1" t="str">
        <f t="shared" si="607"/>
        <v>01</v>
      </c>
      <c r="M946" s="1" t="str">
        <f t="shared" si="636"/>
        <v>408</v>
      </c>
      <c r="N946" s="1" t="str">
        <f t="shared" si="633"/>
        <v>010</v>
      </c>
      <c r="O946" s="1" t="str">
        <f t="shared" si="608"/>
        <v>00</v>
      </c>
      <c r="P946" s="1" t="str">
        <f t="shared" si="609"/>
        <v>S</v>
      </c>
      <c r="Q946" s="1" t="str">
        <f t="shared" si="610"/>
        <v>P</v>
      </c>
      <c r="R946" s="1" t="str">
        <f t="shared" si="611"/>
        <v>01</v>
      </c>
      <c r="S946" s="1" t="str">
        <f t="shared" si="637"/>
        <v>04</v>
      </c>
      <c r="T946" s="1" t="str">
        <f t="shared" si="612"/>
        <v>False</v>
      </c>
      <c r="U946" s="1" t="str">
        <f t="shared" si="613"/>
        <v>True</v>
      </c>
      <c r="V946" s="1" t="str">
        <f>"U0032660"</f>
        <v>U0032660</v>
      </c>
      <c r="W946" s="1">
        <v>1</v>
      </c>
      <c r="Y946" s="1">
        <v>0</v>
      </c>
      <c r="Z946" s="1">
        <v>0</v>
      </c>
      <c r="AI946" s="1" t="str">
        <f t="shared" si="634"/>
        <v>F11</v>
      </c>
      <c r="AJ946" s="1" t="str">
        <f t="shared" si="628"/>
        <v>WOMAN</v>
      </c>
      <c r="AK946" s="1" t="str">
        <f t="shared" si="614"/>
        <v>PA</v>
      </c>
      <c r="AP946" s="1" t="str">
        <f t="shared" si="615"/>
        <v>False</v>
      </c>
      <c r="AR946" s="1" t="str">
        <f t="shared" si="631"/>
        <v>ELIDE</v>
      </c>
      <c r="AY946" s="1" t="str">
        <f t="shared" si="616"/>
        <v>PF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 t="str">
        <f t="shared" si="632"/>
        <v>A+TOMAIA MESH</v>
      </c>
      <c r="BF946" s="1" t="str">
        <f t="shared" si="617"/>
        <v>Bonis SpA</v>
      </c>
    </row>
    <row r="947" spans="2:58" x14ac:dyDescent="0.25">
      <c r="B947" s="1">
        <v>2485</v>
      </c>
      <c r="C947" s="1" t="str">
        <f t="shared" si="629"/>
        <v>ELIDE4142S7/T1</v>
      </c>
      <c r="E947" s="1" t="str">
        <f>"36"</f>
        <v>36</v>
      </c>
      <c r="F947" s="1" t="str">
        <f t="shared" si="606"/>
        <v>BONIS SPA</v>
      </c>
      <c r="G947" s="1" t="str">
        <f t="shared" si="635"/>
        <v>STOCK SCAFFALE MP</v>
      </c>
      <c r="H947" s="1" t="str">
        <f t="shared" si="630"/>
        <v>ORA</v>
      </c>
      <c r="K947" s="1">
        <v>2</v>
      </c>
      <c r="L947" s="1" t="str">
        <f t="shared" si="607"/>
        <v>01</v>
      </c>
      <c r="M947" s="1" t="str">
        <f t="shared" si="636"/>
        <v>408</v>
      </c>
      <c r="N947" s="1" t="str">
        <f t="shared" si="633"/>
        <v>010</v>
      </c>
      <c r="O947" s="1" t="str">
        <f t="shared" si="608"/>
        <v>00</v>
      </c>
      <c r="P947" s="1" t="str">
        <f t="shared" si="609"/>
        <v>S</v>
      </c>
      <c r="Q947" s="1" t="str">
        <f t="shared" si="610"/>
        <v>P</v>
      </c>
      <c r="R947" s="1" t="str">
        <f t="shared" si="611"/>
        <v>01</v>
      </c>
      <c r="S947" s="1" t="str">
        <f t="shared" si="637"/>
        <v>04</v>
      </c>
      <c r="T947" s="1" t="str">
        <f t="shared" si="612"/>
        <v>False</v>
      </c>
      <c r="U947" s="1" t="str">
        <f t="shared" si="613"/>
        <v>True</v>
      </c>
      <c r="V947" s="1" t="str">
        <f>"U0032660"</f>
        <v>U0032660</v>
      </c>
      <c r="W947" s="1">
        <v>1</v>
      </c>
      <c r="Y947" s="1">
        <v>0</v>
      </c>
      <c r="Z947" s="1">
        <v>0</v>
      </c>
      <c r="AI947" s="1" t="str">
        <f t="shared" si="634"/>
        <v>F11</v>
      </c>
      <c r="AJ947" s="1" t="str">
        <f t="shared" si="628"/>
        <v>WOMAN</v>
      </c>
      <c r="AK947" s="1" t="str">
        <f t="shared" si="614"/>
        <v>PA</v>
      </c>
      <c r="AP947" s="1" t="str">
        <f t="shared" si="615"/>
        <v>False</v>
      </c>
      <c r="AR947" s="1" t="str">
        <f t="shared" si="631"/>
        <v>ELIDE</v>
      </c>
      <c r="AY947" s="1" t="str">
        <f t="shared" si="616"/>
        <v>PF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 t="str">
        <f t="shared" si="632"/>
        <v>A+TOMAIA MESH</v>
      </c>
      <c r="BF947" s="1" t="str">
        <f t="shared" si="617"/>
        <v>Bonis SpA</v>
      </c>
    </row>
    <row r="948" spans="2:58" x14ac:dyDescent="0.25">
      <c r="B948" s="1">
        <v>2491</v>
      </c>
      <c r="C948" s="1" t="str">
        <f t="shared" si="629"/>
        <v>ELIDE4142S7/T1</v>
      </c>
      <c r="E948" s="1" t="str">
        <f>"38"</f>
        <v>38</v>
      </c>
      <c r="F948" s="1" t="str">
        <f t="shared" si="606"/>
        <v>BONIS SPA</v>
      </c>
      <c r="G948" s="1" t="str">
        <f t="shared" si="635"/>
        <v>STOCK SCAFFALE MP</v>
      </c>
      <c r="H948" s="1" t="str">
        <f t="shared" si="630"/>
        <v>ORA</v>
      </c>
      <c r="K948" s="1">
        <v>1</v>
      </c>
      <c r="L948" s="1" t="str">
        <f t="shared" si="607"/>
        <v>01</v>
      </c>
      <c r="M948" s="1" t="str">
        <f t="shared" si="636"/>
        <v>408</v>
      </c>
      <c r="N948" s="1" t="str">
        <f>"012"</f>
        <v>012</v>
      </c>
      <c r="O948" s="1" t="str">
        <f t="shared" si="608"/>
        <v>00</v>
      </c>
      <c r="P948" s="1" t="str">
        <f t="shared" si="609"/>
        <v>S</v>
      </c>
      <c r="Q948" s="1" t="str">
        <f t="shared" si="610"/>
        <v>P</v>
      </c>
      <c r="R948" s="1" t="str">
        <f t="shared" si="611"/>
        <v>01</v>
      </c>
      <c r="S948" s="1" t="str">
        <f t="shared" si="637"/>
        <v>04</v>
      </c>
      <c r="T948" s="1" t="str">
        <f t="shared" si="612"/>
        <v>False</v>
      </c>
      <c r="U948" s="1" t="str">
        <f t="shared" si="613"/>
        <v>True</v>
      </c>
      <c r="V948" s="1" t="str">
        <f>"U0033220"</f>
        <v>U0033220</v>
      </c>
      <c r="W948" s="1">
        <v>1</v>
      </c>
      <c r="Y948" s="1">
        <v>0</v>
      </c>
      <c r="Z948" s="1">
        <v>0</v>
      </c>
      <c r="AI948" s="1" t="str">
        <f>"F10"</f>
        <v>F10</v>
      </c>
      <c r="AJ948" s="1" t="str">
        <f t="shared" si="628"/>
        <v>WOMAN</v>
      </c>
      <c r="AK948" s="1" t="str">
        <f t="shared" si="614"/>
        <v>PA</v>
      </c>
      <c r="AP948" s="1" t="str">
        <f t="shared" si="615"/>
        <v>False</v>
      </c>
      <c r="AR948" s="1" t="str">
        <f t="shared" si="631"/>
        <v>ELIDE</v>
      </c>
      <c r="AY948" s="1" t="str">
        <f t="shared" si="616"/>
        <v>PF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 t="str">
        <f t="shared" si="632"/>
        <v>A+TOMAIA MESH</v>
      </c>
      <c r="BF948" s="1" t="str">
        <f t="shared" si="617"/>
        <v>Bonis SpA</v>
      </c>
    </row>
    <row r="949" spans="2:58" x14ac:dyDescent="0.25">
      <c r="B949" s="1">
        <v>2458</v>
      </c>
      <c r="C949" s="1" t="str">
        <f t="shared" ref="C949:C957" si="638">"GYNN4238S7/T1"</f>
        <v>GYNN4238S7/T1</v>
      </c>
      <c r="E949" s="1" t="str">
        <f>"42"</f>
        <v>42</v>
      </c>
      <c r="F949" s="1" t="str">
        <f t="shared" si="606"/>
        <v>BONIS SPA</v>
      </c>
      <c r="G949" s="1" t="str">
        <f t="shared" si="635"/>
        <v>STOCK SCAFFALE MP</v>
      </c>
      <c r="H949" s="1" t="str">
        <f t="shared" ref="H949:H957" si="639">"DKBL"</f>
        <v>DKBL</v>
      </c>
      <c r="K949" s="1">
        <v>4</v>
      </c>
      <c r="L949" s="1" t="str">
        <f t="shared" si="607"/>
        <v>01</v>
      </c>
      <c r="M949" s="1" t="str">
        <f t="shared" si="636"/>
        <v>408</v>
      </c>
      <c r="N949" s="1" t="str">
        <f t="shared" ref="N949:N993" si="640">"001"</f>
        <v>001</v>
      </c>
      <c r="O949" s="1" t="str">
        <f t="shared" si="608"/>
        <v>00</v>
      </c>
      <c r="P949" s="1" t="str">
        <f t="shared" si="609"/>
        <v>S</v>
      </c>
      <c r="Q949" s="1" t="str">
        <f t="shared" si="610"/>
        <v>P</v>
      </c>
      <c r="R949" s="1" t="str">
        <f t="shared" si="611"/>
        <v>01</v>
      </c>
      <c r="S949" s="1" t="str">
        <f t="shared" si="637"/>
        <v>04</v>
      </c>
      <c r="T949" s="1" t="str">
        <f t="shared" si="612"/>
        <v>False</v>
      </c>
      <c r="U949" s="1" t="str">
        <f t="shared" si="613"/>
        <v>True</v>
      </c>
      <c r="V949" s="1" t="str">
        <f>"U0032656"</f>
        <v>U0032656</v>
      </c>
      <c r="W949" s="1">
        <v>1</v>
      </c>
      <c r="Y949" s="1">
        <v>0</v>
      </c>
      <c r="Z949" s="1">
        <v>0</v>
      </c>
      <c r="AB949" s="1" t="str">
        <f t="shared" ref="AB949:AB1012" si="641">"SMU"</f>
        <v>SMU</v>
      </c>
      <c r="AI949" s="1" t="str">
        <f>"F11"</f>
        <v>F11</v>
      </c>
      <c r="AJ949" s="1" t="str">
        <f t="shared" ref="AJ949:AJ980" si="642">"MAN"</f>
        <v>MAN</v>
      </c>
      <c r="AK949" s="1" t="str">
        <f t="shared" si="614"/>
        <v>PA</v>
      </c>
      <c r="AP949" s="1" t="str">
        <f t="shared" si="615"/>
        <v>False</v>
      </c>
      <c r="AR949" s="1" t="str">
        <f t="shared" ref="AR949:AR980" si="643">"GYNN"</f>
        <v>GYNN</v>
      </c>
      <c r="AY949" s="1" t="str">
        <f t="shared" si="616"/>
        <v>PF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 t="str">
        <f t="shared" ref="BE949:BE957" si="644">"MMA+TEXTILE JEANS"</f>
        <v>MMA+TEXTILE JEANS</v>
      </c>
      <c r="BF949" s="1" t="str">
        <f t="shared" si="617"/>
        <v>Bonis SpA</v>
      </c>
    </row>
    <row r="950" spans="2:58" x14ac:dyDescent="0.25">
      <c r="B950" s="1">
        <v>2458</v>
      </c>
      <c r="C950" s="1" t="str">
        <f t="shared" si="638"/>
        <v>GYNN4238S7/T1</v>
      </c>
      <c r="E950" s="1" t="str">
        <f>"41"</f>
        <v>41</v>
      </c>
      <c r="F950" s="1" t="str">
        <f t="shared" si="606"/>
        <v>BONIS SPA</v>
      </c>
      <c r="G950" s="1" t="str">
        <f t="shared" si="635"/>
        <v>STOCK SCAFFALE MP</v>
      </c>
      <c r="H950" s="1" t="str">
        <f t="shared" si="639"/>
        <v>DKBL</v>
      </c>
      <c r="K950" s="1">
        <v>3</v>
      </c>
      <c r="L950" s="1" t="str">
        <f t="shared" si="607"/>
        <v>01</v>
      </c>
      <c r="M950" s="1" t="str">
        <f t="shared" si="636"/>
        <v>408</v>
      </c>
      <c r="N950" s="1" t="str">
        <f t="shared" si="640"/>
        <v>001</v>
      </c>
      <c r="O950" s="1" t="str">
        <f t="shared" si="608"/>
        <v>00</v>
      </c>
      <c r="P950" s="1" t="str">
        <f t="shared" si="609"/>
        <v>S</v>
      </c>
      <c r="Q950" s="1" t="str">
        <f t="shared" si="610"/>
        <v>P</v>
      </c>
      <c r="R950" s="1" t="str">
        <f t="shared" si="611"/>
        <v>01</v>
      </c>
      <c r="S950" s="1" t="str">
        <f t="shared" si="637"/>
        <v>04</v>
      </c>
      <c r="T950" s="1" t="str">
        <f t="shared" si="612"/>
        <v>False</v>
      </c>
      <c r="U950" s="1" t="str">
        <f t="shared" si="613"/>
        <v>True</v>
      </c>
      <c r="V950" s="1" t="str">
        <f>"U0032656"</f>
        <v>U0032656</v>
      </c>
      <c r="W950" s="1">
        <v>1</v>
      </c>
      <c r="Y950" s="1">
        <v>0</v>
      </c>
      <c r="Z950" s="1">
        <v>0</v>
      </c>
      <c r="AB950" s="1" t="str">
        <f t="shared" si="641"/>
        <v>SMU</v>
      </c>
      <c r="AI950" s="1" t="str">
        <f>"F06"</f>
        <v>F06</v>
      </c>
      <c r="AJ950" s="1" t="str">
        <f t="shared" si="642"/>
        <v>MAN</v>
      </c>
      <c r="AK950" s="1" t="str">
        <f t="shared" si="614"/>
        <v>PA</v>
      </c>
      <c r="AP950" s="1" t="str">
        <f t="shared" si="615"/>
        <v>False</v>
      </c>
      <c r="AR950" s="1" t="str">
        <f t="shared" si="643"/>
        <v>GYNN</v>
      </c>
      <c r="AY950" s="1" t="str">
        <f t="shared" si="616"/>
        <v>PF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 t="str">
        <f t="shared" si="644"/>
        <v>MMA+TEXTILE JEANS</v>
      </c>
      <c r="BF950" s="1" t="str">
        <f t="shared" si="617"/>
        <v>Bonis SpA</v>
      </c>
    </row>
    <row r="951" spans="2:58" x14ac:dyDescent="0.25">
      <c r="B951" s="1">
        <v>2458</v>
      </c>
      <c r="C951" s="1" t="str">
        <f t="shared" si="638"/>
        <v>GYNN4238S7/T1</v>
      </c>
      <c r="E951" s="1" t="str">
        <f>"40"</f>
        <v>40</v>
      </c>
      <c r="F951" s="1" t="str">
        <f t="shared" si="606"/>
        <v>BONIS SPA</v>
      </c>
      <c r="G951" s="1" t="str">
        <f t="shared" si="635"/>
        <v>STOCK SCAFFALE MP</v>
      </c>
      <c r="H951" s="1" t="str">
        <f t="shared" si="639"/>
        <v>DKBL</v>
      </c>
      <c r="K951" s="1">
        <v>4</v>
      </c>
      <c r="L951" s="1" t="str">
        <f t="shared" si="607"/>
        <v>01</v>
      </c>
      <c r="M951" s="1" t="str">
        <f t="shared" si="636"/>
        <v>408</v>
      </c>
      <c r="N951" s="1" t="str">
        <f t="shared" si="640"/>
        <v>001</v>
      </c>
      <c r="O951" s="1" t="str">
        <f t="shared" si="608"/>
        <v>00</v>
      </c>
      <c r="P951" s="1" t="str">
        <f t="shared" si="609"/>
        <v>S</v>
      </c>
      <c r="Q951" s="1" t="str">
        <f t="shared" si="610"/>
        <v>P</v>
      </c>
      <c r="R951" s="1" t="str">
        <f t="shared" si="611"/>
        <v>01</v>
      </c>
      <c r="S951" s="1" t="str">
        <f t="shared" si="637"/>
        <v>04</v>
      </c>
      <c r="T951" s="1" t="str">
        <f t="shared" si="612"/>
        <v>False</v>
      </c>
      <c r="U951" s="1" t="str">
        <f t="shared" si="613"/>
        <v>True</v>
      </c>
      <c r="V951" s="1" t="str">
        <f>"U0032656"</f>
        <v>U0032656</v>
      </c>
      <c r="W951" s="1">
        <v>1</v>
      </c>
      <c r="Y951" s="1">
        <v>0</v>
      </c>
      <c r="Z951" s="1">
        <v>0</v>
      </c>
      <c r="AB951" s="1" t="str">
        <f t="shared" si="641"/>
        <v>SMU</v>
      </c>
      <c r="AI951" s="1" t="str">
        <f>"F06"</f>
        <v>F06</v>
      </c>
      <c r="AJ951" s="1" t="str">
        <f t="shared" si="642"/>
        <v>MAN</v>
      </c>
      <c r="AK951" s="1" t="str">
        <f t="shared" si="614"/>
        <v>PA</v>
      </c>
      <c r="AP951" s="1" t="str">
        <f t="shared" si="615"/>
        <v>False</v>
      </c>
      <c r="AR951" s="1" t="str">
        <f t="shared" si="643"/>
        <v>GYNN</v>
      </c>
      <c r="AY951" s="1" t="str">
        <f t="shared" si="616"/>
        <v>PF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 t="str">
        <f t="shared" si="644"/>
        <v>MMA+TEXTILE JEANS</v>
      </c>
      <c r="BF951" s="1" t="str">
        <f t="shared" si="617"/>
        <v>Bonis SpA</v>
      </c>
    </row>
    <row r="952" spans="2:58" x14ac:dyDescent="0.25">
      <c r="B952" s="1">
        <v>2458</v>
      </c>
      <c r="C952" s="1" t="str">
        <f t="shared" si="638"/>
        <v>GYNN4238S7/T1</v>
      </c>
      <c r="E952" s="1" t="str">
        <f>"43"</f>
        <v>43</v>
      </c>
      <c r="F952" s="1" t="str">
        <f t="shared" si="606"/>
        <v>BONIS SPA</v>
      </c>
      <c r="G952" s="1" t="str">
        <f t="shared" si="635"/>
        <v>STOCK SCAFFALE MP</v>
      </c>
      <c r="H952" s="1" t="str">
        <f t="shared" si="639"/>
        <v>DKBL</v>
      </c>
      <c r="K952" s="1">
        <v>1</v>
      </c>
      <c r="L952" s="1" t="str">
        <f t="shared" si="607"/>
        <v>01</v>
      </c>
      <c r="M952" s="1" t="str">
        <f t="shared" si="636"/>
        <v>408</v>
      </c>
      <c r="N952" s="1" t="str">
        <f t="shared" si="640"/>
        <v>001</v>
      </c>
      <c r="O952" s="1" t="str">
        <f t="shared" si="608"/>
        <v>00</v>
      </c>
      <c r="P952" s="1" t="str">
        <f t="shared" si="609"/>
        <v>S</v>
      </c>
      <c r="Q952" s="1" t="str">
        <f t="shared" si="610"/>
        <v>P</v>
      </c>
      <c r="R952" s="1" t="str">
        <f t="shared" si="611"/>
        <v>01</v>
      </c>
      <c r="S952" s="1" t="str">
        <f t="shared" si="637"/>
        <v>04</v>
      </c>
      <c r="T952" s="1" t="str">
        <f t="shared" si="612"/>
        <v>False</v>
      </c>
      <c r="U952" s="1" t="str">
        <f t="shared" si="613"/>
        <v>True</v>
      </c>
      <c r="V952" s="1" t="str">
        <f>"U0032656"</f>
        <v>U0032656</v>
      </c>
      <c r="W952" s="1">
        <v>1</v>
      </c>
      <c r="Y952" s="1">
        <v>0</v>
      </c>
      <c r="Z952" s="1">
        <v>0</v>
      </c>
      <c r="AB952" s="1" t="str">
        <f t="shared" si="641"/>
        <v>SMU</v>
      </c>
      <c r="AI952" s="1" t="str">
        <f t="shared" ref="AI952:AI957" si="645">"F11"</f>
        <v>F11</v>
      </c>
      <c r="AJ952" s="1" t="str">
        <f t="shared" si="642"/>
        <v>MAN</v>
      </c>
      <c r="AK952" s="1" t="str">
        <f t="shared" si="614"/>
        <v>PA</v>
      </c>
      <c r="AP952" s="1" t="str">
        <f t="shared" si="615"/>
        <v>False</v>
      </c>
      <c r="AR952" s="1" t="str">
        <f t="shared" si="643"/>
        <v>GYNN</v>
      </c>
      <c r="AY952" s="1" t="str">
        <f t="shared" si="616"/>
        <v>PF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 t="str">
        <f t="shared" si="644"/>
        <v>MMA+TEXTILE JEANS</v>
      </c>
      <c r="BF952" s="1" t="str">
        <f t="shared" si="617"/>
        <v>Bonis SpA</v>
      </c>
    </row>
    <row r="953" spans="2:58" x14ac:dyDescent="0.25">
      <c r="B953" s="1">
        <v>2458</v>
      </c>
      <c r="C953" s="1" t="str">
        <f t="shared" si="638"/>
        <v>GYNN4238S7/T1</v>
      </c>
      <c r="E953" s="1" t="str">
        <f>"43"</f>
        <v>43</v>
      </c>
      <c r="F953" s="1" t="str">
        <f t="shared" si="606"/>
        <v>BONIS SPA</v>
      </c>
      <c r="G953" s="1" t="str">
        <f t="shared" si="635"/>
        <v>STOCK SCAFFALE MP</v>
      </c>
      <c r="H953" s="1" t="str">
        <f t="shared" si="639"/>
        <v>DKBL</v>
      </c>
      <c r="K953" s="1">
        <v>2</v>
      </c>
      <c r="L953" s="1" t="str">
        <f t="shared" si="607"/>
        <v>01</v>
      </c>
      <c r="M953" s="1" t="str">
        <f t="shared" si="636"/>
        <v>408</v>
      </c>
      <c r="N953" s="1" t="str">
        <f t="shared" si="640"/>
        <v>001</v>
      </c>
      <c r="O953" s="1" t="str">
        <f t="shared" si="608"/>
        <v>00</v>
      </c>
      <c r="P953" s="1" t="str">
        <f t="shared" si="609"/>
        <v>S</v>
      </c>
      <c r="Q953" s="1" t="str">
        <f t="shared" si="610"/>
        <v>P</v>
      </c>
      <c r="R953" s="1" t="str">
        <f t="shared" si="611"/>
        <v>01</v>
      </c>
      <c r="S953" s="1" t="str">
        <f t="shared" si="637"/>
        <v>04</v>
      </c>
      <c r="T953" s="1" t="str">
        <f t="shared" si="612"/>
        <v>False</v>
      </c>
      <c r="U953" s="1" t="str">
        <f t="shared" si="613"/>
        <v>True</v>
      </c>
      <c r="V953" s="1" t="str">
        <f t="shared" ref="V953:V958" si="646">"U0032655"</f>
        <v>U0032655</v>
      </c>
      <c r="W953" s="1">
        <v>1</v>
      </c>
      <c r="Y953" s="1">
        <v>0</v>
      </c>
      <c r="Z953" s="1">
        <v>0</v>
      </c>
      <c r="AB953" s="1" t="str">
        <f t="shared" si="641"/>
        <v>SMU</v>
      </c>
      <c r="AI953" s="1" t="str">
        <f t="shared" si="645"/>
        <v>F11</v>
      </c>
      <c r="AJ953" s="1" t="str">
        <f t="shared" si="642"/>
        <v>MAN</v>
      </c>
      <c r="AK953" s="1" t="str">
        <f t="shared" si="614"/>
        <v>PA</v>
      </c>
      <c r="AP953" s="1" t="str">
        <f t="shared" si="615"/>
        <v>False</v>
      </c>
      <c r="AR953" s="1" t="str">
        <f t="shared" si="643"/>
        <v>GYNN</v>
      </c>
      <c r="AY953" s="1" t="str">
        <f t="shared" si="616"/>
        <v>PF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 t="str">
        <f t="shared" si="644"/>
        <v>MMA+TEXTILE JEANS</v>
      </c>
      <c r="BF953" s="1" t="str">
        <f t="shared" si="617"/>
        <v>Bonis SpA</v>
      </c>
    </row>
    <row r="954" spans="2:58" x14ac:dyDescent="0.25">
      <c r="B954" s="1">
        <v>2458</v>
      </c>
      <c r="C954" s="1" t="str">
        <f t="shared" si="638"/>
        <v>GYNN4238S7/T1</v>
      </c>
      <c r="E954" s="1" t="str">
        <f>"44"</f>
        <v>44</v>
      </c>
      <c r="F954" s="1" t="str">
        <f t="shared" si="606"/>
        <v>BONIS SPA</v>
      </c>
      <c r="G954" s="1" t="str">
        <f t="shared" si="635"/>
        <v>STOCK SCAFFALE MP</v>
      </c>
      <c r="H954" s="1" t="str">
        <f t="shared" si="639"/>
        <v>DKBL</v>
      </c>
      <c r="K954" s="1">
        <v>2</v>
      </c>
      <c r="L954" s="1" t="str">
        <f t="shared" si="607"/>
        <v>01</v>
      </c>
      <c r="M954" s="1" t="str">
        <f t="shared" si="636"/>
        <v>408</v>
      </c>
      <c r="N954" s="1" t="str">
        <f t="shared" si="640"/>
        <v>001</v>
      </c>
      <c r="O954" s="1" t="str">
        <f t="shared" si="608"/>
        <v>00</v>
      </c>
      <c r="P954" s="1" t="str">
        <f t="shared" si="609"/>
        <v>S</v>
      </c>
      <c r="Q954" s="1" t="str">
        <f t="shared" si="610"/>
        <v>P</v>
      </c>
      <c r="R954" s="1" t="str">
        <f t="shared" si="611"/>
        <v>01</v>
      </c>
      <c r="S954" s="1" t="str">
        <f t="shared" si="637"/>
        <v>04</v>
      </c>
      <c r="T954" s="1" t="str">
        <f t="shared" si="612"/>
        <v>False</v>
      </c>
      <c r="U954" s="1" t="str">
        <f t="shared" si="613"/>
        <v>True</v>
      </c>
      <c r="V954" s="1" t="str">
        <f t="shared" si="646"/>
        <v>U0032655</v>
      </c>
      <c r="W954" s="1">
        <v>1</v>
      </c>
      <c r="Y954" s="1">
        <v>0</v>
      </c>
      <c r="Z954" s="1">
        <v>0</v>
      </c>
      <c r="AB954" s="1" t="str">
        <f t="shared" si="641"/>
        <v>SMU</v>
      </c>
      <c r="AI954" s="1" t="str">
        <f t="shared" si="645"/>
        <v>F11</v>
      </c>
      <c r="AJ954" s="1" t="str">
        <f t="shared" si="642"/>
        <v>MAN</v>
      </c>
      <c r="AK954" s="1" t="str">
        <f t="shared" si="614"/>
        <v>PA</v>
      </c>
      <c r="AP954" s="1" t="str">
        <f t="shared" si="615"/>
        <v>False</v>
      </c>
      <c r="AR954" s="1" t="str">
        <f t="shared" si="643"/>
        <v>GYNN</v>
      </c>
      <c r="AY954" s="1" t="str">
        <f t="shared" si="616"/>
        <v>PF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 t="str">
        <f t="shared" si="644"/>
        <v>MMA+TEXTILE JEANS</v>
      </c>
      <c r="BF954" s="1" t="str">
        <f t="shared" si="617"/>
        <v>Bonis SpA</v>
      </c>
    </row>
    <row r="955" spans="2:58" x14ac:dyDescent="0.25">
      <c r="B955" s="1">
        <v>2458</v>
      </c>
      <c r="C955" s="1" t="str">
        <f t="shared" si="638"/>
        <v>GYNN4238S7/T1</v>
      </c>
      <c r="E955" s="1" t="str">
        <f>"41"</f>
        <v>41</v>
      </c>
      <c r="F955" s="1" t="str">
        <f t="shared" si="606"/>
        <v>BONIS SPA</v>
      </c>
      <c r="G955" s="1" t="str">
        <f t="shared" si="635"/>
        <v>STOCK SCAFFALE MP</v>
      </c>
      <c r="H955" s="1" t="str">
        <f t="shared" si="639"/>
        <v>DKBL</v>
      </c>
      <c r="K955" s="1">
        <v>3</v>
      </c>
      <c r="L955" s="1" t="str">
        <f t="shared" si="607"/>
        <v>01</v>
      </c>
      <c r="M955" s="1" t="str">
        <f t="shared" si="636"/>
        <v>408</v>
      </c>
      <c r="N955" s="1" t="str">
        <f t="shared" si="640"/>
        <v>001</v>
      </c>
      <c r="O955" s="1" t="str">
        <f t="shared" si="608"/>
        <v>00</v>
      </c>
      <c r="P955" s="1" t="str">
        <f t="shared" si="609"/>
        <v>S</v>
      </c>
      <c r="Q955" s="1" t="str">
        <f t="shared" si="610"/>
        <v>P</v>
      </c>
      <c r="R955" s="1" t="str">
        <f t="shared" si="611"/>
        <v>01</v>
      </c>
      <c r="S955" s="1" t="str">
        <f t="shared" si="637"/>
        <v>04</v>
      </c>
      <c r="T955" s="1" t="str">
        <f t="shared" si="612"/>
        <v>False</v>
      </c>
      <c r="U955" s="1" t="str">
        <f t="shared" si="613"/>
        <v>True</v>
      </c>
      <c r="V955" s="1" t="str">
        <f t="shared" si="646"/>
        <v>U0032655</v>
      </c>
      <c r="W955" s="1">
        <v>1</v>
      </c>
      <c r="Y955" s="1">
        <v>0</v>
      </c>
      <c r="Z955" s="1">
        <v>0</v>
      </c>
      <c r="AB955" s="1" t="str">
        <f t="shared" si="641"/>
        <v>SMU</v>
      </c>
      <c r="AI955" s="1" t="str">
        <f t="shared" si="645"/>
        <v>F11</v>
      </c>
      <c r="AJ955" s="1" t="str">
        <f t="shared" si="642"/>
        <v>MAN</v>
      </c>
      <c r="AK955" s="1" t="str">
        <f t="shared" si="614"/>
        <v>PA</v>
      </c>
      <c r="AP955" s="1" t="str">
        <f t="shared" si="615"/>
        <v>False</v>
      </c>
      <c r="AR955" s="1" t="str">
        <f t="shared" si="643"/>
        <v>GYNN</v>
      </c>
      <c r="AY955" s="1" t="str">
        <f t="shared" si="616"/>
        <v>PF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 t="str">
        <f t="shared" si="644"/>
        <v>MMA+TEXTILE JEANS</v>
      </c>
      <c r="BF955" s="1" t="str">
        <f t="shared" si="617"/>
        <v>Bonis SpA</v>
      </c>
    </row>
    <row r="956" spans="2:58" x14ac:dyDescent="0.25">
      <c r="B956" s="1">
        <v>2458</v>
      </c>
      <c r="C956" s="1" t="str">
        <f t="shared" si="638"/>
        <v>GYNN4238S7/T1</v>
      </c>
      <c r="E956" s="1" t="str">
        <f>"42"</f>
        <v>42</v>
      </c>
      <c r="F956" s="1" t="str">
        <f t="shared" si="606"/>
        <v>BONIS SPA</v>
      </c>
      <c r="G956" s="1" t="str">
        <f t="shared" si="635"/>
        <v>STOCK SCAFFALE MP</v>
      </c>
      <c r="H956" s="1" t="str">
        <f t="shared" si="639"/>
        <v>DKBL</v>
      </c>
      <c r="K956" s="1">
        <v>3</v>
      </c>
      <c r="L956" s="1" t="str">
        <f t="shared" si="607"/>
        <v>01</v>
      </c>
      <c r="M956" s="1" t="str">
        <f t="shared" si="636"/>
        <v>408</v>
      </c>
      <c r="N956" s="1" t="str">
        <f t="shared" si="640"/>
        <v>001</v>
      </c>
      <c r="O956" s="1" t="str">
        <f t="shared" si="608"/>
        <v>00</v>
      </c>
      <c r="P956" s="1" t="str">
        <f t="shared" si="609"/>
        <v>S</v>
      </c>
      <c r="Q956" s="1" t="str">
        <f t="shared" si="610"/>
        <v>P</v>
      </c>
      <c r="R956" s="1" t="str">
        <f t="shared" si="611"/>
        <v>01</v>
      </c>
      <c r="S956" s="1" t="str">
        <f t="shared" si="637"/>
        <v>04</v>
      </c>
      <c r="T956" s="1" t="str">
        <f t="shared" si="612"/>
        <v>False</v>
      </c>
      <c r="U956" s="1" t="str">
        <f t="shared" si="613"/>
        <v>True</v>
      </c>
      <c r="V956" s="1" t="str">
        <f t="shared" si="646"/>
        <v>U0032655</v>
      </c>
      <c r="W956" s="1">
        <v>1</v>
      </c>
      <c r="Y956" s="1">
        <v>0</v>
      </c>
      <c r="Z956" s="1">
        <v>0</v>
      </c>
      <c r="AB956" s="1" t="str">
        <f t="shared" si="641"/>
        <v>SMU</v>
      </c>
      <c r="AI956" s="1" t="str">
        <f t="shared" si="645"/>
        <v>F11</v>
      </c>
      <c r="AJ956" s="1" t="str">
        <f t="shared" si="642"/>
        <v>MAN</v>
      </c>
      <c r="AK956" s="1" t="str">
        <f t="shared" si="614"/>
        <v>PA</v>
      </c>
      <c r="AP956" s="1" t="str">
        <f t="shared" si="615"/>
        <v>False</v>
      </c>
      <c r="AR956" s="1" t="str">
        <f t="shared" si="643"/>
        <v>GYNN</v>
      </c>
      <c r="AY956" s="1" t="str">
        <f t="shared" si="616"/>
        <v>PF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 t="str">
        <f t="shared" si="644"/>
        <v>MMA+TEXTILE JEANS</v>
      </c>
      <c r="BF956" s="1" t="str">
        <f t="shared" si="617"/>
        <v>Bonis SpA</v>
      </c>
    </row>
    <row r="957" spans="2:58" x14ac:dyDescent="0.25">
      <c r="B957" s="1">
        <v>2458</v>
      </c>
      <c r="C957" s="1" t="str">
        <f t="shared" si="638"/>
        <v>GYNN4238S7/T1</v>
      </c>
      <c r="E957" s="1" t="str">
        <f>"40"</f>
        <v>40</v>
      </c>
      <c r="F957" s="1" t="str">
        <f t="shared" si="606"/>
        <v>BONIS SPA</v>
      </c>
      <c r="G957" s="1" t="str">
        <f t="shared" si="635"/>
        <v>STOCK SCAFFALE MP</v>
      </c>
      <c r="H957" s="1" t="str">
        <f t="shared" si="639"/>
        <v>DKBL</v>
      </c>
      <c r="K957" s="1">
        <v>1</v>
      </c>
      <c r="L957" s="1" t="str">
        <f t="shared" si="607"/>
        <v>01</v>
      </c>
      <c r="M957" s="1" t="str">
        <f t="shared" si="636"/>
        <v>408</v>
      </c>
      <c r="N957" s="1" t="str">
        <f t="shared" si="640"/>
        <v>001</v>
      </c>
      <c r="O957" s="1" t="str">
        <f t="shared" si="608"/>
        <v>00</v>
      </c>
      <c r="P957" s="1" t="str">
        <f t="shared" si="609"/>
        <v>S</v>
      </c>
      <c r="Q957" s="1" t="str">
        <f t="shared" si="610"/>
        <v>P</v>
      </c>
      <c r="R957" s="1" t="str">
        <f t="shared" si="611"/>
        <v>01</v>
      </c>
      <c r="S957" s="1" t="str">
        <f t="shared" si="637"/>
        <v>04</v>
      </c>
      <c r="T957" s="1" t="str">
        <f t="shared" si="612"/>
        <v>False</v>
      </c>
      <c r="U957" s="1" t="str">
        <f t="shared" si="613"/>
        <v>True</v>
      </c>
      <c r="V957" s="1" t="str">
        <f t="shared" si="646"/>
        <v>U0032655</v>
      </c>
      <c r="W957" s="1">
        <v>1</v>
      </c>
      <c r="Y957" s="1">
        <v>0</v>
      </c>
      <c r="Z957" s="1">
        <v>0</v>
      </c>
      <c r="AB957" s="1" t="str">
        <f t="shared" si="641"/>
        <v>SMU</v>
      </c>
      <c r="AI957" s="1" t="str">
        <f t="shared" si="645"/>
        <v>F11</v>
      </c>
      <c r="AJ957" s="1" t="str">
        <f t="shared" si="642"/>
        <v>MAN</v>
      </c>
      <c r="AK957" s="1" t="str">
        <f t="shared" si="614"/>
        <v>PA</v>
      </c>
      <c r="AP957" s="1" t="str">
        <f t="shared" si="615"/>
        <v>False</v>
      </c>
      <c r="AR957" s="1" t="str">
        <f t="shared" si="643"/>
        <v>GYNN</v>
      </c>
      <c r="AY957" s="1" t="str">
        <f t="shared" si="616"/>
        <v>PF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 t="str">
        <f t="shared" si="644"/>
        <v>MMA+TEXTILE JEANS</v>
      </c>
      <c r="BF957" s="1" t="str">
        <f t="shared" si="617"/>
        <v>Bonis SpA</v>
      </c>
    </row>
    <row r="958" spans="2:58" x14ac:dyDescent="0.25">
      <c r="B958" s="1">
        <v>2458</v>
      </c>
      <c r="C958" s="1" t="str">
        <f>"GYNN4238S7/C1"</f>
        <v>GYNN4238S7/C1</v>
      </c>
      <c r="E958" s="1" t="str">
        <f>"42"</f>
        <v>42</v>
      </c>
      <c r="F958" s="1" t="str">
        <f t="shared" si="606"/>
        <v>BONIS SPA</v>
      </c>
      <c r="G958" s="1" t="str">
        <f t="shared" si="635"/>
        <v>STOCK SCAFFALE MP</v>
      </c>
      <c r="H958" s="1" t="str">
        <f>"RED"</f>
        <v>RED</v>
      </c>
      <c r="K958" s="1">
        <v>1</v>
      </c>
      <c r="L958" s="1" t="str">
        <f t="shared" si="607"/>
        <v>01</v>
      </c>
      <c r="M958" s="1" t="str">
        <f t="shared" si="636"/>
        <v>408</v>
      </c>
      <c r="N958" s="1" t="str">
        <f t="shared" si="640"/>
        <v>001</v>
      </c>
      <c r="O958" s="1" t="str">
        <f t="shared" si="608"/>
        <v>00</v>
      </c>
      <c r="P958" s="1" t="str">
        <f t="shared" si="609"/>
        <v>S</v>
      </c>
      <c r="Q958" s="1" t="str">
        <f t="shared" si="610"/>
        <v>P</v>
      </c>
      <c r="R958" s="1" t="str">
        <f t="shared" si="611"/>
        <v>01</v>
      </c>
      <c r="S958" s="1" t="str">
        <f t="shared" si="637"/>
        <v>04</v>
      </c>
      <c r="T958" s="1" t="str">
        <f t="shared" si="612"/>
        <v>False</v>
      </c>
      <c r="U958" s="1" t="str">
        <f t="shared" si="613"/>
        <v>True</v>
      </c>
      <c r="V958" s="1" t="str">
        <f t="shared" si="646"/>
        <v>U0032655</v>
      </c>
      <c r="W958" s="1">
        <v>1</v>
      </c>
      <c r="Y958" s="1">
        <v>0</v>
      </c>
      <c r="Z958" s="1">
        <v>0</v>
      </c>
      <c r="AB958" s="1" t="str">
        <f t="shared" si="641"/>
        <v>SMU</v>
      </c>
      <c r="AI958" s="1" t="str">
        <f>"F06"</f>
        <v>F06</v>
      </c>
      <c r="AJ958" s="1" t="str">
        <f t="shared" si="642"/>
        <v>MAN</v>
      </c>
      <c r="AK958" s="1" t="str">
        <f t="shared" si="614"/>
        <v>PA</v>
      </c>
      <c r="AP958" s="1" t="str">
        <f t="shared" si="615"/>
        <v>False</v>
      </c>
      <c r="AR958" s="1" t="str">
        <f t="shared" si="643"/>
        <v>GYNN</v>
      </c>
      <c r="AY958" s="1" t="str">
        <f t="shared" si="616"/>
        <v>PF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 t="str">
        <f>"MMA+CANVAS"</f>
        <v>MMA+CANVAS</v>
      </c>
      <c r="BF958" s="1" t="str">
        <f t="shared" si="617"/>
        <v>Bonis SpA</v>
      </c>
    </row>
    <row r="959" spans="2:58" x14ac:dyDescent="0.25">
      <c r="B959" s="1">
        <v>2458</v>
      </c>
      <c r="C959" s="1" t="str">
        <f>"GYNN4238S7/C1"</f>
        <v>GYNN4238S7/C1</v>
      </c>
      <c r="E959" s="1" t="str">
        <f>"44"</f>
        <v>44</v>
      </c>
      <c r="F959" s="1" t="str">
        <f t="shared" si="606"/>
        <v>BONIS SPA</v>
      </c>
      <c r="G959" s="1" t="str">
        <f t="shared" si="635"/>
        <v>STOCK SCAFFALE MP</v>
      </c>
      <c r="H959" s="1" t="str">
        <f>"DKBL"</f>
        <v>DKBL</v>
      </c>
      <c r="K959" s="1">
        <v>1</v>
      </c>
      <c r="L959" s="1" t="str">
        <f t="shared" si="607"/>
        <v>01</v>
      </c>
      <c r="M959" s="1" t="str">
        <f t="shared" si="636"/>
        <v>408</v>
      </c>
      <c r="N959" s="1" t="str">
        <f t="shared" si="640"/>
        <v>001</v>
      </c>
      <c r="O959" s="1" t="str">
        <f t="shared" si="608"/>
        <v>00</v>
      </c>
      <c r="P959" s="1" t="str">
        <f t="shared" si="609"/>
        <v>S</v>
      </c>
      <c r="Q959" s="1" t="str">
        <f t="shared" si="610"/>
        <v>P</v>
      </c>
      <c r="R959" s="1" t="str">
        <f t="shared" si="611"/>
        <v>01</v>
      </c>
      <c r="S959" s="1" t="str">
        <f t="shared" si="637"/>
        <v>04</v>
      </c>
      <c r="T959" s="1" t="str">
        <f t="shared" si="612"/>
        <v>False</v>
      </c>
      <c r="U959" s="1" t="str">
        <f t="shared" si="613"/>
        <v>True</v>
      </c>
      <c r="V959" s="1" t="str">
        <f>"U0032645"</f>
        <v>U0032645</v>
      </c>
      <c r="W959" s="1">
        <v>1</v>
      </c>
      <c r="Y959" s="1">
        <v>0</v>
      </c>
      <c r="Z959" s="1">
        <v>0</v>
      </c>
      <c r="AB959" s="1" t="str">
        <f t="shared" si="641"/>
        <v>SMU</v>
      </c>
      <c r="AI959" s="1" t="str">
        <f>"F06"</f>
        <v>F06</v>
      </c>
      <c r="AJ959" s="1" t="str">
        <f t="shared" si="642"/>
        <v>MAN</v>
      </c>
      <c r="AK959" s="1" t="str">
        <f t="shared" si="614"/>
        <v>PA</v>
      </c>
      <c r="AP959" s="1" t="str">
        <f t="shared" si="615"/>
        <v>False</v>
      </c>
      <c r="AR959" s="1" t="str">
        <f t="shared" si="643"/>
        <v>GYNN</v>
      </c>
      <c r="AY959" s="1" t="str">
        <f t="shared" si="616"/>
        <v>PF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 t="str">
        <f>"MMA+CANVAS"</f>
        <v>MMA+CANVAS</v>
      </c>
      <c r="BF959" s="1" t="str">
        <f t="shared" si="617"/>
        <v>Bonis SpA</v>
      </c>
    </row>
    <row r="960" spans="2:58" x14ac:dyDescent="0.25">
      <c r="B960" s="1">
        <v>2458</v>
      </c>
      <c r="C960" s="1" t="str">
        <f>"GYNN4238S7/C1"</f>
        <v>GYNN4238S7/C1</v>
      </c>
      <c r="E960" s="1" t="str">
        <f>"41"</f>
        <v>41</v>
      </c>
      <c r="F960" s="1" t="str">
        <f t="shared" si="606"/>
        <v>BONIS SPA</v>
      </c>
      <c r="G960" s="1" t="str">
        <f t="shared" si="635"/>
        <v>STOCK SCAFFALE MP</v>
      </c>
      <c r="H960" s="1" t="str">
        <f>"DKBL"</f>
        <v>DKBL</v>
      </c>
      <c r="K960" s="1">
        <v>1</v>
      </c>
      <c r="L960" s="1" t="str">
        <f t="shared" si="607"/>
        <v>01</v>
      </c>
      <c r="M960" s="1" t="str">
        <f t="shared" si="636"/>
        <v>408</v>
      </c>
      <c r="N960" s="1" t="str">
        <f t="shared" si="640"/>
        <v>001</v>
      </c>
      <c r="O960" s="1" t="str">
        <f t="shared" si="608"/>
        <v>00</v>
      </c>
      <c r="P960" s="1" t="str">
        <f t="shared" si="609"/>
        <v>S</v>
      </c>
      <c r="Q960" s="1" t="str">
        <f t="shared" si="610"/>
        <v>P</v>
      </c>
      <c r="R960" s="1" t="str">
        <f t="shared" si="611"/>
        <v>01</v>
      </c>
      <c r="S960" s="1" t="str">
        <f t="shared" si="637"/>
        <v>04</v>
      </c>
      <c r="T960" s="1" t="str">
        <f t="shared" si="612"/>
        <v>False</v>
      </c>
      <c r="U960" s="1" t="str">
        <f t="shared" si="613"/>
        <v>True</v>
      </c>
      <c r="V960" s="1" t="str">
        <f>"U0032645"</f>
        <v>U0032645</v>
      </c>
      <c r="W960" s="1">
        <v>1</v>
      </c>
      <c r="Y960" s="1">
        <v>0</v>
      </c>
      <c r="Z960" s="1">
        <v>0</v>
      </c>
      <c r="AB960" s="1" t="str">
        <f t="shared" si="641"/>
        <v>SMU</v>
      </c>
      <c r="AI960" s="1" t="str">
        <f>"F06"</f>
        <v>F06</v>
      </c>
      <c r="AJ960" s="1" t="str">
        <f t="shared" si="642"/>
        <v>MAN</v>
      </c>
      <c r="AK960" s="1" t="str">
        <f t="shared" si="614"/>
        <v>PA</v>
      </c>
      <c r="AP960" s="1" t="str">
        <f t="shared" si="615"/>
        <v>False</v>
      </c>
      <c r="AR960" s="1" t="str">
        <f t="shared" si="643"/>
        <v>GYNN</v>
      </c>
      <c r="AY960" s="1" t="str">
        <f t="shared" si="616"/>
        <v>PF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 t="str">
        <f>"MMA+CANVAS"</f>
        <v>MMA+CANVAS</v>
      </c>
      <c r="BF960" s="1" t="str">
        <f t="shared" si="617"/>
        <v>Bonis SpA</v>
      </c>
    </row>
    <row r="961" spans="2:58" x14ac:dyDescent="0.25">
      <c r="B961" s="1">
        <v>2458</v>
      </c>
      <c r="C961" s="1" t="str">
        <f>"GYNN4238S7/T1"</f>
        <v>GYNN4238S7/T1</v>
      </c>
      <c r="E961" s="1" t="str">
        <f>"43"</f>
        <v>43</v>
      </c>
      <c r="F961" s="1" t="str">
        <f t="shared" si="606"/>
        <v>BONIS SPA</v>
      </c>
      <c r="G961" s="1" t="str">
        <f t="shared" si="635"/>
        <v>STOCK SCAFFALE MP</v>
      </c>
      <c r="H961" s="1" t="str">
        <f>"DKBL"</f>
        <v>DKBL</v>
      </c>
      <c r="K961" s="1">
        <v>3</v>
      </c>
      <c r="L961" s="1" t="str">
        <f t="shared" si="607"/>
        <v>01</v>
      </c>
      <c r="M961" s="1" t="str">
        <f t="shared" si="636"/>
        <v>408</v>
      </c>
      <c r="N961" s="1" t="str">
        <f t="shared" si="640"/>
        <v>001</v>
      </c>
      <c r="O961" s="1" t="str">
        <f t="shared" si="608"/>
        <v>00</v>
      </c>
      <c r="P961" s="1" t="str">
        <f t="shared" si="609"/>
        <v>S</v>
      </c>
      <c r="Q961" s="1" t="str">
        <f t="shared" si="610"/>
        <v>P</v>
      </c>
      <c r="R961" s="1" t="str">
        <f t="shared" si="611"/>
        <v>01</v>
      </c>
      <c r="S961" s="1" t="str">
        <f t="shared" si="637"/>
        <v>04</v>
      </c>
      <c r="T961" s="1" t="str">
        <f t="shared" si="612"/>
        <v>False</v>
      </c>
      <c r="U961" s="1" t="str">
        <f t="shared" si="613"/>
        <v>True</v>
      </c>
      <c r="V961" s="1" t="str">
        <f>"U0032645"</f>
        <v>U0032645</v>
      </c>
      <c r="W961" s="1">
        <v>1</v>
      </c>
      <c r="Y961" s="1">
        <v>0</v>
      </c>
      <c r="Z961" s="1">
        <v>0</v>
      </c>
      <c r="AB961" s="1" t="str">
        <f t="shared" si="641"/>
        <v>SMU</v>
      </c>
      <c r="AI961" s="1" t="str">
        <f>"F06"</f>
        <v>F06</v>
      </c>
      <c r="AJ961" s="1" t="str">
        <f t="shared" si="642"/>
        <v>MAN</v>
      </c>
      <c r="AK961" s="1" t="str">
        <f t="shared" si="614"/>
        <v>PA</v>
      </c>
      <c r="AP961" s="1" t="str">
        <f t="shared" si="615"/>
        <v>False</v>
      </c>
      <c r="AR961" s="1" t="str">
        <f t="shared" si="643"/>
        <v>GYNN</v>
      </c>
      <c r="AY961" s="1" t="str">
        <f t="shared" si="616"/>
        <v>PF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 t="str">
        <f>"MMA+TEXTILE JEANS"</f>
        <v>MMA+TEXTILE JEANS</v>
      </c>
      <c r="BF961" s="1" t="str">
        <f t="shared" si="617"/>
        <v>Bonis SpA</v>
      </c>
    </row>
    <row r="962" spans="2:58" x14ac:dyDescent="0.25">
      <c r="B962" s="1">
        <v>2458</v>
      </c>
      <c r="C962" s="1" t="str">
        <f>"GYNN4238S7/T1"</f>
        <v>GYNN4238S7/T1</v>
      </c>
      <c r="E962" s="1" t="str">
        <f>"41"</f>
        <v>41</v>
      </c>
      <c r="F962" s="1" t="str">
        <f t="shared" ref="F962:F1025" si="647">"BONIS SPA"</f>
        <v>BONIS SPA</v>
      </c>
      <c r="G962" s="1" t="str">
        <f t="shared" si="635"/>
        <v>STOCK SCAFFALE MP</v>
      </c>
      <c r="H962" s="1" t="str">
        <f>"DKBL"</f>
        <v>DKBL</v>
      </c>
      <c r="K962" s="1">
        <v>1</v>
      </c>
      <c r="L962" s="1" t="str">
        <f t="shared" ref="L962:L1025" si="648">"01"</f>
        <v>01</v>
      </c>
      <c r="M962" s="1" t="str">
        <f t="shared" si="636"/>
        <v>408</v>
      </c>
      <c r="N962" s="1" t="str">
        <f t="shared" si="640"/>
        <v>001</v>
      </c>
      <c r="O962" s="1" t="str">
        <f t="shared" ref="O962:O1025" si="649">"00"</f>
        <v>00</v>
      </c>
      <c r="P962" s="1" t="str">
        <f t="shared" ref="P962:P1025" si="650">"S"</f>
        <v>S</v>
      </c>
      <c r="Q962" s="1" t="str">
        <f t="shared" ref="Q962:Q1025" si="651">"P"</f>
        <v>P</v>
      </c>
      <c r="R962" s="1" t="str">
        <f t="shared" ref="R962:R1025" si="652">"01"</f>
        <v>01</v>
      </c>
      <c r="S962" s="1" t="str">
        <f t="shared" si="637"/>
        <v>04</v>
      </c>
      <c r="T962" s="1" t="str">
        <f t="shared" ref="T962:T1025" si="653">"False"</f>
        <v>False</v>
      </c>
      <c r="U962" s="1" t="str">
        <f t="shared" ref="U962:U1025" si="654">"True"</f>
        <v>True</v>
      </c>
      <c r="V962" s="1" t="str">
        <f>"U0032645"</f>
        <v>U0032645</v>
      </c>
      <c r="W962" s="1">
        <v>1</v>
      </c>
      <c r="Y962" s="1">
        <v>0</v>
      </c>
      <c r="Z962" s="1">
        <v>0</v>
      </c>
      <c r="AB962" s="1" t="str">
        <f t="shared" si="641"/>
        <v>SMU</v>
      </c>
      <c r="AI962" s="1" t="str">
        <f>"F06"</f>
        <v>F06</v>
      </c>
      <c r="AJ962" s="1" t="str">
        <f t="shared" si="642"/>
        <v>MAN</v>
      </c>
      <c r="AK962" s="1" t="str">
        <f t="shared" ref="AK962:AK1025" si="655">"PA"</f>
        <v>PA</v>
      </c>
      <c r="AP962" s="1" t="str">
        <f t="shared" ref="AP962:AP1025" si="656">"False"</f>
        <v>False</v>
      </c>
      <c r="AR962" s="1" t="str">
        <f t="shared" si="643"/>
        <v>GYNN</v>
      </c>
      <c r="AY962" s="1" t="str">
        <f t="shared" ref="AY962:AY1025" si="657">"PF"</f>
        <v>PF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 t="str">
        <f>"MMA+TEXTILE JEANS"</f>
        <v>MMA+TEXTILE JEANS</v>
      </c>
      <c r="BF962" s="1" t="str">
        <f t="shared" ref="BF962:BF1025" si="658">"Bonis SpA"</f>
        <v>Bonis SpA</v>
      </c>
    </row>
    <row r="963" spans="2:58" x14ac:dyDescent="0.25">
      <c r="B963" s="1">
        <v>2458</v>
      </c>
      <c r="C963" s="1" t="str">
        <f t="shared" ref="C963:C984" si="659">"GYNN4238S7/C1"</f>
        <v>GYNN4238S7/C1</v>
      </c>
      <c r="E963" s="1" t="str">
        <f>"41"</f>
        <v>41</v>
      </c>
      <c r="F963" s="1" t="str">
        <f t="shared" si="647"/>
        <v>BONIS SPA</v>
      </c>
      <c r="G963" s="1" t="str">
        <f t="shared" si="635"/>
        <v>STOCK SCAFFALE MP</v>
      </c>
      <c r="H963" s="1" t="str">
        <f t="shared" ref="H963:H984" si="660">"RED"</f>
        <v>RED</v>
      </c>
      <c r="K963" s="1">
        <v>2</v>
      </c>
      <c r="L963" s="1" t="str">
        <f t="shared" si="648"/>
        <v>01</v>
      </c>
      <c r="M963" s="1" t="str">
        <f t="shared" si="636"/>
        <v>408</v>
      </c>
      <c r="N963" s="1" t="str">
        <f t="shared" si="640"/>
        <v>001</v>
      </c>
      <c r="O963" s="1" t="str">
        <f t="shared" si="649"/>
        <v>00</v>
      </c>
      <c r="P963" s="1" t="str">
        <f t="shared" si="650"/>
        <v>S</v>
      </c>
      <c r="Q963" s="1" t="str">
        <f t="shared" si="651"/>
        <v>P</v>
      </c>
      <c r="R963" s="1" t="str">
        <f t="shared" si="652"/>
        <v>01</v>
      </c>
      <c r="S963" s="1" t="str">
        <f t="shared" si="637"/>
        <v>04</v>
      </c>
      <c r="T963" s="1" t="str">
        <f t="shared" si="653"/>
        <v>False</v>
      </c>
      <c r="U963" s="1" t="str">
        <f t="shared" si="654"/>
        <v>True</v>
      </c>
      <c r="V963" s="1" t="str">
        <f>"U0032650"</f>
        <v>U0032650</v>
      </c>
      <c r="W963" s="1">
        <v>1</v>
      </c>
      <c r="Y963" s="1">
        <v>0</v>
      </c>
      <c r="Z963" s="1">
        <v>0</v>
      </c>
      <c r="AB963" s="1" t="str">
        <f t="shared" si="641"/>
        <v>SMU</v>
      </c>
      <c r="AI963" s="1" t="str">
        <f t="shared" ref="AI963:AI984" si="661">"F11"</f>
        <v>F11</v>
      </c>
      <c r="AJ963" s="1" t="str">
        <f t="shared" si="642"/>
        <v>MAN</v>
      </c>
      <c r="AK963" s="1" t="str">
        <f t="shared" si="655"/>
        <v>PA</v>
      </c>
      <c r="AP963" s="1" t="str">
        <f t="shared" si="656"/>
        <v>False</v>
      </c>
      <c r="AR963" s="1" t="str">
        <f t="shared" si="643"/>
        <v>GYNN</v>
      </c>
      <c r="AY963" s="1" t="str">
        <f t="shared" si="657"/>
        <v>PF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 t="str">
        <f t="shared" ref="BE963:BE984" si="662">"MMA+CANVAS"</f>
        <v>MMA+CANVAS</v>
      </c>
      <c r="BF963" s="1" t="str">
        <f t="shared" si="658"/>
        <v>Bonis SpA</v>
      </c>
    </row>
    <row r="964" spans="2:58" x14ac:dyDescent="0.25">
      <c r="B964" s="1">
        <v>2458</v>
      </c>
      <c r="C964" s="1" t="str">
        <f t="shared" si="659"/>
        <v>GYNN4238S7/C1</v>
      </c>
      <c r="E964" s="1" t="str">
        <f>"44"</f>
        <v>44</v>
      </c>
      <c r="F964" s="1" t="str">
        <f t="shared" si="647"/>
        <v>BONIS SPA</v>
      </c>
      <c r="G964" s="1" t="str">
        <f t="shared" si="635"/>
        <v>STOCK SCAFFALE MP</v>
      </c>
      <c r="H964" s="1" t="str">
        <f t="shared" si="660"/>
        <v>RED</v>
      </c>
      <c r="K964" s="1">
        <v>3</v>
      </c>
      <c r="L964" s="1" t="str">
        <f t="shared" si="648"/>
        <v>01</v>
      </c>
      <c r="M964" s="1" t="str">
        <f t="shared" si="636"/>
        <v>408</v>
      </c>
      <c r="N964" s="1" t="str">
        <f t="shared" si="640"/>
        <v>001</v>
      </c>
      <c r="O964" s="1" t="str">
        <f t="shared" si="649"/>
        <v>00</v>
      </c>
      <c r="P964" s="1" t="str">
        <f t="shared" si="650"/>
        <v>S</v>
      </c>
      <c r="Q964" s="1" t="str">
        <f t="shared" si="651"/>
        <v>P</v>
      </c>
      <c r="R964" s="1" t="str">
        <f t="shared" si="652"/>
        <v>01</v>
      </c>
      <c r="S964" s="1" t="str">
        <f t="shared" si="637"/>
        <v>04</v>
      </c>
      <c r="T964" s="1" t="str">
        <f t="shared" si="653"/>
        <v>False</v>
      </c>
      <c r="U964" s="1" t="str">
        <f t="shared" si="654"/>
        <v>True</v>
      </c>
      <c r="V964" s="1" t="str">
        <f>"U0032650"</f>
        <v>U0032650</v>
      </c>
      <c r="W964" s="1">
        <v>1</v>
      </c>
      <c r="Y964" s="1">
        <v>0</v>
      </c>
      <c r="Z964" s="1">
        <v>0</v>
      </c>
      <c r="AB964" s="1" t="str">
        <f t="shared" si="641"/>
        <v>SMU</v>
      </c>
      <c r="AI964" s="1" t="str">
        <f t="shared" si="661"/>
        <v>F11</v>
      </c>
      <c r="AJ964" s="1" t="str">
        <f t="shared" si="642"/>
        <v>MAN</v>
      </c>
      <c r="AK964" s="1" t="str">
        <f t="shared" si="655"/>
        <v>PA</v>
      </c>
      <c r="AP964" s="1" t="str">
        <f t="shared" si="656"/>
        <v>False</v>
      </c>
      <c r="AR964" s="1" t="str">
        <f t="shared" si="643"/>
        <v>GYNN</v>
      </c>
      <c r="AY964" s="1" t="str">
        <f t="shared" si="657"/>
        <v>PF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 t="str">
        <f t="shared" si="662"/>
        <v>MMA+CANVAS</v>
      </c>
      <c r="BF964" s="1" t="str">
        <f t="shared" si="658"/>
        <v>Bonis SpA</v>
      </c>
    </row>
    <row r="965" spans="2:58" x14ac:dyDescent="0.25">
      <c r="B965" s="1">
        <v>2458</v>
      </c>
      <c r="C965" s="1" t="str">
        <f t="shared" si="659"/>
        <v>GYNN4238S7/C1</v>
      </c>
      <c r="E965" s="1" t="str">
        <f>"40"</f>
        <v>40</v>
      </c>
      <c r="F965" s="1" t="str">
        <f t="shared" si="647"/>
        <v>BONIS SPA</v>
      </c>
      <c r="G965" s="1" t="str">
        <f t="shared" si="635"/>
        <v>STOCK SCAFFALE MP</v>
      </c>
      <c r="H965" s="1" t="str">
        <f t="shared" si="660"/>
        <v>RED</v>
      </c>
      <c r="K965" s="1">
        <v>1</v>
      </c>
      <c r="L965" s="1" t="str">
        <f t="shared" si="648"/>
        <v>01</v>
      </c>
      <c r="M965" s="1" t="str">
        <f t="shared" si="636"/>
        <v>408</v>
      </c>
      <c r="N965" s="1" t="str">
        <f t="shared" si="640"/>
        <v>001</v>
      </c>
      <c r="O965" s="1" t="str">
        <f t="shared" si="649"/>
        <v>00</v>
      </c>
      <c r="P965" s="1" t="str">
        <f t="shared" si="650"/>
        <v>S</v>
      </c>
      <c r="Q965" s="1" t="str">
        <f t="shared" si="651"/>
        <v>P</v>
      </c>
      <c r="R965" s="1" t="str">
        <f t="shared" si="652"/>
        <v>01</v>
      </c>
      <c r="S965" s="1" t="str">
        <f t="shared" si="637"/>
        <v>04</v>
      </c>
      <c r="T965" s="1" t="str">
        <f t="shared" si="653"/>
        <v>False</v>
      </c>
      <c r="U965" s="1" t="str">
        <f t="shared" si="654"/>
        <v>True</v>
      </c>
      <c r="V965" s="1" t="str">
        <f>"U0032650"</f>
        <v>U0032650</v>
      </c>
      <c r="W965" s="1">
        <v>1</v>
      </c>
      <c r="Y965" s="1">
        <v>0</v>
      </c>
      <c r="Z965" s="1">
        <v>0</v>
      </c>
      <c r="AB965" s="1" t="str">
        <f t="shared" si="641"/>
        <v>SMU</v>
      </c>
      <c r="AI965" s="1" t="str">
        <f t="shared" si="661"/>
        <v>F11</v>
      </c>
      <c r="AJ965" s="1" t="str">
        <f t="shared" si="642"/>
        <v>MAN</v>
      </c>
      <c r="AK965" s="1" t="str">
        <f t="shared" si="655"/>
        <v>PA</v>
      </c>
      <c r="AP965" s="1" t="str">
        <f t="shared" si="656"/>
        <v>False</v>
      </c>
      <c r="AR965" s="1" t="str">
        <f t="shared" si="643"/>
        <v>GYNN</v>
      </c>
      <c r="AY965" s="1" t="str">
        <f t="shared" si="657"/>
        <v>PF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 t="str">
        <f t="shared" si="662"/>
        <v>MMA+CANVAS</v>
      </c>
      <c r="BF965" s="1" t="str">
        <f t="shared" si="658"/>
        <v>Bonis SpA</v>
      </c>
    </row>
    <row r="966" spans="2:58" x14ac:dyDescent="0.25">
      <c r="B966" s="1">
        <v>2458</v>
      </c>
      <c r="C966" s="1" t="str">
        <f t="shared" si="659"/>
        <v>GYNN4238S7/C1</v>
      </c>
      <c r="E966" s="1" t="str">
        <f>"42"</f>
        <v>42</v>
      </c>
      <c r="F966" s="1" t="str">
        <f t="shared" si="647"/>
        <v>BONIS SPA</v>
      </c>
      <c r="G966" s="1" t="str">
        <f t="shared" si="635"/>
        <v>STOCK SCAFFALE MP</v>
      </c>
      <c r="H966" s="1" t="str">
        <f t="shared" si="660"/>
        <v>RED</v>
      </c>
      <c r="K966" s="1">
        <v>3</v>
      </c>
      <c r="L966" s="1" t="str">
        <f t="shared" si="648"/>
        <v>01</v>
      </c>
      <c r="M966" s="1" t="str">
        <f t="shared" si="636"/>
        <v>408</v>
      </c>
      <c r="N966" s="1" t="str">
        <f t="shared" si="640"/>
        <v>001</v>
      </c>
      <c r="O966" s="1" t="str">
        <f t="shared" si="649"/>
        <v>00</v>
      </c>
      <c r="P966" s="1" t="str">
        <f t="shared" si="650"/>
        <v>S</v>
      </c>
      <c r="Q966" s="1" t="str">
        <f t="shared" si="651"/>
        <v>P</v>
      </c>
      <c r="R966" s="1" t="str">
        <f t="shared" si="652"/>
        <v>01</v>
      </c>
      <c r="S966" s="1" t="str">
        <f t="shared" si="637"/>
        <v>04</v>
      </c>
      <c r="T966" s="1" t="str">
        <f t="shared" si="653"/>
        <v>False</v>
      </c>
      <c r="U966" s="1" t="str">
        <f t="shared" si="654"/>
        <v>True</v>
      </c>
      <c r="V966" s="1" t="str">
        <f>"U0032650"</f>
        <v>U0032650</v>
      </c>
      <c r="W966" s="1">
        <v>1</v>
      </c>
      <c r="Y966" s="1">
        <v>0</v>
      </c>
      <c r="Z966" s="1">
        <v>0</v>
      </c>
      <c r="AB966" s="1" t="str">
        <f t="shared" si="641"/>
        <v>SMU</v>
      </c>
      <c r="AI966" s="1" t="str">
        <f t="shared" si="661"/>
        <v>F11</v>
      </c>
      <c r="AJ966" s="1" t="str">
        <f t="shared" si="642"/>
        <v>MAN</v>
      </c>
      <c r="AK966" s="1" t="str">
        <f t="shared" si="655"/>
        <v>PA</v>
      </c>
      <c r="AP966" s="1" t="str">
        <f t="shared" si="656"/>
        <v>False</v>
      </c>
      <c r="AR966" s="1" t="str">
        <f t="shared" si="643"/>
        <v>GYNN</v>
      </c>
      <c r="AY966" s="1" t="str">
        <f t="shared" si="657"/>
        <v>PF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 t="str">
        <f t="shared" si="662"/>
        <v>MMA+CANVAS</v>
      </c>
      <c r="BF966" s="1" t="str">
        <f t="shared" si="658"/>
        <v>Bonis SpA</v>
      </c>
    </row>
    <row r="967" spans="2:58" x14ac:dyDescent="0.25">
      <c r="B967" s="1">
        <v>2458</v>
      </c>
      <c r="C967" s="1" t="str">
        <f t="shared" si="659"/>
        <v>GYNN4238S7/C1</v>
      </c>
      <c r="E967" s="1" t="str">
        <f>"43"</f>
        <v>43</v>
      </c>
      <c r="F967" s="1" t="str">
        <f t="shared" si="647"/>
        <v>BONIS SPA</v>
      </c>
      <c r="G967" s="1" t="str">
        <f t="shared" si="635"/>
        <v>STOCK SCAFFALE MP</v>
      </c>
      <c r="H967" s="1" t="str">
        <f t="shared" si="660"/>
        <v>RED</v>
      </c>
      <c r="K967" s="1">
        <v>3</v>
      </c>
      <c r="L967" s="1" t="str">
        <f t="shared" si="648"/>
        <v>01</v>
      </c>
      <c r="M967" s="1" t="str">
        <f t="shared" si="636"/>
        <v>408</v>
      </c>
      <c r="N967" s="1" t="str">
        <f t="shared" si="640"/>
        <v>001</v>
      </c>
      <c r="O967" s="1" t="str">
        <f t="shared" si="649"/>
        <v>00</v>
      </c>
      <c r="P967" s="1" t="str">
        <f t="shared" si="650"/>
        <v>S</v>
      </c>
      <c r="Q967" s="1" t="str">
        <f t="shared" si="651"/>
        <v>P</v>
      </c>
      <c r="R967" s="1" t="str">
        <f t="shared" si="652"/>
        <v>01</v>
      </c>
      <c r="S967" s="1" t="str">
        <f t="shared" si="637"/>
        <v>04</v>
      </c>
      <c r="T967" s="1" t="str">
        <f t="shared" si="653"/>
        <v>False</v>
      </c>
      <c r="U967" s="1" t="str">
        <f t="shared" si="654"/>
        <v>True</v>
      </c>
      <c r="V967" s="1" t="str">
        <f>"U0032650"</f>
        <v>U0032650</v>
      </c>
      <c r="W967" s="1">
        <v>1</v>
      </c>
      <c r="Y967" s="1">
        <v>0</v>
      </c>
      <c r="Z967" s="1">
        <v>0</v>
      </c>
      <c r="AB967" s="1" t="str">
        <f t="shared" si="641"/>
        <v>SMU</v>
      </c>
      <c r="AI967" s="1" t="str">
        <f t="shared" si="661"/>
        <v>F11</v>
      </c>
      <c r="AJ967" s="1" t="str">
        <f t="shared" si="642"/>
        <v>MAN</v>
      </c>
      <c r="AK967" s="1" t="str">
        <f t="shared" si="655"/>
        <v>PA</v>
      </c>
      <c r="AP967" s="1" t="str">
        <f t="shared" si="656"/>
        <v>False</v>
      </c>
      <c r="AR967" s="1" t="str">
        <f t="shared" si="643"/>
        <v>GYNN</v>
      </c>
      <c r="AY967" s="1" t="str">
        <f t="shared" si="657"/>
        <v>PF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 t="str">
        <f t="shared" si="662"/>
        <v>MMA+CANVAS</v>
      </c>
      <c r="BF967" s="1" t="str">
        <f t="shared" si="658"/>
        <v>Bonis SpA</v>
      </c>
    </row>
    <row r="968" spans="2:58" x14ac:dyDescent="0.25">
      <c r="B968" s="1">
        <v>2458</v>
      </c>
      <c r="C968" s="1" t="str">
        <f t="shared" si="659"/>
        <v>GYNN4238S7/C1</v>
      </c>
      <c r="E968" s="1" t="str">
        <f>"44"</f>
        <v>44</v>
      </c>
      <c r="F968" s="1" t="str">
        <f t="shared" si="647"/>
        <v>BONIS SPA</v>
      </c>
      <c r="G968" s="1" t="str">
        <f t="shared" si="635"/>
        <v>STOCK SCAFFALE MP</v>
      </c>
      <c r="H968" s="1" t="str">
        <f t="shared" si="660"/>
        <v>RED</v>
      </c>
      <c r="K968" s="1">
        <v>3</v>
      </c>
      <c r="L968" s="1" t="str">
        <f t="shared" si="648"/>
        <v>01</v>
      </c>
      <c r="M968" s="1" t="str">
        <f t="shared" si="636"/>
        <v>408</v>
      </c>
      <c r="N968" s="1" t="str">
        <f t="shared" si="640"/>
        <v>001</v>
      </c>
      <c r="O968" s="1" t="str">
        <f t="shared" si="649"/>
        <v>00</v>
      </c>
      <c r="P968" s="1" t="str">
        <f t="shared" si="650"/>
        <v>S</v>
      </c>
      <c r="Q968" s="1" t="str">
        <f t="shared" si="651"/>
        <v>P</v>
      </c>
      <c r="R968" s="1" t="str">
        <f t="shared" si="652"/>
        <v>01</v>
      </c>
      <c r="S968" s="1" t="str">
        <f t="shared" si="637"/>
        <v>04</v>
      </c>
      <c r="T968" s="1" t="str">
        <f t="shared" si="653"/>
        <v>False</v>
      </c>
      <c r="U968" s="1" t="str">
        <f t="shared" si="654"/>
        <v>True</v>
      </c>
      <c r="V968" s="1" t="str">
        <f>"U0032649"</f>
        <v>U0032649</v>
      </c>
      <c r="W968" s="1">
        <v>1</v>
      </c>
      <c r="Y968" s="1">
        <v>0</v>
      </c>
      <c r="Z968" s="1">
        <v>0</v>
      </c>
      <c r="AB968" s="1" t="str">
        <f t="shared" si="641"/>
        <v>SMU</v>
      </c>
      <c r="AI968" s="1" t="str">
        <f t="shared" si="661"/>
        <v>F11</v>
      </c>
      <c r="AJ968" s="1" t="str">
        <f t="shared" si="642"/>
        <v>MAN</v>
      </c>
      <c r="AK968" s="1" t="str">
        <f t="shared" si="655"/>
        <v>PA</v>
      </c>
      <c r="AP968" s="1" t="str">
        <f t="shared" si="656"/>
        <v>False</v>
      </c>
      <c r="AR968" s="1" t="str">
        <f t="shared" si="643"/>
        <v>GYNN</v>
      </c>
      <c r="AY968" s="1" t="str">
        <f t="shared" si="657"/>
        <v>PF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 t="str">
        <f t="shared" si="662"/>
        <v>MMA+CANVAS</v>
      </c>
      <c r="BF968" s="1" t="str">
        <f t="shared" si="658"/>
        <v>Bonis SpA</v>
      </c>
    </row>
    <row r="969" spans="2:58" x14ac:dyDescent="0.25">
      <c r="B969" s="1">
        <v>2458</v>
      </c>
      <c r="C969" s="1" t="str">
        <f t="shared" si="659"/>
        <v>GYNN4238S7/C1</v>
      </c>
      <c r="E969" s="1" t="str">
        <f>"41"</f>
        <v>41</v>
      </c>
      <c r="F969" s="1" t="str">
        <f t="shared" si="647"/>
        <v>BONIS SPA</v>
      </c>
      <c r="G969" s="1" t="str">
        <f t="shared" si="635"/>
        <v>STOCK SCAFFALE MP</v>
      </c>
      <c r="H969" s="1" t="str">
        <f t="shared" si="660"/>
        <v>RED</v>
      </c>
      <c r="K969" s="1">
        <v>2</v>
      </c>
      <c r="L969" s="1" t="str">
        <f t="shared" si="648"/>
        <v>01</v>
      </c>
      <c r="M969" s="1" t="str">
        <f t="shared" si="636"/>
        <v>408</v>
      </c>
      <c r="N969" s="1" t="str">
        <f t="shared" si="640"/>
        <v>001</v>
      </c>
      <c r="O969" s="1" t="str">
        <f t="shared" si="649"/>
        <v>00</v>
      </c>
      <c r="P969" s="1" t="str">
        <f t="shared" si="650"/>
        <v>S</v>
      </c>
      <c r="Q969" s="1" t="str">
        <f t="shared" si="651"/>
        <v>P</v>
      </c>
      <c r="R969" s="1" t="str">
        <f t="shared" si="652"/>
        <v>01</v>
      </c>
      <c r="S969" s="1" t="str">
        <f t="shared" si="637"/>
        <v>04</v>
      </c>
      <c r="T969" s="1" t="str">
        <f t="shared" si="653"/>
        <v>False</v>
      </c>
      <c r="U969" s="1" t="str">
        <f t="shared" si="654"/>
        <v>True</v>
      </c>
      <c r="V969" s="1" t="str">
        <f>"U0032649"</f>
        <v>U0032649</v>
      </c>
      <c r="W969" s="1">
        <v>1</v>
      </c>
      <c r="Y969" s="1">
        <v>0</v>
      </c>
      <c r="Z969" s="1">
        <v>0</v>
      </c>
      <c r="AB969" s="1" t="str">
        <f t="shared" si="641"/>
        <v>SMU</v>
      </c>
      <c r="AI969" s="1" t="str">
        <f t="shared" si="661"/>
        <v>F11</v>
      </c>
      <c r="AJ969" s="1" t="str">
        <f t="shared" si="642"/>
        <v>MAN</v>
      </c>
      <c r="AK969" s="1" t="str">
        <f t="shared" si="655"/>
        <v>PA</v>
      </c>
      <c r="AP969" s="1" t="str">
        <f t="shared" si="656"/>
        <v>False</v>
      </c>
      <c r="AR969" s="1" t="str">
        <f t="shared" si="643"/>
        <v>GYNN</v>
      </c>
      <c r="AY969" s="1" t="str">
        <f t="shared" si="657"/>
        <v>PF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 t="str">
        <f t="shared" si="662"/>
        <v>MMA+CANVAS</v>
      </c>
      <c r="BF969" s="1" t="str">
        <f t="shared" si="658"/>
        <v>Bonis SpA</v>
      </c>
    </row>
    <row r="970" spans="2:58" x14ac:dyDescent="0.25">
      <c r="B970" s="1">
        <v>2458</v>
      </c>
      <c r="C970" s="1" t="str">
        <f t="shared" si="659"/>
        <v>GYNN4238S7/C1</v>
      </c>
      <c r="E970" s="1" t="str">
        <f>"42"</f>
        <v>42</v>
      </c>
      <c r="F970" s="1" t="str">
        <f t="shared" si="647"/>
        <v>BONIS SPA</v>
      </c>
      <c r="G970" s="1" t="str">
        <f t="shared" si="635"/>
        <v>STOCK SCAFFALE MP</v>
      </c>
      <c r="H970" s="1" t="str">
        <f t="shared" si="660"/>
        <v>RED</v>
      </c>
      <c r="K970" s="1">
        <v>3</v>
      </c>
      <c r="L970" s="1" t="str">
        <f t="shared" si="648"/>
        <v>01</v>
      </c>
      <c r="M970" s="1" t="str">
        <f t="shared" si="636"/>
        <v>408</v>
      </c>
      <c r="N970" s="1" t="str">
        <f t="shared" si="640"/>
        <v>001</v>
      </c>
      <c r="O970" s="1" t="str">
        <f t="shared" si="649"/>
        <v>00</v>
      </c>
      <c r="P970" s="1" t="str">
        <f t="shared" si="650"/>
        <v>S</v>
      </c>
      <c r="Q970" s="1" t="str">
        <f t="shared" si="651"/>
        <v>P</v>
      </c>
      <c r="R970" s="1" t="str">
        <f t="shared" si="652"/>
        <v>01</v>
      </c>
      <c r="S970" s="1" t="str">
        <f t="shared" si="637"/>
        <v>04</v>
      </c>
      <c r="T970" s="1" t="str">
        <f t="shared" si="653"/>
        <v>False</v>
      </c>
      <c r="U970" s="1" t="str">
        <f t="shared" si="654"/>
        <v>True</v>
      </c>
      <c r="V970" s="1" t="str">
        <f>"U0032649"</f>
        <v>U0032649</v>
      </c>
      <c r="W970" s="1">
        <v>1</v>
      </c>
      <c r="Y970" s="1">
        <v>0</v>
      </c>
      <c r="Z970" s="1">
        <v>0</v>
      </c>
      <c r="AB970" s="1" t="str">
        <f t="shared" si="641"/>
        <v>SMU</v>
      </c>
      <c r="AI970" s="1" t="str">
        <f t="shared" si="661"/>
        <v>F11</v>
      </c>
      <c r="AJ970" s="1" t="str">
        <f t="shared" si="642"/>
        <v>MAN</v>
      </c>
      <c r="AK970" s="1" t="str">
        <f t="shared" si="655"/>
        <v>PA</v>
      </c>
      <c r="AP970" s="1" t="str">
        <f t="shared" si="656"/>
        <v>False</v>
      </c>
      <c r="AR970" s="1" t="str">
        <f t="shared" si="643"/>
        <v>GYNN</v>
      </c>
      <c r="AY970" s="1" t="str">
        <f t="shared" si="657"/>
        <v>PF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 t="str">
        <f t="shared" si="662"/>
        <v>MMA+CANVAS</v>
      </c>
      <c r="BF970" s="1" t="str">
        <f t="shared" si="658"/>
        <v>Bonis SpA</v>
      </c>
    </row>
    <row r="971" spans="2:58" x14ac:dyDescent="0.25">
      <c r="B971" s="1">
        <v>2458</v>
      </c>
      <c r="C971" s="1" t="str">
        <f t="shared" si="659"/>
        <v>GYNN4238S7/C1</v>
      </c>
      <c r="E971" s="1" t="str">
        <f>"43"</f>
        <v>43</v>
      </c>
      <c r="F971" s="1" t="str">
        <f t="shared" si="647"/>
        <v>BONIS SPA</v>
      </c>
      <c r="G971" s="1" t="str">
        <f t="shared" si="635"/>
        <v>STOCK SCAFFALE MP</v>
      </c>
      <c r="H971" s="1" t="str">
        <f t="shared" si="660"/>
        <v>RED</v>
      </c>
      <c r="K971" s="1">
        <v>3</v>
      </c>
      <c r="L971" s="1" t="str">
        <f t="shared" si="648"/>
        <v>01</v>
      </c>
      <c r="M971" s="1" t="str">
        <f t="shared" si="636"/>
        <v>408</v>
      </c>
      <c r="N971" s="1" t="str">
        <f t="shared" si="640"/>
        <v>001</v>
      </c>
      <c r="O971" s="1" t="str">
        <f t="shared" si="649"/>
        <v>00</v>
      </c>
      <c r="P971" s="1" t="str">
        <f t="shared" si="650"/>
        <v>S</v>
      </c>
      <c r="Q971" s="1" t="str">
        <f t="shared" si="651"/>
        <v>P</v>
      </c>
      <c r="R971" s="1" t="str">
        <f t="shared" si="652"/>
        <v>01</v>
      </c>
      <c r="S971" s="1" t="str">
        <f t="shared" si="637"/>
        <v>04</v>
      </c>
      <c r="T971" s="1" t="str">
        <f t="shared" si="653"/>
        <v>False</v>
      </c>
      <c r="U971" s="1" t="str">
        <f t="shared" si="654"/>
        <v>True</v>
      </c>
      <c r="V971" s="1" t="str">
        <f>"U0032649"</f>
        <v>U0032649</v>
      </c>
      <c r="W971" s="1">
        <v>1</v>
      </c>
      <c r="Y971" s="1">
        <v>0</v>
      </c>
      <c r="Z971" s="1">
        <v>0</v>
      </c>
      <c r="AB971" s="1" t="str">
        <f t="shared" si="641"/>
        <v>SMU</v>
      </c>
      <c r="AI971" s="1" t="str">
        <f t="shared" si="661"/>
        <v>F11</v>
      </c>
      <c r="AJ971" s="1" t="str">
        <f t="shared" si="642"/>
        <v>MAN</v>
      </c>
      <c r="AK971" s="1" t="str">
        <f t="shared" si="655"/>
        <v>PA</v>
      </c>
      <c r="AP971" s="1" t="str">
        <f t="shared" si="656"/>
        <v>False</v>
      </c>
      <c r="AR971" s="1" t="str">
        <f t="shared" si="643"/>
        <v>GYNN</v>
      </c>
      <c r="AY971" s="1" t="str">
        <f t="shared" si="657"/>
        <v>PF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 t="str">
        <f t="shared" si="662"/>
        <v>MMA+CANVAS</v>
      </c>
      <c r="BF971" s="1" t="str">
        <f t="shared" si="658"/>
        <v>Bonis SpA</v>
      </c>
    </row>
    <row r="972" spans="2:58" x14ac:dyDescent="0.25">
      <c r="B972" s="1">
        <v>2458</v>
      </c>
      <c r="C972" s="1" t="str">
        <f t="shared" si="659"/>
        <v>GYNN4238S7/C1</v>
      </c>
      <c r="E972" s="1" t="str">
        <f>"40"</f>
        <v>40</v>
      </c>
      <c r="F972" s="1" t="str">
        <f t="shared" si="647"/>
        <v>BONIS SPA</v>
      </c>
      <c r="G972" s="1" t="str">
        <f t="shared" si="635"/>
        <v>STOCK SCAFFALE MP</v>
      </c>
      <c r="H972" s="1" t="str">
        <f t="shared" si="660"/>
        <v>RED</v>
      </c>
      <c r="K972" s="1">
        <v>1</v>
      </c>
      <c r="L972" s="1" t="str">
        <f t="shared" si="648"/>
        <v>01</v>
      </c>
      <c r="M972" s="1" t="str">
        <f t="shared" si="636"/>
        <v>408</v>
      </c>
      <c r="N972" s="1" t="str">
        <f t="shared" si="640"/>
        <v>001</v>
      </c>
      <c r="O972" s="1" t="str">
        <f t="shared" si="649"/>
        <v>00</v>
      </c>
      <c r="P972" s="1" t="str">
        <f t="shared" si="650"/>
        <v>S</v>
      </c>
      <c r="Q972" s="1" t="str">
        <f t="shared" si="651"/>
        <v>P</v>
      </c>
      <c r="R972" s="1" t="str">
        <f t="shared" si="652"/>
        <v>01</v>
      </c>
      <c r="S972" s="1" t="str">
        <f t="shared" si="637"/>
        <v>04</v>
      </c>
      <c r="T972" s="1" t="str">
        <f t="shared" si="653"/>
        <v>False</v>
      </c>
      <c r="U972" s="1" t="str">
        <f t="shared" si="654"/>
        <v>True</v>
      </c>
      <c r="V972" s="1" t="str">
        <f>"U0032647"</f>
        <v>U0032647</v>
      </c>
      <c r="W972" s="1">
        <v>1</v>
      </c>
      <c r="Y972" s="1">
        <v>0</v>
      </c>
      <c r="Z972" s="1">
        <v>0</v>
      </c>
      <c r="AB972" s="1" t="str">
        <f t="shared" si="641"/>
        <v>SMU</v>
      </c>
      <c r="AI972" s="1" t="str">
        <f t="shared" si="661"/>
        <v>F11</v>
      </c>
      <c r="AJ972" s="1" t="str">
        <f t="shared" si="642"/>
        <v>MAN</v>
      </c>
      <c r="AK972" s="1" t="str">
        <f t="shared" si="655"/>
        <v>PA</v>
      </c>
      <c r="AP972" s="1" t="str">
        <f t="shared" si="656"/>
        <v>False</v>
      </c>
      <c r="AR972" s="1" t="str">
        <f t="shared" si="643"/>
        <v>GYNN</v>
      </c>
      <c r="AY972" s="1" t="str">
        <f t="shared" si="657"/>
        <v>PF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 t="str">
        <f t="shared" si="662"/>
        <v>MMA+CANVAS</v>
      </c>
      <c r="BF972" s="1" t="str">
        <f t="shared" si="658"/>
        <v>Bonis SpA</v>
      </c>
    </row>
    <row r="973" spans="2:58" x14ac:dyDescent="0.25">
      <c r="B973" s="1">
        <v>2458</v>
      </c>
      <c r="C973" s="1" t="str">
        <f t="shared" si="659"/>
        <v>GYNN4238S7/C1</v>
      </c>
      <c r="E973" s="1" t="str">
        <f>"41"</f>
        <v>41</v>
      </c>
      <c r="F973" s="1" t="str">
        <f t="shared" si="647"/>
        <v>BONIS SPA</v>
      </c>
      <c r="G973" s="1" t="str">
        <f t="shared" si="635"/>
        <v>STOCK SCAFFALE MP</v>
      </c>
      <c r="H973" s="1" t="str">
        <f t="shared" si="660"/>
        <v>RED</v>
      </c>
      <c r="K973" s="1">
        <v>2</v>
      </c>
      <c r="L973" s="1" t="str">
        <f t="shared" si="648"/>
        <v>01</v>
      </c>
      <c r="M973" s="1" t="str">
        <f t="shared" si="636"/>
        <v>408</v>
      </c>
      <c r="N973" s="1" t="str">
        <f t="shared" si="640"/>
        <v>001</v>
      </c>
      <c r="O973" s="1" t="str">
        <f t="shared" si="649"/>
        <v>00</v>
      </c>
      <c r="P973" s="1" t="str">
        <f t="shared" si="650"/>
        <v>S</v>
      </c>
      <c r="Q973" s="1" t="str">
        <f t="shared" si="651"/>
        <v>P</v>
      </c>
      <c r="R973" s="1" t="str">
        <f t="shared" si="652"/>
        <v>01</v>
      </c>
      <c r="S973" s="1" t="str">
        <f t="shared" si="637"/>
        <v>04</v>
      </c>
      <c r="T973" s="1" t="str">
        <f t="shared" si="653"/>
        <v>False</v>
      </c>
      <c r="U973" s="1" t="str">
        <f t="shared" si="654"/>
        <v>True</v>
      </c>
      <c r="V973" s="1" t="str">
        <f>"U0032647"</f>
        <v>U0032647</v>
      </c>
      <c r="W973" s="1">
        <v>1</v>
      </c>
      <c r="Y973" s="1">
        <v>0</v>
      </c>
      <c r="Z973" s="1">
        <v>0</v>
      </c>
      <c r="AB973" s="1" t="str">
        <f t="shared" si="641"/>
        <v>SMU</v>
      </c>
      <c r="AI973" s="1" t="str">
        <f t="shared" si="661"/>
        <v>F11</v>
      </c>
      <c r="AJ973" s="1" t="str">
        <f t="shared" si="642"/>
        <v>MAN</v>
      </c>
      <c r="AK973" s="1" t="str">
        <f t="shared" si="655"/>
        <v>PA</v>
      </c>
      <c r="AP973" s="1" t="str">
        <f t="shared" si="656"/>
        <v>False</v>
      </c>
      <c r="AR973" s="1" t="str">
        <f t="shared" si="643"/>
        <v>GYNN</v>
      </c>
      <c r="AY973" s="1" t="str">
        <f t="shared" si="657"/>
        <v>PF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 t="str">
        <f t="shared" si="662"/>
        <v>MMA+CANVAS</v>
      </c>
      <c r="BF973" s="1" t="str">
        <f t="shared" si="658"/>
        <v>Bonis SpA</v>
      </c>
    </row>
    <row r="974" spans="2:58" x14ac:dyDescent="0.25">
      <c r="B974" s="1">
        <v>2458</v>
      </c>
      <c r="C974" s="1" t="str">
        <f t="shared" si="659"/>
        <v>GYNN4238S7/C1</v>
      </c>
      <c r="E974" s="1" t="str">
        <f>"42"</f>
        <v>42</v>
      </c>
      <c r="F974" s="1" t="str">
        <f t="shared" si="647"/>
        <v>BONIS SPA</v>
      </c>
      <c r="G974" s="1" t="str">
        <f t="shared" si="635"/>
        <v>STOCK SCAFFALE MP</v>
      </c>
      <c r="H974" s="1" t="str">
        <f t="shared" si="660"/>
        <v>RED</v>
      </c>
      <c r="K974" s="1">
        <v>3</v>
      </c>
      <c r="L974" s="1" t="str">
        <f t="shared" si="648"/>
        <v>01</v>
      </c>
      <c r="M974" s="1" t="str">
        <f t="shared" si="636"/>
        <v>408</v>
      </c>
      <c r="N974" s="1" t="str">
        <f t="shared" si="640"/>
        <v>001</v>
      </c>
      <c r="O974" s="1" t="str">
        <f t="shared" si="649"/>
        <v>00</v>
      </c>
      <c r="P974" s="1" t="str">
        <f t="shared" si="650"/>
        <v>S</v>
      </c>
      <c r="Q974" s="1" t="str">
        <f t="shared" si="651"/>
        <v>P</v>
      </c>
      <c r="R974" s="1" t="str">
        <f t="shared" si="652"/>
        <v>01</v>
      </c>
      <c r="S974" s="1" t="str">
        <f t="shared" si="637"/>
        <v>04</v>
      </c>
      <c r="T974" s="1" t="str">
        <f t="shared" si="653"/>
        <v>False</v>
      </c>
      <c r="U974" s="1" t="str">
        <f t="shared" si="654"/>
        <v>True</v>
      </c>
      <c r="V974" s="1" t="str">
        <f>"U0032647"</f>
        <v>U0032647</v>
      </c>
      <c r="W974" s="1">
        <v>1</v>
      </c>
      <c r="Y974" s="1">
        <v>0</v>
      </c>
      <c r="Z974" s="1">
        <v>0</v>
      </c>
      <c r="AB974" s="1" t="str">
        <f t="shared" si="641"/>
        <v>SMU</v>
      </c>
      <c r="AI974" s="1" t="str">
        <f t="shared" si="661"/>
        <v>F11</v>
      </c>
      <c r="AJ974" s="1" t="str">
        <f t="shared" si="642"/>
        <v>MAN</v>
      </c>
      <c r="AK974" s="1" t="str">
        <f t="shared" si="655"/>
        <v>PA</v>
      </c>
      <c r="AP974" s="1" t="str">
        <f t="shared" si="656"/>
        <v>False</v>
      </c>
      <c r="AR974" s="1" t="str">
        <f t="shared" si="643"/>
        <v>GYNN</v>
      </c>
      <c r="AY974" s="1" t="str">
        <f t="shared" si="657"/>
        <v>PF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 t="str">
        <f t="shared" si="662"/>
        <v>MMA+CANVAS</v>
      </c>
      <c r="BF974" s="1" t="str">
        <f t="shared" si="658"/>
        <v>Bonis SpA</v>
      </c>
    </row>
    <row r="975" spans="2:58" x14ac:dyDescent="0.25">
      <c r="B975" s="1">
        <v>2458</v>
      </c>
      <c r="C975" s="1" t="str">
        <f t="shared" si="659"/>
        <v>GYNN4238S7/C1</v>
      </c>
      <c r="E975" s="1" t="str">
        <f>"43"</f>
        <v>43</v>
      </c>
      <c r="F975" s="1" t="str">
        <f t="shared" si="647"/>
        <v>BONIS SPA</v>
      </c>
      <c r="G975" s="1" t="str">
        <f t="shared" si="635"/>
        <v>STOCK SCAFFALE MP</v>
      </c>
      <c r="H975" s="1" t="str">
        <f t="shared" si="660"/>
        <v>RED</v>
      </c>
      <c r="K975" s="1">
        <v>4</v>
      </c>
      <c r="L975" s="1" t="str">
        <f t="shared" si="648"/>
        <v>01</v>
      </c>
      <c r="M975" s="1" t="str">
        <f t="shared" si="636"/>
        <v>408</v>
      </c>
      <c r="N975" s="1" t="str">
        <f t="shared" si="640"/>
        <v>001</v>
      </c>
      <c r="O975" s="1" t="str">
        <f t="shared" si="649"/>
        <v>00</v>
      </c>
      <c r="P975" s="1" t="str">
        <f t="shared" si="650"/>
        <v>S</v>
      </c>
      <c r="Q975" s="1" t="str">
        <f t="shared" si="651"/>
        <v>P</v>
      </c>
      <c r="R975" s="1" t="str">
        <f t="shared" si="652"/>
        <v>01</v>
      </c>
      <c r="S975" s="1" t="str">
        <f t="shared" si="637"/>
        <v>04</v>
      </c>
      <c r="T975" s="1" t="str">
        <f t="shared" si="653"/>
        <v>False</v>
      </c>
      <c r="U975" s="1" t="str">
        <f t="shared" si="654"/>
        <v>True</v>
      </c>
      <c r="V975" s="1" t="str">
        <f>"U0032647"</f>
        <v>U0032647</v>
      </c>
      <c r="W975" s="1">
        <v>1</v>
      </c>
      <c r="Y975" s="1">
        <v>0</v>
      </c>
      <c r="Z975" s="1">
        <v>0</v>
      </c>
      <c r="AB975" s="1" t="str">
        <f t="shared" si="641"/>
        <v>SMU</v>
      </c>
      <c r="AI975" s="1" t="str">
        <f t="shared" si="661"/>
        <v>F11</v>
      </c>
      <c r="AJ975" s="1" t="str">
        <f t="shared" si="642"/>
        <v>MAN</v>
      </c>
      <c r="AK975" s="1" t="str">
        <f t="shared" si="655"/>
        <v>PA</v>
      </c>
      <c r="AP975" s="1" t="str">
        <f t="shared" si="656"/>
        <v>False</v>
      </c>
      <c r="AR975" s="1" t="str">
        <f t="shared" si="643"/>
        <v>GYNN</v>
      </c>
      <c r="AY975" s="1" t="str">
        <f t="shared" si="657"/>
        <v>PF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 t="str">
        <f t="shared" si="662"/>
        <v>MMA+CANVAS</v>
      </c>
      <c r="BF975" s="1" t="str">
        <f t="shared" si="658"/>
        <v>Bonis SpA</v>
      </c>
    </row>
    <row r="976" spans="2:58" x14ac:dyDescent="0.25">
      <c r="B976" s="1">
        <v>2458</v>
      </c>
      <c r="C976" s="1" t="str">
        <f t="shared" si="659"/>
        <v>GYNN4238S7/C1</v>
      </c>
      <c r="E976" s="1" t="str">
        <f>"44"</f>
        <v>44</v>
      </c>
      <c r="F976" s="1" t="str">
        <f t="shared" si="647"/>
        <v>BONIS SPA</v>
      </c>
      <c r="G976" s="1" t="str">
        <f t="shared" si="635"/>
        <v>STOCK SCAFFALE MP</v>
      </c>
      <c r="H976" s="1" t="str">
        <f t="shared" si="660"/>
        <v>RED</v>
      </c>
      <c r="K976" s="1">
        <v>2</v>
      </c>
      <c r="L976" s="1" t="str">
        <f t="shared" si="648"/>
        <v>01</v>
      </c>
      <c r="M976" s="1" t="str">
        <f t="shared" si="636"/>
        <v>408</v>
      </c>
      <c r="N976" s="1" t="str">
        <f t="shared" si="640"/>
        <v>001</v>
      </c>
      <c r="O976" s="1" t="str">
        <f t="shared" si="649"/>
        <v>00</v>
      </c>
      <c r="P976" s="1" t="str">
        <f t="shared" si="650"/>
        <v>S</v>
      </c>
      <c r="Q976" s="1" t="str">
        <f t="shared" si="651"/>
        <v>P</v>
      </c>
      <c r="R976" s="1" t="str">
        <f t="shared" si="652"/>
        <v>01</v>
      </c>
      <c r="S976" s="1" t="str">
        <f t="shared" si="637"/>
        <v>04</v>
      </c>
      <c r="T976" s="1" t="str">
        <f t="shared" si="653"/>
        <v>False</v>
      </c>
      <c r="U976" s="1" t="str">
        <f t="shared" si="654"/>
        <v>True</v>
      </c>
      <c r="V976" s="1" t="str">
        <f>"U0032647"</f>
        <v>U0032647</v>
      </c>
      <c r="W976" s="1">
        <v>1</v>
      </c>
      <c r="Y976" s="1">
        <v>0</v>
      </c>
      <c r="Z976" s="1">
        <v>0</v>
      </c>
      <c r="AB976" s="1" t="str">
        <f t="shared" si="641"/>
        <v>SMU</v>
      </c>
      <c r="AI976" s="1" t="str">
        <f t="shared" si="661"/>
        <v>F11</v>
      </c>
      <c r="AJ976" s="1" t="str">
        <f t="shared" si="642"/>
        <v>MAN</v>
      </c>
      <c r="AK976" s="1" t="str">
        <f t="shared" si="655"/>
        <v>PA</v>
      </c>
      <c r="AP976" s="1" t="str">
        <f t="shared" si="656"/>
        <v>False</v>
      </c>
      <c r="AR976" s="1" t="str">
        <f t="shared" si="643"/>
        <v>GYNN</v>
      </c>
      <c r="AY976" s="1" t="str">
        <f t="shared" si="657"/>
        <v>PF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 t="str">
        <f t="shared" si="662"/>
        <v>MMA+CANVAS</v>
      </c>
      <c r="BF976" s="1" t="str">
        <f t="shared" si="658"/>
        <v>Bonis SpA</v>
      </c>
    </row>
    <row r="977" spans="2:58" x14ac:dyDescent="0.25">
      <c r="B977" s="1">
        <v>2458</v>
      </c>
      <c r="C977" s="1" t="str">
        <f t="shared" si="659"/>
        <v>GYNN4238S7/C1</v>
      </c>
      <c r="E977" s="1" t="str">
        <f>"43"</f>
        <v>43</v>
      </c>
      <c r="F977" s="1" t="str">
        <f t="shared" si="647"/>
        <v>BONIS SPA</v>
      </c>
      <c r="G977" s="1" t="str">
        <f t="shared" si="635"/>
        <v>STOCK SCAFFALE MP</v>
      </c>
      <c r="H977" s="1" t="str">
        <f t="shared" si="660"/>
        <v>RED</v>
      </c>
      <c r="K977" s="1">
        <v>4</v>
      </c>
      <c r="L977" s="1" t="str">
        <f t="shared" si="648"/>
        <v>01</v>
      </c>
      <c r="M977" s="1" t="str">
        <f t="shared" si="636"/>
        <v>408</v>
      </c>
      <c r="N977" s="1" t="str">
        <f t="shared" si="640"/>
        <v>001</v>
      </c>
      <c r="O977" s="1" t="str">
        <f t="shared" si="649"/>
        <v>00</v>
      </c>
      <c r="P977" s="1" t="str">
        <f t="shared" si="650"/>
        <v>S</v>
      </c>
      <c r="Q977" s="1" t="str">
        <f t="shared" si="651"/>
        <v>P</v>
      </c>
      <c r="R977" s="1" t="str">
        <f t="shared" si="652"/>
        <v>01</v>
      </c>
      <c r="S977" s="1" t="str">
        <f t="shared" si="637"/>
        <v>04</v>
      </c>
      <c r="T977" s="1" t="str">
        <f t="shared" si="653"/>
        <v>False</v>
      </c>
      <c r="U977" s="1" t="str">
        <f t="shared" si="654"/>
        <v>True</v>
      </c>
      <c r="V977" s="1" t="str">
        <f>"U0032646"</f>
        <v>U0032646</v>
      </c>
      <c r="W977" s="1">
        <v>1</v>
      </c>
      <c r="Y977" s="1">
        <v>0</v>
      </c>
      <c r="Z977" s="1">
        <v>0</v>
      </c>
      <c r="AB977" s="1" t="str">
        <f t="shared" si="641"/>
        <v>SMU</v>
      </c>
      <c r="AI977" s="1" t="str">
        <f t="shared" si="661"/>
        <v>F11</v>
      </c>
      <c r="AJ977" s="1" t="str">
        <f t="shared" si="642"/>
        <v>MAN</v>
      </c>
      <c r="AK977" s="1" t="str">
        <f t="shared" si="655"/>
        <v>PA</v>
      </c>
      <c r="AP977" s="1" t="str">
        <f t="shared" si="656"/>
        <v>False</v>
      </c>
      <c r="AR977" s="1" t="str">
        <f t="shared" si="643"/>
        <v>GYNN</v>
      </c>
      <c r="AY977" s="1" t="str">
        <f t="shared" si="657"/>
        <v>PF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 t="str">
        <f t="shared" si="662"/>
        <v>MMA+CANVAS</v>
      </c>
      <c r="BF977" s="1" t="str">
        <f t="shared" si="658"/>
        <v>Bonis SpA</v>
      </c>
    </row>
    <row r="978" spans="2:58" x14ac:dyDescent="0.25">
      <c r="B978" s="1">
        <v>2458</v>
      </c>
      <c r="C978" s="1" t="str">
        <f t="shared" si="659"/>
        <v>GYNN4238S7/C1</v>
      </c>
      <c r="E978" s="1" t="str">
        <f>"40"</f>
        <v>40</v>
      </c>
      <c r="F978" s="1" t="str">
        <f t="shared" si="647"/>
        <v>BONIS SPA</v>
      </c>
      <c r="G978" s="1" t="str">
        <f t="shared" si="635"/>
        <v>STOCK SCAFFALE MP</v>
      </c>
      <c r="H978" s="1" t="str">
        <f t="shared" si="660"/>
        <v>RED</v>
      </c>
      <c r="K978" s="1">
        <v>1</v>
      </c>
      <c r="L978" s="1" t="str">
        <f t="shared" si="648"/>
        <v>01</v>
      </c>
      <c r="M978" s="1" t="str">
        <f t="shared" si="636"/>
        <v>408</v>
      </c>
      <c r="N978" s="1" t="str">
        <f t="shared" si="640"/>
        <v>001</v>
      </c>
      <c r="O978" s="1" t="str">
        <f t="shared" si="649"/>
        <v>00</v>
      </c>
      <c r="P978" s="1" t="str">
        <f t="shared" si="650"/>
        <v>S</v>
      </c>
      <c r="Q978" s="1" t="str">
        <f t="shared" si="651"/>
        <v>P</v>
      </c>
      <c r="R978" s="1" t="str">
        <f t="shared" si="652"/>
        <v>01</v>
      </c>
      <c r="S978" s="1" t="str">
        <f t="shared" si="637"/>
        <v>04</v>
      </c>
      <c r="T978" s="1" t="str">
        <f t="shared" si="653"/>
        <v>False</v>
      </c>
      <c r="U978" s="1" t="str">
        <f t="shared" si="654"/>
        <v>True</v>
      </c>
      <c r="V978" s="1" t="str">
        <f>"U0032646"</f>
        <v>U0032646</v>
      </c>
      <c r="W978" s="1">
        <v>1</v>
      </c>
      <c r="Y978" s="1">
        <v>0</v>
      </c>
      <c r="Z978" s="1">
        <v>0</v>
      </c>
      <c r="AB978" s="1" t="str">
        <f t="shared" si="641"/>
        <v>SMU</v>
      </c>
      <c r="AI978" s="1" t="str">
        <f t="shared" si="661"/>
        <v>F11</v>
      </c>
      <c r="AJ978" s="1" t="str">
        <f t="shared" si="642"/>
        <v>MAN</v>
      </c>
      <c r="AK978" s="1" t="str">
        <f t="shared" si="655"/>
        <v>PA</v>
      </c>
      <c r="AP978" s="1" t="str">
        <f t="shared" si="656"/>
        <v>False</v>
      </c>
      <c r="AR978" s="1" t="str">
        <f t="shared" si="643"/>
        <v>GYNN</v>
      </c>
      <c r="AY978" s="1" t="str">
        <f t="shared" si="657"/>
        <v>PF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 t="str">
        <f t="shared" si="662"/>
        <v>MMA+CANVAS</v>
      </c>
      <c r="BF978" s="1" t="str">
        <f t="shared" si="658"/>
        <v>Bonis SpA</v>
      </c>
    </row>
    <row r="979" spans="2:58" x14ac:dyDescent="0.25">
      <c r="B979" s="1">
        <v>2458</v>
      </c>
      <c r="C979" s="1" t="str">
        <f t="shared" si="659"/>
        <v>GYNN4238S7/C1</v>
      </c>
      <c r="E979" s="1" t="str">
        <f>"42"</f>
        <v>42</v>
      </c>
      <c r="F979" s="1" t="str">
        <f t="shared" si="647"/>
        <v>BONIS SPA</v>
      </c>
      <c r="G979" s="1" t="str">
        <f t="shared" si="635"/>
        <v>STOCK SCAFFALE MP</v>
      </c>
      <c r="H979" s="1" t="str">
        <f t="shared" si="660"/>
        <v>RED</v>
      </c>
      <c r="K979" s="1">
        <v>3</v>
      </c>
      <c r="L979" s="1" t="str">
        <f t="shared" si="648"/>
        <v>01</v>
      </c>
      <c r="M979" s="1" t="str">
        <f t="shared" si="636"/>
        <v>408</v>
      </c>
      <c r="N979" s="1" t="str">
        <f t="shared" si="640"/>
        <v>001</v>
      </c>
      <c r="O979" s="1" t="str">
        <f t="shared" si="649"/>
        <v>00</v>
      </c>
      <c r="P979" s="1" t="str">
        <f t="shared" si="650"/>
        <v>S</v>
      </c>
      <c r="Q979" s="1" t="str">
        <f t="shared" si="651"/>
        <v>P</v>
      </c>
      <c r="R979" s="1" t="str">
        <f t="shared" si="652"/>
        <v>01</v>
      </c>
      <c r="S979" s="1" t="str">
        <f t="shared" si="637"/>
        <v>04</v>
      </c>
      <c r="T979" s="1" t="str">
        <f t="shared" si="653"/>
        <v>False</v>
      </c>
      <c r="U979" s="1" t="str">
        <f t="shared" si="654"/>
        <v>True</v>
      </c>
      <c r="V979" s="1" t="str">
        <f>"U0032646"</f>
        <v>U0032646</v>
      </c>
      <c r="W979" s="1">
        <v>1</v>
      </c>
      <c r="Y979" s="1">
        <v>0</v>
      </c>
      <c r="Z979" s="1">
        <v>0</v>
      </c>
      <c r="AB979" s="1" t="str">
        <f t="shared" si="641"/>
        <v>SMU</v>
      </c>
      <c r="AI979" s="1" t="str">
        <f t="shared" si="661"/>
        <v>F11</v>
      </c>
      <c r="AJ979" s="1" t="str">
        <f t="shared" si="642"/>
        <v>MAN</v>
      </c>
      <c r="AK979" s="1" t="str">
        <f t="shared" si="655"/>
        <v>PA</v>
      </c>
      <c r="AP979" s="1" t="str">
        <f t="shared" si="656"/>
        <v>False</v>
      </c>
      <c r="AR979" s="1" t="str">
        <f t="shared" si="643"/>
        <v>GYNN</v>
      </c>
      <c r="AY979" s="1" t="str">
        <f t="shared" si="657"/>
        <v>PF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 t="str">
        <f t="shared" si="662"/>
        <v>MMA+CANVAS</v>
      </c>
      <c r="BF979" s="1" t="str">
        <f t="shared" si="658"/>
        <v>Bonis SpA</v>
      </c>
    </row>
    <row r="980" spans="2:58" x14ac:dyDescent="0.25">
      <c r="B980" s="1">
        <v>2458</v>
      </c>
      <c r="C980" s="1" t="str">
        <f t="shared" si="659"/>
        <v>GYNN4238S7/C1</v>
      </c>
      <c r="E980" s="1" t="str">
        <f>"44"</f>
        <v>44</v>
      </c>
      <c r="F980" s="1" t="str">
        <f t="shared" si="647"/>
        <v>BONIS SPA</v>
      </c>
      <c r="G980" s="1" t="str">
        <f t="shared" si="635"/>
        <v>STOCK SCAFFALE MP</v>
      </c>
      <c r="H980" s="1" t="str">
        <f t="shared" si="660"/>
        <v>RED</v>
      </c>
      <c r="K980" s="1">
        <v>2</v>
      </c>
      <c r="L980" s="1" t="str">
        <f t="shared" si="648"/>
        <v>01</v>
      </c>
      <c r="M980" s="1" t="str">
        <f t="shared" si="636"/>
        <v>408</v>
      </c>
      <c r="N980" s="1" t="str">
        <f t="shared" si="640"/>
        <v>001</v>
      </c>
      <c r="O980" s="1" t="str">
        <f t="shared" si="649"/>
        <v>00</v>
      </c>
      <c r="P980" s="1" t="str">
        <f t="shared" si="650"/>
        <v>S</v>
      </c>
      <c r="Q980" s="1" t="str">
        <f t="shared" si="651"/>
        <v>P</v>
      </c>
      <c r="R980" s="1" t="str">
        <f t="shared" si="652"/>
        <v>01</v>
      </c>
      <c r="S980" s="1" t="str">
        <f t="shared" si="637"/>
        <v>04</v>
      </c>
      <c r="T980" s="1" t="str">
        <f t="shared" si="653"/>
        <v>False</v>
      </c>
      <c r="U980" s="1" t="str">
        <f t="shared" si="654"/>
        <v>True</v>
      </c>
      <c r="V980" s="1" t="str">
        <f>"U0032646"</f>
        <v>U0032646</v>
      </c>
      <c r="W980" s="1">
        <v>1</v>
      </c>
      <c r="Y980" s="1">
        <v>0</v>
      </c>
      <c r="Z980" s="1">
        <v>0</v>
      </c>
      <c r="AB980" s="1" t="str">
        <f t="shared" si="641"/>
        <v>SMU</v>
      </c>
      <c r="AI980" s="1" t="str">
        <f t="shared" si="661"/>
        <v>F11</v>
      </c>
      <c r="AJ980" s="1" t="str">
        <f t="shared" si="642"/>
        <v>MAN</v>
      </c>
      <c r="AK980" s="1" t="str">
        <f t="shared" si="655"/>
        <v>PA</v>
      </c>
      <c r="AP980" s="1" t="str">
        <f t="shared" si="656"/>
        <v>False</v>
      </c>
      <c r="AR980" s="1" t="str">
        <f t="shared" si="643"/>
        <v>GYNN</v>
      </c>
      <c r="AY980" s="1" t="str">
        <f t="shared" si="657"/>
        <v>PF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 t="str">
        <f t="shared" si="662"/>
        <v>MMA+CANVAS</v>
      </c>
      <c r="BF980" s="1" t="str">
        <f t="shared" si="658"/>
        <v>Bonis SpA</v>
      </c>
    </row>
    <row r="981" spans="2:58" x14ac:dyDescent="0.25">
      <c r="B981" s="1">
        <v>2458</v>
      </c>
      <c r="C981" s="1" t="str">
        <f t="shared" si="659"/>
        <v>GYNN4238S7/C1</v>
      </c>
      <c r="E981" s="1" t="str">
        <f>"41"</f>
        <v>41</v>
      </c>
      <c r="F981" s="1" t="str">
        <f t="shared" si="647"/>
        <v>BONIS SPA</v>
      </c>
      <c r="G981" s="1" t="str">
        <f t="shared" si="635"/>
        <v>STOCK SCAFFALE MP</v>
      </c>
      <c r="H981" s="1" t="str">
        <f t="shared" si="660"/>
        <v>RED</v>
      </c>
      <c r="K981" s="1">
        <v>2</v>
      </c>
      <c r="L981" s="1" t="str">
        <f t="shared" si="648"/>
        <v>01</v>
      </c>
      <c r="M981" s="1" t="str">
        <f t="shared" si="636"/>
        <v>408</v>
      </c>
      <c r="N981" s="1" t="str">
        <f t="shared" si="640"/>
        <v>001</v>
      </c>
      <c r="O981" s="1" t="str">
        <f t="shared" si="649"/>
        <v>00</v>
      </c>
      <c r="P981" s="1" t="str">
        <f t="shared" si="650"/>
        <v>S</v>
      </c>
      <c r="Q981" s="1" t="str">
        <f t="shared" si="651"/>
        <v>P</v>
      </c>
      <c r="R981" s="1" t="str">
        <f t="shared" si="652"/>
        <v>01</v>
      </c>
      <c r="S981" s="1" t="str">
        <f t="shared" si="637"/>
        <v>04</v>
      </c>
      <c r="T981" s="1" t="str">
        <f t="shared" si="653"/>
        <v>False</v>
      </c>
      <c r="U981" s="1" t="str">
        <f t="shared" si="654"/>
        <v>True</v>
      </c>
      <c r="V981" s="1" t="str">
        <f>"U0032646"</f>
        <v>U0032646</v>
      </c>
      <c r="W981" s="1">
        <v>1</v>
      </c>
      <c r="Y981" s="1">
        <v>0</v>
      </c>
      <c r="Z981" s="1">
        <v>0</v>
      </c>
      <c r="AB981" s="1" t="str">
        <f t="shared" si="641"/>
        <v>SMU</v>
      </c>
      <c r="AI981" s="1" t="str">
        <f t="shared" si="661"/>
        <v>F11</v>
      </c>
      <c r="AJ981" s="1" t="str">
        <f t="shared" ref="AJ981:AJ1012" si="663">"MAN"</f>
        <v>MAN</v>
      </c>
      <c r="AK981" s="1" t="str">
        <f t="shared" si="655"/>
        <v>PA</v>
      </c>
      <c r="AP981" s="1" t="str">
        <f t="shared" si="656"/>
        <v>False</v>
      </c>
      <c r="AR981" s="1" t="str">
        <f t="shared" ref="AR981:AR1012" si="664">"GYNN"</f>
        <v>GYNN</v>
      </c>
      <c r="AY981" s="1" t="str">
        <f t="shared" si="657"/>
        <v>PF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 t="str">
        <f t="shared" si="662"/>
        <v>MMA+CANVAS</v>
      </c>
      <c r="BF981" s="1" t="str">
        <f t="shared" si="658"/>
        <v>Bonis SpA</v>
      </c>
    </row>
    <row r="982" spans="2:58" x14ac:dyDescent="0.25">
      <c r="B982" s="1">
        <v>2458</v>
      </c>
      <c r="C982" s="1" t="str">
        <f t="shared" si="659"/>
        <v>GYNN4238S7/C1</v>
      </c>
      <c r="E982" s="1" t="str">
        <f>"43"</f>
        <v>43</v>
      </c>
      <c r="F982" s="1" t="str">
        <f t="shared" si="647"/>
        <v>BONIS SPA</v>
      </c>
      <c r="G982" s="1" t="str">
        <f t="shared" si="635"/>
        <v>STOCK SCAFFALE MP</v>
      </c>
      <c r="H982" s="1" t="str">
        <f t="shared" si="660"/>
        <v>RED</v>
      </c>
      <c r="K982" s="1">
        <v>1</v>
      </c>
      <c r="L982" s="1" t="str">
        <f t="shared" si="648"/>
        <v>01</v>
      </c>
      <c r="M982" s="1" t="str">
        <f t="shared" si="636"/>
        <v>408</v>
      </c>
      <c r="N982" s="1" t="str">
        <f t="shared" si="640"/>
        <v>001</v>
      </c>
      <c r="O982" s="1" t="str">
        <f t="shared" si="649"/>
        <v>00</v>
      </c>
      <c r="P982" s="1" t="str">
        <f t="shared" si="650"/>
        <v>S</v>
      </c>
      <c r="Q982" s="1" t="str">
        <f t="shared" si="651"/>
        <v>P</v>
      </c>
      <c r="R982" s="1" t="str">
        <f t="shared" si="652"/>
        <v>01</v>
      </c>
      <c r="S982" s="1" t="str">
        <f t="shared" si="637"/>
        <v>04</v>
      </c>
      <c r="T982" s="1" t="str">
        <f t="shared" si="653"/>
        <v>False</v>
      </c>
      <c r="U982" s="1" t="str">
        <f t="shared" si="654"/>
        <v>True</v>
      </c>
      <c r="V982" s="1" t="str">
        <f>"U0032645"</f>
        <v>U0032645</v>
      </c>
      <c r="W982" s="1">
        <v>1</v>
      </c>
      <c r="Y982" s="1">
        <v>0</v>
      </c>
      <c r="Z982" s="1">
        <v>0</v>
      </c>
      <c r="AB982" s="1" t="str">
        <f t="shared" si="641"/>
        <v>SMU</v>
      </c>
      <c r="AI982" s="1" t="str">
        <f t="shared" si="661"/>
        <v>F11</v>
      </c>
      <c r="AJ982" s="1" t="str">
        <f t="shared" si="663"/>
        <v>MAN</v>
      </c>
      <c r="AK982" s="1" t="str">
        <f t="shared" si="655"/>
        <v>PA</v>
      </c>
      <c r="AP982" s="1" t="str">
        <f t="shared" si="656"/>
        <v>False</v>
      </c>
      <c r="AR982" s="1" t="str">
        <f t="shared" si="664"/>
        <v>GYNN</v>
      </c>
      <c r="AY982" s="1" t="str">
        <f t="shared" si="657"/>
        <v>PF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 t="str">
        <f t="shared" si="662"/>
        <v>MMA+CANVAS</v>
      </c>
      <c r="BF982" s="1" t="str">
        <f t="shared" si="658"/>
        <v>Bonis SpA</v>
      </c>
    </row>
    <row r="983" spans="2:58" x14ac:dyDescent="0.25">
      <c r="B983" s="1">
        <v>2458</v>
      </c>
      <c r="C983" s="1" t="str">
        <f t="shared" si="659"/>
        <v>GYNN4238S7/C1</v>
      </c>
      <c r="E983" s="1" t="str">
        <f>"41"</f>
        <v>41</v>
      </c>
      <c r="F983" s="1" t="str">
        <f t="shared" si="647"/>
        <v>BONIS SPA</v>
      </c>
      <c r="G983" s="1" t="str">
        <f t="shared" si="635"/>
        <v>STOCK SCAFFALE MP</v>
      </c>
      <c r="H983" s="1" t="str">
        <f t="shared" si="660"/>
        <v>RED</v>
      </c>
      <c r="K983" s="1">
        <v>2</v>
      </c>
      <c r="L983" s="1" t="str">
        <f t="shared" si="648"/>
        <v>01</v>
      </c>
      <c r="M983" s="1" t="str">
        <f t="shared" si="636"/>
        <v>408</v>
      </c>
      <c r="N983" s="1" t="str">
        <f t="shared" si="640"/>
        <v>001</v>
      </c>
      <c r="O983" s="1" t="str">
        <f t="shared" si="649"/>
        <v>00</v>
      </c>
      <c r="P983" s="1" t="str">
        <f t="shared" si="650"/>
        <v>S</v>
      </c>
      <c r="Q983" s="1" t="str">
        <f t="shared" si="651"/>
        <v>P</v>
      </c>
      <c r="R983" s="1" t="str">
        <f t="shared" si="652"/>
        <v>01</v>
      </c>
      <c r="S983" s="1" t="str">
        <f t="shared" si="637"/>
        <v>04</v>
      </c>
      <c r="T983" s="1" t="str">
        <f t="shared" si="653"/>
        <v>False</v>
      </c>
      <c r="U983" s="1" t="str">
        <f t="shared" si="654"/>
        <v>True</v>
      </c>
      <c r="V983" s="1" t="str">
        <f>"U0032645"</f>
        <v>U0032645</v>
      </c>
      <c r="W983" s="1">
        <v>1</v>
      </c>
      <c r="Y983" s="1">
        <v>0</v>
      </c>
      <c r="Z983" s="1">
        <v>0</v>
      </c>
      <c r="AB983" s="1" t="str">
        <f t="shared" si="641"/>
        <v>SMU</v>
      </c>
      <c r="AI983" s="1" t="str">
        <f t="shared" si="661"/>
        <v>F11</v>
      </c>
      <c r="AJ983" s="1" t="str">
        <f t="shared" si="663"/>
        <v>MAN</v>
      </c>
      <c r="AK983" s="1" t="str">
        <f t="shared" si="655"/>
        <v>PA</v>
      </c>
      <c r="AP983" s="1" t="str">
        <f t="shared" si="656"/>
        <v>False</v>
      </c>
      <c r="AR983" s="1" t="str">
        <f t="shared" si="664"/>
        <v>GYNN</v>
      </c>
      <c r="AY983" s="1" t="str">
        <f t="shared" si="657"/>
        <v>PF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 t="str">
        <f t="shared" si="662"/>
        <v>MMA+CANVAS</v>
      </c>
      <c r="BF983" s="1" t="str">
        <f t="shared" si="658"/>
        <v>Bonis SpA</v>
      </c>
    </row>
    <row r="984" spans="2:58" x14ac:dyDescent="0.25">
      <c r="B984" s="1">
        <v>2458</v>
      </c>
      <c r="C984" s="1" t="str">
        <f t="shared" si="659"/>
        <v>GYNN4238S7/C1</v>
      </c>
      <c r="E984" s="1" t="str">
        <f>"42"</f>
        <v>42</v>
      </c>
      <c r="F984" s="1" t="str">
        <f t="shared" si="647"/>
        <v>BONIS SPA</v>
      </c>
      <c r="G984" s="1" t="str">
        <f t="shared" si="635"/>
        <v>STOCK SCAFFALE MP</v>
      </c>
      <c r="H984" s="1" t="str">
        <f t="shared" si="660"/>
        <v>RED</v>
      </c>
      <c r="K984" s="1">
        <v>1</v>
      </c>
      <c r="L984" s="1" t="str">
        <f t="shared" si="648"/>
        <v>01</v>
      </c>
      <c r="M984" s="1" t="str">
        <f t="shared" si="636"/>
        <v>408</v>
      </c>
      <c r="N984" s="1" t="str">
        <f t="shared" si="640"/>
        <v>001</v>
      </c>
      <c r="O984" s="1" t="str">
        <f t="shared" si="649"/>
        <v>00</v>
      </c>
      <c r="P984" s="1" t="str">
        <f t="shared" si="650"/>
        <v>S</v>
      </c>
      <c r="Q984" s="1" t="str">
        <f t="shared" si="651"/>
        <v>P</v>
      </c>
      <c r="R984" s="1" t="str">
        <f t="shared" si="652"/>
        <v>01</v>
      </c>
      <c r="S984" s="1" t="str">
        <f t="shared" si="637"/>
        <v>04</v>
      </c>
      <c r="T984" s="1" t="str">
        <f t="shared" si="653"/>
        <v>False</v>
      </c>
      <c r="U984" s="1" t="str">
        <f t="shared" si="654"/>
        <v>True</v>
      </c>
      <c r="V984" s="1" t="str">
        <f>"U0032645"</f>
        <v>U0032645</v>
      </c>
      <c r="W984" s="1">
        <v>1</v>
      </c>
      <c r="Y984" s="1">
        <v>0</v>
      </c>
      <c r="Z984" s="1">
        <v>0</v>
      </c>
      <c r="AB984" s="1" t="str">
        <f t="shared" si="641"/>
        <v>SMU</v>
      </c>
      <c r="AI984" s="1" t="str">
        <f t="shared" si="661"/>
        <v>F11</v>
      </c>
      <c r="AJ984" s="1" t="str">
        <f t="shared" si="663"/>
        <v>MAN</v>
      </c>
      <c r="AK984" s="1" t="str">
        <f t="shared" si="655"/>
        <v>PA</v>
      </c>
      <c r="AP984" s="1" t="str">
        <f t="shared" si="656"/>
        <v>False</v>
      </c>
      <c r="AR984" s="1" t="str">
        <f t="shared" si="664"/>
        <v>GYNN</v>
      </c>
      <c r="AY984" s="1" t="str">
        <f t="shared" si="657"/>
        <v>PF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 t="str">
        <f t="shared" si="662"/>
        <v>MMA+CANVAS</v>
      </c>
      <c r="BF984" s="1" t="str">
        <f t="shared" si="658"/>
        <v>Bonis SpA</v>
      </c>
    </row>
    <row r="985" spans="2:58" x14ac:dyDescent="0.25">
      <c r="B985" s="1">
        <v>2458</v>
      </c>
      <c r="C985" s="1" t="str">
        <f>"GYNN4238S7/T1"</f>
        <v>GYNN4238S7/T1</v>
      </c>
      <c r="E985" s="1" t="str">
        <f>"41"</f>
        <v>41</v>
      </c>
      <c r="F985" s="1" t="str">
        <f t="shared" si="647"/>
        <v>BONIS SPA</v>
      </c>
      <c r="G985" s="1" t="str">
        <f t="shared" si="635"/>
        <v>STOCK SCAFFALE MP</v>
      </c>
      <c r="H985" s="1" t="str">
        <f>"DKBL"</f>
        <v>DKBL</v>
      </c>
      <c r="K985" s="1">
        <v>4</v>
      </c>
      <c r="L985" s="1" t="str">
        <f t="shared" si="648"/>
        <v>01</v>
      </c>
      <c r="M985" s="1" t="str">
        <f t="shared" si="636"/>
        <v>408</v>
      </c>
      <c r="N985" s="1" t="str">
        <f t="shared" si="640"/>
        <v>001</v>
      </c>
      <c r="O985" s="1" t="str">
        <f t="shared" si="649"/>
        <v>00</v>
      </c>
      <c r="P985" s="1" t="str">
        <f t="shared" si="650"/>
        <v>S</v>
      </c>
      <c r="Q985" s="1" t="str">
        <f t="shared" si="651"/>
        <v>P</v>
      </c>
      <c r="R985" s="1" t="str">
        <f t="shared" si="652"/>
        <v>01</v>
      </c>
      <c r="S985" s="1" t="str">
        <f t="shared" si="637"/>
        <v>04</v>
      </c>
      <c r="T985" s="1" t="str">
        <f t="shared" si="653"/>
        <v>False</v>
      </c>
      <c r="U985" s="1" t="str">
        <f t="shared" si="654"/>
        <v>True</v>
      </c>
      <c r="V985" s="1" t="str">
        <f>"U0032644"</f>
        <v>U0032644</v>
      </c>
      <c r="W985" s="1">
        <v>1</v>
      </c>
      <c r="Y985" s="1">
        <v>0</v>
      </c>
      <c r="Z985" s="1">
        <v>0</v>
      </c>
      <c r="AB985" s="1" t="str">
        <f t="shared" si="641"/>
        <v>SMU</v>
      </c>
      <c r="AI985" s="1" t="str">
        <f>"F06"</f>
        <v>F06</v>
      </c>
      <c r="AJ985" s="1" t="str">
        <f t="shared" si="663"/>
        <v>MAN</v>
      </c>
      <c r="AK985" s="1" t="str">
        <f t="shared" si="655"/>
        <v>PA</v>
      </c>
      <c r="AP985" s="1" t="str">
        <f t="shared" si="656"/>
        <v>False</v>
      </c>
      <c r="AR985" s="1" t="str">
        <f t="shared" si="664"/>
        <v>GYNN</v>
      </c>
      <c r="AY985" s="1" t="str">
        <f t="shared" si="657"/>
        <v>PF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 t="str">
        <f>"MMA+TEXTILE JEANS"</f>
        <v>MMA+TEXTILE JEANS</v>
      </c>
      <c r="BF985" s="1" t="str">
        <f t="shared" si="658"/>
        <v>Bonis SpA</v>
      </c>
    </row>
    <row r="986" spans="2:58" x14ac:dyDescent="0.25">
      <c r="B986" s="1">
        <v>2458</v>
      </c>
      <c r="C986" s="1" t="str">
        <f>"GYNN4238S7/T1"</f>
        <v>GYNN4238S7/T1</v>
      </c>
      <c r="E986" s="1" t="str">
        <f>"40"</f>
        <v>40</v>
      </c>
      <c r="F986" s="1" t="str">
        <f t="shared" si="647"/>
        <v>BONIS SPA</v>
      </c>
      <c r="G986" s="1" t="str">
        <f t="shared" si="635"/>
        <v>STOCK SCAFFALE MP</v>
      </c>
      <c r="H986" s="1" t="str">
        <f>"DKBL"</f>
        <v>DKBL</v>
      </c>
      <c r="K986" s="1">
        <v>1</v>
      </c>
      <c r="L986" s="1" t="str">
        <f t="shared" si="648"/>
        <v>01</v>
      </c>
      <c r="M986" s="1" t="str">
        <f t="shared" si="636"/>
        <v>408</v>
      </c>
      <c r="N986" s="1" t="str">
        <f t="shared" si="640"/>
        <v>001</v>
      </c>
      <c r="O986" s="1" t="str">
        <f t="shared" si="649"/>
        <v>00</v>
      </c>
      <c r="P986" s="1" t="str">
        <f t="shared" si="650"/>
        <v>S</v>
      </c>
      <c r="Q986" s="1" t="str">
        <f t="shared" si="651"/>
        <v>P</v>
      </c>
      <c r="R986" s="1" t="str">
        <f t="shared" si="652"/>
        <v>01</v>
      </c>
      <c r="S986" s="1" t="str">
        <f t="shared" si="637"/>
        <v>04</v>
      </c>
      <c r="T986" s="1" t="str">
        <f t="shared" si="653"/>
        <v>False</v>
      </c>
      <c r="U986" s="1" t="str">
        <f t="shared" si="654"/>
        <v>True</v>
      </c>
      <c r="V986" s="1" t="str">
        <f>"U0032644"</f>
        <v>U0032644</v>
      </c>
      <c r="W986" s="1">
        <v>1</v>
      </c>
      <c r="Y986" s="1">
        <v>0</v>
      </c>
      <c r="Z986" s="1">
        <v>0</v>
      </c>
      <c r="AB986" s="1" t="str">
        <f t="shared" si="641"/>
        <v>SMU</v>
      </c>
      <c r="AI986" s="1" t="str">
        <f t="shared" ref="AI986:AI993" si="665">"F11"</f>
        <v>F11</v>
      </c>
      <c r="AJ986" s="1" t="str">
        <f t="shared" si="663"/>
        <v>MAN</v>
      </c>
      <c r="AK986" s="1" t="str">
        <f t="shared" si="655"/>
        <v>PA</v>
      </c>
      <c r="AP986" s="1" t="str">
        <f t="shared" si="656"/>
        <v>False</v>
      </c>
      <c r="AR986" s="1" t="str">
        <f t="shared" si="664"/>
        <v>GYNN</v>
      </c>
      <c r="AY986" s="1" t="str">
        <f t="shared" si="657"/>
        <v>PF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 t="str">
        <f>"MMA+TEXTILE JEANS"</f>
        <v>MMA+TEXTILE JEANS</v>
      </c>
      <c r="BF986" s="1" t="str">
        <f t="shared" si="658"/>
        <v>Bonis SpA</v>
      </c>
    </row>
    <row r="987" spans="2:58" x14ac:dyDescent="0.25">
      <c r="B987" s="1">
        <v>2458</v>
      </c>
      <c r="C987" s="1" t="str">
        <f>"GYNN4238S7/T1"</f>
        <v>GYNN4238S7/T1</v>
      </c>
      <c r="E987" s="1" t="str">
        <f>"42"</f>
        <v>42</v>
      </c>
      <c r="F987" s="1" t="str">
        <f t="shared" si="647"/>
        <v>BONIS SPA</v>
      </c>
      <c r="G987" s="1" t="str">
        <f t="shared" si="635"/>
        <v>STOCK SCAFFALE MP</v>
      </c>
      <c r="H987" s="1" t="str">
        <f>"DKBL"</f>
        <v>DKBL</v>
      </c>
      <c r="K987" s="1">
        <v>4</v>
      </c>
      <c r="L987" s="1" t="str">
        <f t="shared" si="648"/>
        <v>01</v>
      </c>
      <c r="M987" s="1" t="str">
        <f t="shared" si="636"/>
        <v>408</v>
      </c>
      <c r="N987" s="1" t="str">
        <f t="shared" si="640"/>
        <v>001</v>
      </c>
      <c r="O987" s="1" t="str">
        <f t="shared" si="649"/>
        <v>00</v>
      </c>
      <c r="P987" s="1" t="str">
        <f t="shared" si="650"/>
        <v>S</v>
      </c>
      <c r="Q987" s="1" t="str">
        <f t="shared" si="651"/>
        <v>P</v>
      </c>
      <c r="R987" s="1" t="str">
        <f t="shared" si="652"/>
        <v>01</v>
      </c>
      <c r="S987" s="1" t="str">
        <f t="shared" si="637"/>
        <v>04</v>
      </c>
      <c r="T987" s="1" t="str">
        <f t="shared" si="653"/>
        <v>False</v>
      </c>
      <c r="U987" s="1" t="str">
        <f t="shared" si="654"/>
        <v>True</v>
      </c>
      <c r="V987" s="1" t="str">
        <f>"U0032644"</f>
        <v>U0032644</v>
      </c>
      <c r="W987" s="1">
        <v>1</v>
      </c>
      <c r="Y987" s="1">
        <v>0</v>
      </c>
      <c r="Z987" s="1">
        <v>0</v>
      </c>
      <c r="AB987" s="1" t="str">
        <f t="shared" si="641"/>
        <v>SMU</v>
      </c>
      <c r="AI987" s="1" t="str">
        <f t="shared" si="665"/>
        <v>F11</v>
      </c>
      <c r="AJ987" s="1" t="str">
        <f t="shared" si="663"/>
        <v>MAN</v>
      </c>
      <c r="AK987" s="1" t="str">
        <f t="shared" si="655"/>
        <v>PA</v>
      </c>
      <c r="AP987" s="1" t="str">
        <f t="shared" si="656"/>
        <v>False</v>
      </c>
      <c r="AR987" s="1" t="str">
        <f t="shared" si="664"/>
        <v>GYNN</v>
      </c>
      <c r="AY987" s="1" t="str">
        <f t="shared" si="657"/>
        <v>PF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 t="str">
        <f>"MMA+TEXTILE JEANS"</f>
        <v>MMA+TEXTILE JEANS</v>
      </c>
      <c r="BF987" s="1" t="str">
        <f t="shared" si="658"/>
        <v>Bonis SpA</v>
      </c>
    </row>
    <row r="988" spans="2:58" x14ac:dyDescent="0.25">
      <c r="B988" s="1">
        <v>2458</v>
      </c>
      <c r="C988" s="1" t="str">
        <f>"GYNN4238S7/T1"</f>
        <v>GYNN4238S7/T1</v>
      </c>
      <c r="E988" s="1" t="str">
        <f>"43"</f>
        <v>43</v>
      </c>
      <c r="F988" s="1" t="str">
        <f t="shared" si="647"/>
        <v>BONIS SPA</v>
      </c>
      <c r="G988" s="1" t="str">
        <f t="shared" si="635"/>
        <v>STOCK SCAFFALE MP</v>
      </c>
      <c r="H988" s="1" t="str">
        <f>"DKBL"</f>
        <v>DKBL</v>
      </c>
      <c r="K988" s="1">
        <v>3</v>
      </c>
      <c r="L988" s="1" t="str">
        <f t="shared" si="648"/>
        <v>01</v>
      </c>
      <c r="M988" s="1" t="str">
        <f t="shared" si="636"/>
        <v>408</v>
      </c>
      <c r="N988" s="1" t="str">
        <f t="shared" si="640"/>
        <v>001</v>
      </c>
      <c r="O988" s="1" t="str">
        <f t="shared" si="649"/>
        <v>00</v>
      </c>
      <c r="P988" s="1" t="str">
        <f t="shared" si="650"/>
        <v>S</v>
      </c>
      <c r="Q988" s="1" t="str">
        <f t="shared" si="651"/>
        <v>P</v>
      </c>
      <c r="R988" s="1" t="str">
        <f t="shared" si="652"/>
        <v>01</v>
      </c>
      <c r="S988" s="1" t="str">
        <f t="shared" si="637"/>
        <v>04</v>
      </c>
      <c r="T988" s="1" t="str">
        <f t="shared" si="653"/>
        <v>False</v>
      </c>
      <c r="U988" s="1" t="str">
        <f t="shared" si="654"/>
        <v>True</v>
      </c>
      <c r="V988" s="1" t="str">
        <f>"U0032644"</f>
        <v>U0032644</v>
      </c>
      <c r="W988" s="1">
        <v>1</v>
      </c>
      <c r="Y988" s="1">
        <v>0</v>
      </c>
      <c r="Z988" s="1">
        <v>0</v>
      </c>
      <c r="AB988" s="1" t="str">
        <f t="shared" si="641"/>
        <v>SMU</v>
      </c>
      <c r="AI988" s="1" t="str">
        <f t="shared" si="665"/>
        <v>F11</v>
      </c>
      <c r="AJ988" s="1" t="str">
        <f t="shared" si="663"/>
        <v>MAN</v>
      </c>
      <c r="AK988" s="1" t="str">
        <f t="shared" si="655"/>
        <v>PA</v>
      </c>
      <c r="AP988" s="1" t="str">
        <f t="shared" si="656"/>
        <v>False</v>
      </c>
      <c r="AR988" s="1" t="str">
        <f t="shared" si="664"/>
        <v>GYNN</v>
      </c>
      <c r="AY988" s="1" t="str">
        <f t="shared" si="657"/>
        <v>PF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 t="str">
        <f>"MMA+TEXTILE JEANS"</f>
        <v>MMA+TEXTILE JEANS</v>
      </c>
      <c r="BF988" s="1" t="str">
        <f t="shared" si="658"/>
        <v>Bonis SpA</v>
      </c>
    </row>
    <row r="989" spans="2:58" x14ac:dyDescent="0.25">
      <c r="B989" s="1">
        <v>2458</v>
      </c>
      <c r="C989" s="1" t="str">
        <f>"GYNN4238S7/C1"</f>
        <v>GYNN4238S7/C1</v>
      </c>
      <c r="E989" s="1" t="str">
        <f>"43"</f>
        <v>43</v>
      </c>
      <c r="F989" s="1" t="str">
        <f t="shared" si="647"/>
        <v>BONIS SPA</v>
      </c>
      <c r="G989" s="1" t="str">
        <f t="shared" si="635"/>
        <v>STOCK SCAFFALE MP</v>
      </c>
      <c r="H989" s="1" t="str">
        <f t="shared" ref="H989:H995" si="666">"RED"</f>
        <v>RED</v>
      </c>
      <c r="K989" s="1">
        <v>4</v>
      </c>
      <c r="L989" s="1" t="str">
        <f t="shared" si="648"/>
        <v>01</v>
      </c>
      <c r="M989" s="1" t="str">
        <f t="shared" si="636"/>
        <v>408</v>
      </c>
      <c r="N989" s="1" t="str">
        <f t="shared" si="640"/>
        <v>001</v>
      </c>
      <c r="O989" s="1" t="str">
        <f t="shared" si="649"/>
        <v>00</v>
      </c>
      <c r="P989" s="1" t="str">
        <f t="shared" si="650"/>
        <v>S</v>
      </c>
      <c r="Q989" s="1" t="str">
        <f t="shared" si="651"/>
        <v>P</v>
      </c>
      <c r="R989" s="1" t="str">
        <f t="shared" si="652"/>
        <v>01</v>
      </c>
      <c r="S989" s="1" t="str">
        <f t="shared" si="637"/>
        <v>04</v>
      </c>
      <c r="T989" s="1" t="str">
        <f t="shared" si="653"/>
        <v>False</v>
      </c>
      <c r="U989" s="1" t="str">
        <f t="shared" si="654"/>
        <v>True</v>
      </c>
      <c r="V989" s="1" t="str">
        <f>"U0032643"</f>
        <v>U0032643</v>
      </c>
      <c r="W989" s="1">
        <v>1</v>
      </c>
      <c r="Y989" s="1">
        <v>0</v>
      </c>
      <c r="Z989" s="1">
        <v>0</v>
      </c>
      <c r="AB989" s="1" t="str">
        <f t="shared" si="641"/>
        <v>SMU</v>
      </c>
      <c r="AI989" s="1" t="str">
        <f t="shared" si="665"/>
        <v>F11</v>
      </c>
      <c r="AJ989" s="1" t="str">
        <f t="shared" si="663"/>
        <v>MAN</v>
      </c>
      <c r="AK989" s="1" t="str">
        <f t="shared" si="655"/>
        <v>PA</v>
      </c>
      <c r="AP989" s="1" t="str">
        <f t="shared" si="656"/>
        <v>False</v>
      </c>
      <c r="AR989" s="1" t="str">
        <f t="shared" si="664"/>
        <v>GYNN</v>
      </c>
      <c r="AY989" s="1" t="str">
        <f t="shared" si="657"/>
        <v>PF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 t="str">
        <f t="shared" ref="BE989:BE995" si="667">"MMA+CANVAS"</f>
        <v>MMA+CANVAS</v>
      </c>
      <c r="BF989" s="1" t="str">
        <f t="shared" si="658"/>
        <v>Bonis SpA</v>
      </c>
    </row>
    <row r="990" spans="2:58" x14ac:dyDescent="0.25">
      <c r="B990" s="1">
        <v>2458</v>
      </c>
      <c r="C990" s="1" t="str">
        <f>"GYNN4238S7/C1"</f>
        <v>GYNN4238S7/C1</v>
      </c>
      <c r="E990" s="1" t="str">
        <f>"42"</f>
        <v>42</v>
      </c>
      <c r="F990" s="1" t="str">
        <f t="shared" si="647"/>
        <v>BONIS SPA</v>
      </c>
      <c r="G990" s="1" t="str">
        <f t="shared" si="635"/>
        <v>STOCK SCAFFALE MP</v>
      </c>
      <c r="H990" s="1" t="str">
        <f t="shared" si="666"/>
        <v>RED</v>
      </c>
      <c r="K990" s="1">
        <v>3</v>
      </c>
      <c r="L990" s="1" t="str">
        <f t="shared" si="648"/>
        <v>01</v>
      </c>
      <c r="M990" s="1" t="str">
        <f t="shared" si="636"/>
        <v>408</v>
      </c>
      <c r="N990" s="1" t="str">
        <f t="shared" si="640"/>
        <v>001</v>
      </c>
      <c r="O990" s="1" t="str">
        <f t="shared" si="649"/>
        <v>00</v>
      </c>
      <c r="P990" s="1" t="str">
        <f t="shared" si="650"/>
        <v>S</v>
      </c>
      <c r="Q990" s="1" t="str">
        <f t="shared" si="651"/>
        <v>P</v>
      </c>
      <c r="R990" s="1" t="str">
        <f t="shared" si="652"/>
        <v>01</v>
      </c>
      <c r="S990" s="1" t="str">
        <f t="shared" si="637"/>
        <v>04</v>
      </c>
      <c r="T990" s="1" t="str">
        <f t="shared" si="653"/>
        <v>False</v>
      </c>
      <c r="U990" s="1" t="str">
        <f t="shared" si="654"/>
        <v>True</v>
      </c>
      <c r="V990" s="1" t="str">
        <f>"U0032643"</f>
        <v>U0032643</v>
      </c>
      <c r="W990" s="1">
        <v>1</v>
      </c>
      <c r="Y990" s="1">
        <v>0</v>
      </c>
      <c r="Z990" s="1">
        <v>0</v>
      </c>
      <c r="AB990" s="1" t="str">
        <f t="shared" si="641"/>
        <v>SMU</v>
      </c>
      <c r="AI990" s="1" t="str">
        <f t="shared" si="665"/>
        <v>F11</v>
      </c>
      <c r="AJ990" s="1" t="str">
        <f t="shared" si="663"/>
        <v>MAN</v>
      </c>
      <c r="AK990" s="1" t="str">
        <f t="shared" si="655"/>
        <v>PA</v>
      </c>
      <c r="AP990" s="1" t="str">
        <f t="shared" si="656"/>
        <v>False</v>
      </c>
      <c r="AR990" s="1" t="str">
        <f t="shared" si="664"/>
        <v>GYNN</v>
      </c>
      <c r="AY990" s="1" t="str">
        <f t="shared" si="657"/>
        <v>PF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 t="str">
        <f t="shared" si="667"/>
        <v>MMA+CANVAS</v>
      </c>
      <c r="BF990" s="1" t="str">
        <f t="shared" si="658"/>
        <v>Bonis SpA</v>
      </c>
    </row>
    <row r="991" spans="2:58" x14ac:dyDescent="0.25">
      <c r="B991" s="1">
        <v>2458</v>
      </c>
      <c r="C991" s="1" t="str">
        <f>"GYNN4238S7/C1"</f>
        <v>GYNN4238S7/C1</v>
      </c>
      <c r="E991" s="1" t="str">
        <f>"40"</f>
        <v>40</v>
      </c>
      <c r="F991" s="1" t="str">
        <f t="shared" si="647"/>
        <v>BONIS SPA</v>
      </c>
      <c r="G991" s="1" t="str">
        <f t="shared" si="635"/>
        <v>STOCK SCAFFALE MP</v>
      </c>
      <c r="H991" s="1" t="str">
        <f t="shared" si="666"/>
        <v>RED</v>
      </c>
      <c r="K991" s="1">
        <v>1</v>
      </c>
      <c r="L991" s="1" t="str">
        <f t="shared" si="648"/>
        <v>01</v>
      </c>
      <c r="M991" s="1" t="str">
        <f t="shared" si="636"/>
        <v>408</v>
      </c>
      <c r="N991" s="1" t="str">
        <f t="shared" si="640"/>
        <v>001</v>
      </c>
      <c r="O991" s="1" t="str">
        <f t="shared" si="649"/>
        <v>00</v>
      </c>
      <c r="P991" s="1" t="str">
        <f t="shared" si="650"/>
        <v>S</v>
      </c>
      <c r="Q991" s="1" t="str">
        <f t="shared" si="651"/>
        <v>P</v>
      </c>
      <c r="R991" s="1" t="str">
        <f t="shared" si="652"/>
        <v>01</v>
      </c>
      <c r="S991" s="1" t="str">
        <f t="shared" si="637"/>
        <v>04</v>
      </c>
      <c r="T991" s="1" t="str">
        <f t="shared" si="653"/>
        <v>False</v>
      </c>
      <c r="U991" s="1" t="str">
        <f t="shared" si="654"/>
        <v>True</v>
      </c>
      <c r="V991" s="1" t="str">
        <f>"U0032643"</f>
        <v>U0032643</v>
      </c>
      <c r="W991" s="1">
        <v>1</v>
      </c>
      <c r="Y991" s="1">
        <v>0</v>
      </c>
      <c r="Z991" s="1">
        <v>0</v>
      </c>
      <c r="AB991" s="1" t="str">
        <f t="shared" si="641"/>
        <v>SMU</v>
      </c>
      <c r="AI991" s="1" t="str">
        <f t="shared" si="665"/>
        <v>F11</v>
      </c>
      <c r="AJ991" s="1" t="str">
        <f t="shared" si="663"/>
        <v>MAN</v>
      </c>
      <c r="AK991" s="1" t="str">
        <f t="shared" si="655"/>
        <v>PA</v>
      </c>
      <c r="AP991" s="1" t="str">
        <f t="shared" si="656"/>
        <v>False</v>
      </c>
      <c r="AR991" s="1" t="str">
        <f t="shared" si="664"/>
        <v>GYNN</v>
      </c>
      <c r="AY991" s="1" t="str">
        <f t="shared" si="657"/>
        <v>PF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 t="str">
        <f t="shared" si="667"/>
        <v>MMA+CANVAS</v>
      </c>
      <c r="BF991" s="1" t="str">
        <f t="shared" si="658"/>
        <v>Bonis SpA</v>
      </c>
    </row>
    <row r="992" spans="2:58" x14ac:dyDescent="0.25">
      <c r="B992" s="1">
        <v>2458</v>
      </c>
      <c r="C992" s="1" t="str">
        <f>"GYNN4238S7/C1"</f>
        <v>GYNN4238S7/C1</v>
      </c>
      <c r="E992" s="1" t="str">
        <f>"41"</f>
        <v>41</v>
      </c>
      <c r="F992" s="1" t="str">
        <f t="shared" si="647"/>
        <v>BONIS SPA</v>
      </c>
      <c r="G992" s="1" t="str">
        <f t="shared" si="635"/>
        <v>STOCK SCAFFALE MP</v>
      </c>
      <c r="H992" s="1" t="str">
        <f t="shared" si="666"/>
        <v>RED</v>
      </c>
      <c r="K992" s="1">
        <v>2</v>
      </c>
      <c r="L992" s="1" t="str">
        <f t="shared" si="648"/>
        <v>01</v>
      </c>
      <c r="M992" s="1" t="str">
        <f t="shared" si="636"/>
        <v>408</v>
      </c>
      <c r="N992" s="1" t="str">
        <f t="shared" si="640"/>
        <v>001</v>
      </c>
      <c r="O992" s="1" t="str">
        <f t="shared" si="649"/>
        <v>00</v>
      </c>
      <c r="P992" s="1" t="str">
        <f t="shared" si="650"/>
        <v>S</v>
      </c>
      <c r="Q992" s="1" t="str">
        <f t="shared" si="651"/>
        <v>P</v>
      </c>
      <c r="R992" s="1" t="str">
        <f t="shared" si="652"/>
        <v>01</v>
      </c>
      <c r="S992" s="1" t="str">
        <f t="shared" si="637"/>
        <v>04</v>
      </c>
      <c r="T992" s="1" t="str">
        <f t="shared" si="653"/>
        <v>False</v>
      </c>
      <c r="U992" s="1" t="str">
        <f t="shared" si="654"/>
        <v>True</v>
      </c>
      <c r="V992" s="1" t="str">
        <f>"U0032643"</f>
        <v>U0032643</v>
      </c>
      <c r="W992" s="1">
        <v>1</v>
      </c>
      <c r="Y992" s="1">
        <v>0</v>
      </c>
      <c r="Z992" s="1">
        <v>0</v>
      </c>
      <c r="AB992" s="1" t="str">
        <f t="shared" si="641"/>
        <v>SMU</v>
      </c>
      <c r="AI992" s="1" t="str">
        <f t="shared" si="665"/>
        <v>F11</v>
      </c>
      <c r="AJ992" s="1" t="str">
        <f t="shared" si="663"/>
        <v>MAN</v>
      </c>
      <c r="AK992" s="1" t="str">
        <f t="shared" si="655"/>
        <v>PA</v>
      </c>
      <c r="AP992" s="1" t="str">
        <f t="shared" si="656"/>
        <v>False</v>
      </c>
      <c r="AR992" s="1" t="str">
        <f t="shared" si="664"/>
        <v>GYNN</v>
      </c>
      <c r="AY992" s="1" t="str">
        <f t="shared" si="657"/>
        <v>PF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 t="str">
        <f t="shared" si="667"/>
        <v>MMA+CANVAS</v>
      </c>
      <c r="BF992" s="1" t="str">
        <f t="shared" si="658"/>
        <v>Bonis SpA</v>
      </c>
    </row>
    <row r="993" spans="2:58" x14ac:dyDescent="0.25">
      <c r="B993" s="1">
        <v>2458</v>
      </c>
      <c r="C993" s="1" t="str">
        <f>"GYNN4238S7/C1"</f>
        <v>GYNN4238S7/C1</v>
      </c>
      <c r="E993" s="1" t="str">
        <f>"44"</f>
        <v>44</v>
      </c>
      <c r="F993" s="1" t="str">
        <f t="shared" si="647"/>
        <v>BONIS SPA</v>
      </c>
      <c r="G993" s="1" t="str">
        <f t="shared" si="635"/>
        <v>STOCK SCAFFALE MP</v>
      </c>
      <c r="H993" s="1" t="str">
        <f t="shared" si="666"/>
        <v>RED</v>
      </c>
      <c r="K993" s="1">
        <v>2</v>
      </c>
      <c r="L993" s="1" t="str">
        <f t="shared" si="648"/>
        <v>01</v>
      </c>
      <c r="M993" s="1" t="str">
        <f t="shared" si="636"/>
        <v>408</v>
      </c>
      <c r="N993" s="1" t="str">
        <f t="shared" si="640"/>
        <v>001</v>
      </c>
      <c r="O993" s="1" t="str">
        <f t="shared" si="649"/>
        <v>00</v>
      </c>
      <c r="P993" s="1" t="str">
        <f t="shared" si="650"/>
        <v>S</v>
      </c>
      <c r="Q993" s="1" t="str">
        <f t="shared" si="651"/>
        <v>P</v>
      </c>
      <c r="R993" s="1" t="str">
        <f t="shared" si="652"/>
        <v>01</v>
      </c>
      <c r="S993" s="1" t="str">
        <f t="shared" si="637"/>
        <v>04</v>
      </c>
      <c r="T993" s="1" t="str">
        <f t="shared" si="653"/>
        <v>False</v>
      </c>
      <c r="U993" s="1" t="str">
        <f t="shared" si="654"/>
        <v>True</v>
      </c>
      <c r="V993" s="1" t="str">
        <f>"U0032643"</f>
        <v>U0032643</v>
      </c>
      <c r="W993" s="1">
        <v>1</v>
      </c>
      <c r="Y993" s="1">
        <v>0</v>
      </c>
      <c r="Z993" s="1">
        <v>0</v>
      </c>
      <c r="AB993" s="1" t="str">
        <f t="shared" si="641"/>
        <v>SMU</v>
      </c>
      <c r="AI993" s="1" t="str">
        <f t="shared" si="665"/>
        <v>F11</v>
      </c>
      <c r="AJ993" s="1" t="str">
        <f t="shared" si="663"/>
        <v>MAN</v>
      </c>
      <c r="AK993" s="1" t="str">
        <f t="shared" si="655"/>
        <v>PA</v>
      </c>
      <c r="AP993" s="1" t="str">
        <f t="shared" si="656"/>
        <v>False</v>
      </c>
      <c r="AR993" s="1" t="str">
        <f t="shared" si="664"/>
        <v>GYNN</v>
      </c>
      <c r="AY993" s="1" t="str">
        <f t="shared" si="657"/>
        <v>PF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 t="str">
        <f t="shared" si="667"/>
        <v>MMA+CANVAS</v>
      </c>
      <c r="BF993" s="1" t="str">
        <f t="shared" si="658"/>
        <v>Bonis SpA</v>
      </c>
    </row>
    <row r="994" spans="2:58" x14ac:dyDescent="0.25">
      <c r="B994" s="1">
        <v>2464</v>
      </c>
      <c r="C994" s="1" t="str">
        <f>"GYNN4239S7/C1"</f>
        <v>GYNN4239S7/C1</v>
      </c>
      <c r="E994" s="1" t="str">
        <f>"43"</f>
        <v>43</v>
      </c>
      <c r="F994" s="1" t="str">
        <f t="shared" si="647"/>
        <v>BONIS SPA</v>
      </c>
      <c r="G994" s="1" t="str">
        <f t="shared" si="635"/>
        <v>STOCK SCAFFALE MP</v>
      </c>
      <c r="H994" s="1" t="str">
        <f t="shared" si="666"/>
        <v>RED</v>
      </c>
      <c r="K994" s="1">
        <v>3</v>
      </c>
      <c r="L994" s="1" t="str">
        <f t="shared" si="648"/>
        <v>01</v>
      </c>
      <c r="M994" s="1" t="str">
        <f t="shared" si="636"/>
        <v>408</v>
      </c>
      <c r="N994" s="1" t="str">
        <f>"003"</f>
        <v>003</v>
      </c>
      <c r="O994" s="1" t="str">
        <f t="shared" si="649"/>
        <v>00</v>
      </c>
      <c r="P994" s="1" t="str">
        <f t="shared" si="650"/>
        <v>S</v>
      </c>
      <c r="Q994" s="1" t="str">
        <f t="shared" si="651"/>
        <v>P</v>
      </c>
      <c r="R994" s="1" t="str">
        <f t="shared" si="652"/>
        <v>01</v>
      </c>
      <c r="S994" s="1" t="str">
        <f t="shared" si="637"/>
        <v>04</v>
      </c>
      <c r="T994" s="1" t="str">
        <f t="shared" si="653"/>
        <v>False</v>
      </c>
      <c r="U994" s="1" t="str">
        <f t="shared" si="654"/>
        <v>True</v>
      </c>
      <c r="V994" s="1" t="str">
        <f>"U0033324"</f>
        <v>U0033324</v>
      </c>
      <c r="W994" s="1">
        <v>1</v>
      </c>
      <c r="Y994" s="1">
        <v>0</v>
      </c>
      <c r="Z994" s="1">
        <v>0</v>
      </c>
      <c r="AB994" s="1" t="str">
        <f t="shared" si="641"/>
        <v>SMU</v>
      </c>
      <c r="AI994" s="1" t="str">
        <f>"106"</f>
        <v>106</v>
      </c>
      <c r="AJ994" s="1" t="str">
        <f t="shared" si="663"/>
        <v>MAN</v>
      </c>
      <c r="AK994" s="1" t="str">
        <f t="shared" si="655"/>
        <v>PA</v>
      </c>
      <c r="AP994" s="1" t="str">
        <f t="shared" si="656"/>
        <v>False</v>
      </c>
      <c r="AR994" s="1" t="str">
        <f t="shared" si="664"/>
        <v>GYNN</v>
      </c>
      <c r="AY994" s="1" t="str">
        <f t="shared" si="657"/>
        <v>PF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 t="str">
        <f t="shared" si="667"/>
        <v>MMA+CANVAS</v>
      </c>
      <c r="BF994" s="1" t="str">
        <f t="shared" si="658"/>
        <v>Bonis SpA</v>
      </c>
    </row>
    <row r="995" spans="2:58" x14ac:dyDescent="0.25">
      <c r="B995" s="1">
        <v>2464</v>
      </c>
      <c r="C995" s="1" t="str">
        <f>"GYNN4239S7/C1"</f>
        <v>GYNN4239S7/C1</v>
      </c>
      <c r="E995" s="1" t="str">
        <f>"42"</f>
        <v>42</v>
      </c>
      <c r="F995" s="1" t="str">
        <f t="shared" si="647"/>
        <v>BONIS SPA</v>
      </c>
      <c r="G995" s="1" t="str">
        <f t="shared" si="635"/>
        <v>STOCK SCAFFALE MP</v>
      </c>
      <c r="H995" s="1" t="str">
        <f t="shared" si="666"/>
        <v>RED</v>
      </c>
      <c r="K995" s="1">
        <v>1</v>
      </c>
      <c r="L995" s="1" t="str">
        <f t="shared" si="648"/>
        <v>01</v>
      </c>
      <c r="M995" s="1" t="str">
        <f t="shared" si="636"/>
        <v>408</v>
      </c>
      <c r="N995" s="1" t="str">
        <f>"003"</f>
        <v>003</v>
      </c>
      <c r="O995" s="1" t="str">
        <f t="shared" si="649"/>
        <v>00</v>
      </c>
      <c r="P995" s="1" t="str">
        <f t="shared" si="650"/>
        <v>S</v>
      </c>
      <c r="Q995" s="1" t="str">
        <f t="shared" si="651"/>
        <v>P</v>
      </c>
      <c r="R995" s="1" t="str">
        <f t="shared" si="652"/>
        <v>01</v>
      </c>
      <c r="S995" s="1" t="str">
        <f t="shared" si="637"/>
        <v>04</v>
      </c>
      <c r="T995" s="1" t="str">
        <f t="shared" si="653"/>
        <v>False</v>
      </c>
      <c r="U995" s="1" t="str">
        <f t="shared" si="654"/>
        <v>True</v>
      </c>
      <c r="V995" s="1" t="str">
        <f>"U0033313"</f>
        <v>U0033313</v>
      </c>
      <c r="W995" s="1">
        <v>1</v>
      </c>
      <c r="Y995" s="1">
        <v>0</v>
      </c>
      <c r="Z995" s="1">
        <v>0</v>
      </c>
      <c r="AB995" s="1" t="str">
        <f t="shared" si="641"/>
        <v>SMU</v>
      </c>
      <c r="AI995" s="1" t="str">
        <f>"106"</f>
        <v>106</v>
      </c>
      <c r="AJ995" s="1" t="str">
        <f t="shared" si="663"/>
        <v>MAN</v>
      </c>
      <c r="AK995" s="1" t="str">
        <f t="shared" si="655"/>
        <v>PA</v>
      </c>
      <c r="AP995" s="1" t="str">
        <f t="shared" si="656"/>
        <v>False</v>
      </c>
      <c r="AR995" s="1" t="str">
        <f t="shared" si="664"/>
        <v>GYNN</v>
      </c>
      <c r="AY995" s="1" t="str">
        <f t="shared" si="657"/>
        <v>PF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 t="str">
        <f t="shared" si="667"/>
        <v>MMA+CANVAS</v>
      </c>
      <c r="BF995" s="1" t="str">
        <f t="shared" si="658"/>
        <v>Bonis SpA</v>
      </c>
    </row>
    <row r="996" spans="2:58" x14ac:dyDescent="0.25">
      <c r="B996" s="1">
        <v>2458</v>
      </c>
      <c r="C996" s="1" t="str">
        <f t="shared" ref="C996:C1002" si="668">"GYNN4238S7/T1"</f>
        <v>GYNN4238S7/T1</v>
      </c>
      <c r="E996" s="1" t="str">
        <f>"41"</f>
        <v>41</v>
      </c>
      <c r="F996" s="1" t="str">
        <f t="shared" si="647"/>
        <v>BONIS SPA</v>
      </c>
      <c r="G996" s="1" t="str">
        <f t="shared" si="635"/>
        <v>STOCK SCAFFALE MP</v>
      </c>
      <c r="H996" s="1" t="str">
        <f t="shared" ref="H996:H1002" si="669">"DKBL"</f>
        <v>DKBL</v>
      </c>
      <c r="K996" s="1">
        <v>2</v>
      </c>
      <c r="L996" s="1" t="str">
        <f t="shared" si="648"/>
        <v>01</v>
      </c>
      <c r="M996" s="1" t="str">
        <f t="shared" si="636"/>
        <v>408</v>
      </c>
      <c r="N996" s="1" t="str">
        <f t="shared" ref="N996:N1016" si="670">"001"</f>
        <v>001</v>
      </c>
      <c r="O996" s="1" t="str">
        <f t="shared" si="649"/>
        <v>00</v>
      </c>
      <c r="P996" s="1" t="str">
        <f t="shared" si="650"/>
        <v>S</v>
      </c>
      <c r="Q996" s="1" t="str">
        <f t="shared" si="651"/>
        <v>P</v>
      </c>
      <c r="R996" s="1" t="str">
        <f t="shared" si="652"/>
        <v>01</v>
      </c>
      <c r="S996" s="1" t="str">
        <f t="shared" si="637"/>
        <v>04</v>
      </c>
      <c r="T996" s="1" t="str">
        <f t="shared" si="653"/>
        <v>False</v>
      </c>
      <c r="U996" s="1" t="str">
        <f t="shared" si="654"/>
        <v>True</v>
      </c>
      <c r="V996" s="1" t="str">
        <f>"U0032640"</f>
        <v>U0032640</v>
      </c>
      <c r="W996" s="1">
        <v>1</v>
      </c>
      <c r="Y996" s="1">
        <v>0</v>
      </c>
      <c r="Z996" s="1">
        <v>0</v>
      </c>
      <c r="AB996" s="1" t="str">
        <f t="shared" si="641"/>
        <v>SMU</v>
      </c>
      <c r="AI996" s="1" t="str">
        <f t="shared" ref="AI996:AI1006" si="671">"F11"</f>
        <v>F11</v>
      </c>
      <c r="AJ996" s="1" t="str">
        <f t="shared" si="663"/>
        <v>MAN</v>
      </c>
      <c r="AK996" s="1" t="str">
        <f t="shared" si="655"/>
        <v>PA</v>
      </c>
      <c r="AP996" s="1" t="str">
        <f t="shared" si="656"/>
        <v>False</v>
      </c>
      <c r="AR996" s="1" t="str">
        <f t="shared" si="664"/>
        <v>GYNN</v>
      </c>
      <c r="AY996" s="1" t="str">
        <f t="shared" si="657"/>
        <v>PF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 t="str">
        <f t="shared" ref="BE996:BE1002" si="672">"MMA+TEXTILE JEANS"</f>
        <v>MMA+TEXTILE JEANS</v>
      </c>
      <c r="BF996" s="1" t="str">
        <f t="shared" si="658"/>
        <v>Bonis SpA</v>
      </c>
    </row>
    <row r="997" spans="2:58" x14ac:dyDescent="0.25">
      <c r="B997" s="1">
        <v>2458</v>
      </c>
      <c r="C997" s="1" t="str">
        <f t="shared" si="668"/>
        <v>GYNN4238S7/T1</v>
      </c>
      <c r="E997" s="1" t="str">
        <f>"44"</f>
        <v>44</v>
      </c>
      <c r="F997" s="1" t="str">
        <f t="shared" si="647"/>
        <v>BONIS SPA</v>
      </c>
      <c r="G997" s="1" t="str">
        <f t="shared" si="635"/>
        <v>STOCK SCAFFALE MP</v>
      </c>
      <c r="H997" s="1" t="str">
        <f t="shared" si="669"/>
        <v>DKBL</v>
      </c>
      <c r="K997" s="1">
        <v>2</v>
      </c>
      <c r="L997" s="1" t="str">
        <f t="shared" si="648"/>
        <v>01</v>
      </c>
      <c r="M997" s="1" t="str">
        <f t="shared" si="636"/>
        <v>408</v>
      </c>
      <c r="N997" s="1" t="str">
        <f t="shared" si="670"/>
        <v>001</v>
      </c>
      <c r="O997" s="1" t="str">
        <f t="shared" si="649"/>
        <v>00</v>
      </c>
      <c r="P997" s="1" t="str">
        <f t="shared" si="650"/>
        <v>S</v>
      </c>
      <c r="Q997" s="1" t="str">
        <f t="shared" si="651"/>
        <v>P</v>
      </c>
      <c r="R997" s="1" t="str">
        <f t="shared" si="652"/>
        <v>01</v>
      </c>
      <c r="S997" s="1" t="str">
        <f t="shared" si="637"/>
        <v>04</v>
      </c>
      <c r="T997" s="1" t="str">
        <f t="shared" si="653"/>
        <v>False</v>
      </c>
      <c r="U997" s="1" t="str">
        <f t="shared" si="654"/>
        <v>True</v>
      </c>
      <c r="V997" s="1" t="str">
        <f>"U0032640"</f>
        <v>U0032640</v>
      </c>
      <c r="W997" s="1">
        <v>1</v>
      </c>
      <c r="Y997" s="1">
        <v>0</v>
      </c>
      <c r="Z997" s="1">
        <v>0</v>
      </c>
      <c r="AB997" s="1" t="str">
        <f t="shared" si="641"/>
        <v>SMU</v>
      </c>
      <c r="AI997" s="1" t="str">
        <f t="shared" si="671"/>
        <v>F11</v>
      </c>
      <c r="AJ997" s="1" t="str">
        <f t="shared" si="663"/>
        <v>MAN</v>
      </c>
      <c r="AK997" s="1" t="str">
        <f t="shared" si="655"/>
        <v>PA</v>
      </c>
      <c r="AP997" s="1" t="str">
        <f t="shared" si="656"/>
        <v>False</v>
      </c>
      <c r="AR997" s="1" t="str">
        <f t="shared" si="664"/>
        <v>GYNN</v>
      </c>
      <c r="AY997" s="1" t="str">
        <f t="shared" si="657"/>
        <v>PF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 t="str">
        <f t="shared" si="672"/>
        <v>MMA+TEXTILE JEANS</v>
      </c>
      <c r="BF997" s="1" t="str">
        <f t="shared" si="658"/>
        <v>Bonis SpA</v>
      </c>
    </row>
    <row r="998" spans="2:58" x14ac:dyDescent="0.25">
      <c r="B998" s="1">
        <v>2458</v>
      </c>
      <c r="C998" s="1" t="str">
        <f t="shared" si="668"/>
        <v>GYNN4238S7/T1</v>
      </c>
      <c r="E998" s="1" t="str">
        <f>"42"</f>
        <v>42</v>
      </c>
      <c r="F998" s="1" t="str">
        <f t="shared" si="647"/>
        <v>BONIS SPA</v>
      </c>
      <c r="G998" s="1" t="str">
        <f t="shared" si="635"/>
        <v>STOCK SCAFFALE MP</v>
      </c>
      <c r="H998" s="1" t="str">
        <f t="shared" si="669"/>
        <v>DKBL</v>
      </c>
      <c r="K998" s="1">
        <v>4</v>
      </c>
      <c r="L998" s="1" t="str">
        <f t="shared" si="648"/>
        <v>01</v>
      </c>
      <c r="M998" s="1" t="str">
        <f t="shared" si="636"/>
        <v>408</v>
      </c>
      <c r="N998" s="1" t="str">
        <f t="shared" si="670"/>
        <v>001</v>
      </c>
      <c r="O998" s="1" t="str">
        <f t="shared" si="649"/>
        <v>00</v>
      </c>
      <c r="P998" s="1" t="str">
        <f t="shared" si="650"/>
        <v>S</v>
      </c>
      <c r="Q998" s="1" t="str">
        <f t="shared" si="651"/>
        <v>P</v>
      </c>
      <c r="R998" s="1" t="str">
        <f t="shared" si="652"/>
        <v>01</v>
      </c>
      <c r="S998" s="1" t="str">
        <f t="shared" si="637"/>
        <v>04</v>
      </c>
      <c r="T998" s="1" t="str">
        <f t="shared" si="653"/>
        <v>False</v>
      </c>
      <c r="U998" s="1" t="str">
        <f t="shared" si="654"/>
        <v>True</v>
      </c>
      <c r="V998" s="1" t="str">
        <f>"U0032640"</f>
        <v>U0032640</v>
      </c>
      <c r="W998" s="1">
        <v>1</v>
      </c>
      <c r="Y998" s="1">
        <v>0</v>
      </c>
      <c r="Z998" s="1">
        <v>0</v>
      </c>
      <c r="AB998" s="1" t="str">
        <f t="shared" si="641"/>
        <v>SMU</v>
      </c>
      <c r="AI998" s="1" t="str">
        <f t="shared" si="671"/>
        <v>F11</v>
      </c>
      <c r="AJ998" s="1" t="str">
        <f t="shared" si="663"/>
        <v>MAN</v>
      </c>
      <c r="AK998" s="1" t="str">
        <f t="shared" si="655"/>
        <v>PA</v>
      </c>
      <c r="AP998" s="1" t="str">
        <f t="shared" si="656"/>
        <v>False</v>
      </c>
      <c r="AR998" s="1" t="str">
        <f t="shared" si="664"/>
        <v>GYNN</v>
      </c>
      <c r="AY998" s="1" t="str">
        <f t="shared" si="657"/>
        <v>PF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 t="str">
        <f t="shared" si="672"/>
        <v>MMA+TEXTILE JEANS</v>
      </c>
      <c r="BF998" s="1" t="str">
        <f t="shared" si="658"/>
        <v>Bonis SpA</v>
      </c>
    </row>
    <row r="999" spans="2:58" x14ac:dyDescent="0.25">
      <c r="B999" s="1">
        <v>2458</v>
      </c>
      <c r="C999" s="1" t="str">
        <f t="shared" si="668"/>
        <v>GYNN4238S7/T1</v>
      </c>
      <c r="E999" s="1" t="str">
        <f>"40"</f>
        <v>40</v>
      </c>
      <c r="F999" s="1" t="str">
        <f t="shared" si="647"/>
        <v>BONIS SPA</v>
      </c>
      <c r="G999" s="1" t="str">
        <f t="shared" si="635"/>
        <v>STOCK SCAFFALE MP</v>
      </c>
      <c r="H999" s="1" t="str">
        <f t="shared" si="669"/>
        <v>DKBL</v>
      </c>
      <c r="K999" s="1">
        <v>1</v>
      </c>
      <c r="L999" s="1" t="str">
        <f t="shared" si="648"/>
        <v>01</v>
      </c>
      <c r="M999" s="1" t="str">
        <f t="shared" si="636"/>
        <v>408</v>
      </c>
      <c r="N999" s="1" t="str">
        <f t="shared" si="670"/>
        <v>001</v>
      </c>
      <c r="O999" s="1" t="str">
        <f t="shared" si="649"/>
        <v>00</v>
      </c>
      <c r="P999" s="1" t="str">
        <f t="shared" si="650"/>
        <v>S</v>
      </c>
      <c r="Q999" s="1" t="str">
        <f t="shared" si="651"/>
        <v>P</v>
      </c>
      <c r="R999" s="1" t="str">
        <f t="shared" si="652"/>
        <v>01</v>
      </c>
      <c r="S999" s="1" t="str">
        <f t="shared" si="637"/>
        <v>04</v>
      </c>
      <c r="T999" s="1" t="str">
        <f t="shared" si="653"/>
        <v>False</v>
      </c>
      <c r="U999" s="1" t="str">
        <f t="shared" si="654"/>
        <v>True</v>
      </c>
      <c r="V999" s="1" t="str">
        <f>"U0032640"</f>
        <v>U0032640</v>
      </c>
      <c r="W999" s="1">
        <v>1</v>
      </c>
      <c r="Y999" s="1">
        <v>0</v>
      </c>
      <c r="Z999" s="1">
        <v>0</v>
      </c>
      <c r="AB999" s="1" t="str">
        <f t="shared" si="641"/>
        <v>SMU</v>
      </c>
      <c r="AI999" s="1" t="str">
        <f t="shared" si="671"/>
        <v>F11</v>
      </c>
      <c r="AJ999" s="1" t="str">
        <f t="shared" si="663"/>
        <v>MAN</v>
      </c>
      <c r="AK999" s="1" t="str">
        <f t="shared" si="655"/>
        <v>PA</v>
      </c>
      <c r="AP999" s="1" t="str">
        <f t="shared" si="656"/>
        <v>False</v>
      </c>
      <c r="AR999" s="1" t="str">
        <f t="shared" si="664"/>
        <v>GYNN</v>
      </c>
      <c r="AY999" s="1" t="str">
        <f t="shared" si="657"/>
        <v>PF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 t="str">
        <f t="shared" si="672"/>
        <v>MMA+TEXTILE JEANS</v>
      </c>
      <c r="BF999" s="1" t="str">
        <f t="shared" si="658"/>
        <v>Bonis SpA</v>
      </c>
    </row>
    <row r="1000" spans="2:58" x14ac:dyDescent="0.25">
      <c r="B1000" s="1">
        <v>2458</v>
      </c>
      <c r="C1000" s="1" t="str">
        <f t="shared" si="668"/>
        <v>GYNN4238S7/T1</v>
      </c>
      <c r="E1000" s="1" t="str">
        <f>"43"</f>
        <v>43</v>
      </c>
      <c r="F1000" s="1" t="str">
        <f t="shared" si="647"/>
        <v>BONIS SPA</v>
      </c>
      <c r="G1000" s="1" t="str">
        <f t="shared" si="635"/>
        <v>STOCK SCAFFALE MP</v>
      </c>
      <c r="H1000" s="1" t="str">
        <f t="shared" si="669"/>
        <v>DKBL</v>
      </c>
      <c r="K1000" s="1">
        <v>3</v>
      </c>
      <c r="L1000" s="1" t="str">
        <f t="shared" si="648"/>
        <v>01</v>
      </c>
      <c r="M1000" s="1" t="str">
        <f t="shared" si="636"/>
        <v>408</v>
      </c>
      <c r="N1000" s="1" t="str">
        <f t="shared" si="670"/>
        <v>001</v>
      </c>
      <c r="O1000" s="1" t="str">
        <f t="shared" si="649"/>
        <v>00</v>
      </c>
      <c r="P1000" s="1" t="str">
        <f t="shared" si="650"/>
        <v>S</v>
      </c>
      <c r="Q1000" s="1" t="str">
        <f t="shared" si="651"/>
        <v>P</v>
      </c>
      <c r="R1000" s="1" t="str">
        <f t="shared" si="652"/>
        <v>01</v>
      </c>
      <c r="S1000" s="1" t="str">
        <f t="shared" si="637"/>
        <v>04</v>
      </c>
      <c r="T1000" s="1" t="str">
        <f t="shared" si="653"/>
        <v>False</v>
      </c>
      <c r="U1000" s="1" t="str">
        <f t="shared" si="654"/>
        <v>True</v>
      </c>
      <c r="V1000" s="1" t="str">
        <f>"U0032640"</f>
        <v>U0032640</v>
      </c>
      <c r="W1000" s="1">
        <v>1</v>
      </c>
      <c r="Y1000" s="1">
        <v>0</v>
      </c>
      <c r="Z1000" s="1">
        <v>0</v>
      </c>
      <c r="AB1000" s="1" t="str">
        <f t="shared" si="641"/>
        <v>SMU</v>
      </c>
      <c r="AI1000" s="1" t="str">
        <f t="shared" si="671"/>
        <v>F11</v>
      </c>
      <c r="AJ1000" s="1" t="str">
        <f t="shared" si="663"/>
        <v>MAN</v>
      </c>
      <c r="AK1000" s="1" t="str">
        <f t="shared" si="655"/>
        <v>PA</v>
      </c>
      <c r="AP1000" s="1" t="str">
        <f t="shared" si="656"/>
        <v>False</v>
      </c>
      <c r="AR1000" s="1" t="str">
        <f t="shared" si="664"/>
        <v>GYNN</v>
      </c>
      <c r="AY1000" s="1" t="str">
        <f t="shared" si="657"/>
        <v>PF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 t="str">
        <f t="shared" si="672"/>
        <v>MMA+TEXTILE JEANS</v>
      </c>
      <c r="BF1000" s="1" t="str">
        <f t="shared" si="658"/>
        <v>Bonis SpA</v>
      </c>
    </row>
    <row r="1001" spans="2:58" x14ac:dyDescent="0.25">
      <c r="B1001" s="1">
        <v>2458</v>
      </c>
      <c r="C1001" s="1" t="str">
        <f t="shared" si="668"/>
        <v>GYNN4238S7/T1</v>
      </c>
      <c r="E1001" s="1" t="str">
        <f>"42"</f>
        <v>42</v>
      </c>
      <c r="F1001" s="1" t="str">
        <f t="shared" si="647"/>
        <v>BONIS SPA</v>
      </c>
      <c r="G1001" s="1" t="str">
        <f t="shared" si="635"/>
        <v>STOCK SCAFFALE MP</v>
      </c>
      <c r="H1001" s="1" t="str">
        <f t="shared" si="669"/>
        <v>DKBL</v>
      </c>
      <c r="K1001" s="1">
        <v>4</v>
      </c>
      <c r="L1001" s="1" t="str">
        <f t="shared" si="648"/>
        <v>01</v>
      </c>
      <c r="M1001" s="1" t="str">
        <f t="shared" si="636"/>
        <v>408</v>
      </c>
      <c r="N1001" s="1" t="str">
        <f t="shared" si="670"/>
        <v>001</v>
      </c>
      <c r="O1001" s="1" t="str">
        <f t="shared" si="649"/>
        <v>00</v>
      </c>
      <c r="P1001" s="1" t="str">
        <f t="shared" si="650"/>
        <v>S</v>
      </c>
      <c r="Q1001" s="1" t="str">
        <f t="shared" si="651"/>
        <v>P</v>
      </c>
      <c r="R1001" s="1" t="str">
        <f t="shared" si="652"/>
        <v>01</v>
      </c>
      <c r="S1001" s="1" t="str">
        <f t="shared" si="637"/>
        <v>04</v>
      </c>
      <c r="T1001" s="1" t="str">
        <f t="shared" si="653"/>
        <v>False</v>
      </c>
      <c r="U1001" s="1" t="str">
        <f t="shared" si="654"/>
        <v>True</v>
      </c>
      <c r="V1001" s="1" t="str">
        <f>"U0032639"</f>
        <v>U0032639</v>
      </c>
      <c r="W1001" s="1">
        <v>1</v>
      </c>
      <c r="Y1001" s="1">
        <v>0</v>
      </c>
      <c r="Z1001" s="1">
        <v>0</v>
      </c>
      <c r="AB1001" s="1" t="str">
        <f t="shared" si="641"/>
        <v>SMU</v>
      </c>
      <c r="AI1001" s="1" t="str">
        <f t="shared" si="671"/>
        <v>F11</v>
      </c>
      <c r="AJ1001" s="1" t="str">
        <f t="shared" si="663"/>
        <v>MAN</v>
      </c>
      <c r="AK1001" s="1" t="str">
        <f t="shared" si="655"/>
        <v>PA</v>
      </c>
      <c r="AP1001" s="1" t="str">
        <f t="shared" si="656"/>
        <v>False</v>
      </c>
      <c r="AR1001" s="1" t="str">
        <f t="shared" si="664"/>
        <v>GYNN</v>
      </c>
      <c r="AY1001" s="1" t="str">
        <f t="shared" si="657"/>
        <v>PF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 t="str">
        <f t="shared" si="672"/>
        <v>MMA+TEXTILE JEANS</v>
      </c>
      <c r="BF1001" s="1" t="str">
        <f t="shared" si="658"/>
        <v>Bonis SpA</v>
      </c>
    </row>
    <row r="1002" spans="2:58" x14ac:dyDescent="0.25">
      <c r="B1002" s="1">
        <v>2458</v>
      </c>
      <c r="C1002" s="1" t="str">
        <f t="shared" si="668"/>
        <v>GYNN4238S7/T1</v>
      </c>
      <c r="E1002" s="1" t="str">
        <f>"43"</f>
        <v>43</v>
      </c>
      <c r="F1002" s="1" t="str">
        <f t="shared" si="647"/>
        <v>BONIS SPA</v>
      </c>
      <c r="G1002" s="1" t="str">
        <f t="shared" si="635"/>
        <v>STOCK SCAFFALE MP</v>
      </c>
      <c r="H1002" s="1" t="str">
        <f t="shared" si="669"/>
        <v>DKBL</v>
      </c>
      <c r="K1002" s="1">
        <v>8</v>
      </c>
      <c r="L1002" s="1" t="str">
        <f t="shared" si="648"/>
        <v>01</v>
      </c>
      <c r="M1002" s="1" t="str">
        <f t="shared" si="636"/>
        <v>408</v>
      </c>
      <c r="N1002" s="1" t="str">
        <f t="shared" si="670"/>
        <v>001</v>
      </c>
      <c r="O1002" s="1" t="str">
        <f t="shared" si="649"/>
        <v>00</v>
      </c>
      <c r="P1002" s="1" t="str">
        <f t="shared" si="650"/>
        <v>S</v>
      </c>
      <c r="Q1002" s="1" t="str">
        <f t="shared" si="651"/>
        <v>P</v>
      </c>
      <c r="R1002" s="1" t="str">
        <f t="shared" si="652"/>
        <v>01</v>
      </c>
      <c r="S1002" s="1" t="str">
        <f t="shared" si="637"/>
        <v>04</v>
      </c>
      <c r="T1002" s="1" t="str">
        <f t="shared" si="653"/>
        <v>False</v>
      </c>
      <c r="U1002" s="1" t="str">
        <f t="shared" si="654"/>
        <v>True</v>
      </c>
      <c r="V1002" s="1" t="str">
        <f>"U0032639"</f>
        <v>U0032639</v>
      </c>
      <c r="W1002" s="1">
        <v>1</v>
      </c>
      <c r="Y1002" s="1">
        <v>0</v>
      </c>
      <c r="Z1002" s="1">
        <v>0</v>
      </c>
      <c r="AB1002" s="1" t="str">
        <f t="shared" si="641"/>
        <v>SMU</v>
      </c>
      <c r="AI1002" s="1" t="str">
        <f t="shared" si="671"/>
        <v>F11</v>
      </c>
      <c r="AJ1002" s="1" t="str">
        <f t="shared" si="663"/>
        <v>MAN</v>
      </c>
      <c r="AK1002" s="1" t="str">
        <f t="shared" si="655"/>
        <v>PA</v>
      </c>
      <c r="AP1002" s="1" t="str">
        <f t="shared" si="656"/>
        <v>False</v>
      </c>
      <c r="AR1002" s="1" t="str">
        <f t="shared" si="664"/>
        <v>GYNN</v>
      </c>
      <c r="AY1002" s="1" t="str">
        <f t="shared" si="657"/>
        <v>PF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 t="str">
        <f t="shared" si="672"/>
        <v>MMA+TEXTILE JEANS</v>
      </c>
      <c r="BF1002" s="1" t="str">
        <f t="shared" si="658"/>
        <v>Bonis SpA</v>
      </c>
    </row>
    <row r="1003" spans="2:58" x14ac:dyDescent="0.25">
      <c r="B1003" s="1">
        <v>2458</v>
      </c>
      <c r="C1003" s="1" t="str">
        <f>"GYNN4238S7/C1"</f>
        <v>GYNN4238S7/C1</v>
      </c>
      <c r="E1003" s="1" t="str">
        <f>"41"</f>
        <v>41</v>
      </c>
      <c r="F1003" s="1" t="str">
        <f t="shared" si="647"/>
        <v>BONIS SPA</v>
      </c>
      <c r="G1003" s="1" t="str">
        <f t="shared" si="635"/>
        <v>STOCK SCAFFALE MP</v>
      </c>
      <c r="H1003" s="1" t="str">
        <f>"GREY"</f>
        <v>GREY</v>
      </c>
      <c r="K1003" s="1">
        <v>4</v>
      </c>
      <c r="L1003" s="1" t="str">
        <f t="shared" si="648"/>
        <v>01</v>
      </c>
      <c r="M1003" s="1" t="str">
        <f t="shared" si="636"/>
        <v>408</v>
      </c>
      <c r="N1003" s="1" t="str">
        <f t="shared" si="670"/>
        <v>001</v>
      </c>
      <c r="O1003" s="1" t="str">
        <f t="shared" si="649"/>
        <v>00</v>
      </c>
      <c r="P1003" s="1" t="str">
        <f t="shared" si="650"/>
        <v>S</v>
      </c>
      <c r="Q1003" s="1" t="str">
        <f t="shared" si="651"/>
        <v>P</v>
      </c>
      <c r="R1003" s="1" t="str">
        <f t="shared" si="652"/>
        <v>01</v>
      </c>
      <c r="S1003" s="1" t="str">
        <f t="shared" si="637"/>
        <v>04</v>
      </c>
      <c r="T1003" s="1" t="str">
        <f t="shared" si="653"/>
        <v>False</v>
      </c>
      <c r="U1003" s="1" t="str">
        <f t="shared" si="654"/>
        <v>True</v>
      </c>
      <c r="V1003" s="1" t="str">
        <f>"U0032638"</f>
        <v>U0032638</v>
      </c>
      <c r="W1003" s="1">
        <v>1</v>
      </c>
      <c r="Y1003" s="1">
        <v>0</v>
      </c>
      <c r="Z1003" s="1">
        <v>0</v>
      </c>
      <c r="AB1003" s="1" t="str">
        <f t="shared" si="641"/>
        <v>SMU</v>
      </c>
      <c r="AI1003" s="1" t="str">
        <f t="shared" si="671"/>
        <v>F11</v>
      </c>
      <c r="AJ1003" s="1" t="str">
        <f t="shared" si="663"/>
        <v>MAN</v>
      </c>
      <c r="AK1003" s="1" t="str">
        <f t="shared" si="655"/>
        <v>PA</v>
      </c>
      <c r="AP1003" s="1" t="str">
        <f t="shared" si="656"/>
        <v>False</v>
      </c>
      <c r="AR1003" s="1" t="str">
        <f t="shared" si="664"/>
        <v>GYNN</v>
      </c>
      <c r="AY1003" s="1" t="str">
        <f t="shared" si="657"/>
        <v>PF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 t="str">
        <f>"MMA+CANVAS"</f>
        <v>MMA+CANVAS</v>
      </c>
      <c r="BF1003" s="1" t="str">
        <f t="shared" si="658"/>
        <v>Bonis SpA</v>
      </c>
    </row>
    <row r="1004" spans="2:58" x14ac:dyDescent="0.25">
      <c r="B1004" s="1">
        <v>2458</v>
      </c>
      <c r="C1004" s="1" t="str">
        <f>"GYNN4238S7/C1"</f>
        <v>GYNN4238S7/C1</v>
      </c>
      <c r="E1004" s="1" t="str">
        <f>"42"</f>
        <v>42</v>
      </c>
      <c r="F1004" s="1" t="str">
        <f t="shared" si="647"/>
        <v>BONIS SPA</v>
      </c>
      <c r="G1004" s="1" t="str">
        <f t="shared" si="635"/>
        <v>STOCK SCAFFALE MP</v>
      </c>
      <c r="H1004" s="1" t="str">
        <f>"GREY"</f>
        <v>GREY</v>
      </c>
      <c r="K1004" s="1">
        <v>4</v>
      </c>
      <c r="L1004" s="1" t="str">
        <f t="shared" si="648"/>
        <v>01</v>
      </c>
      <c r="M1004" s="1" t="str">
        <f t="shared" si="636"/>
        <v>408</v>
      </c>
      <c r="N1004" s="1" t="str">
        <f t="shared" si="670"/>
        <v>001</v>
      </c>
      <c r="O1004" s="1" t="str">
        <f t="shared" si="649"/>
        <v>00</v>
      </c>
      <c r="P1004" s="1" t="str">
        <f t="shared" si="650"/>
        <v>S</v>
      </c>
      <c r="Q1004" s="1" t="str">
        <f t="shared" si="651"/>
        <v>P</v>
      </c>
      <c r="R1004" s="1" t="str">
        <f t="shared" si="652"/>
        <v>01</v>
      </c>
      <c r="S1004" s="1" t="str">
        <f t="shared" si="637"/>
        <v>04</v>
      </c>
      <c r="T1004" s="1" t="str">
        <f t="shared" si="653"/>
        <v>False</v>
      </c>
      <c r="U1004" s="1" t="str">
        <f t="shared" si="654"/>
        <v>True</v>
      </c>
      <c r="V1004" s="1" t="str">
        <f>"U0032638"</f>
        <v>U0032638</v>
      </c>
      <c r="W1004" s="1">
        <v>1</v>
      </c>
      <c r="Y1004" s="1">
        <v>0</v>
      </c>
      <c r="Z1004" s="1">
        <v>0</v>
      </c>
      <c r="AB1004" s="1" t="str">
        <f t="shared" si="641"/>
        <v>SMU</v>
      </c>
      <c r="AI1004" s="1" t="str">
        <f t="shared" si="671"/>
        <v>F11</v>
      </c>
      <c r="AJ1004" s="1" t="str">
        <f t="shared" si="663"/>
        <v>MAN</v>
      </c>
      <c r="AK1004" s="1" t="str">
        <f t="shared" si="655"/>
        <v>PA</v>
      </c>
      <c r="AP1004" s="1" t="str">
        <f t="shared" si="656"/>
        <v>False</v>
      </c>
      <c r="AR1004" s="1" t="str">
        <f t="shared" si="664"/>
        <v>GYNN</v>
      </c>
      <c r="AY1004" s="1" t="str">
        <f t="shared" si="657"/>
        <v>PF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 t="str">
        <f>"MMA+CANVAS"</f>
        <v>MMA+CANVAS</v>
      </c>
      <c r="BF1004" s="1" t="str">
        <f t="shared" si="658"/>
        <v>Bonis SpA</v>
      </c>
    </row>
    <row r="1005" spans="2:58" x14ac:dyDescent="0.25">
      <c r="B1005" s="1">
        <v>2458</v>
      </c>
      <c r="C1005" s="1" t="str">
        <f>"GYNN4238S7/C1"</f>
        <v>GYNN4238S7/C1</v>
      </c>
      <c r="E1005" s="1" t="str">
        <f>"44"</f>
        <v>44</v>
      </c>
      <c r="F1005" s="1" t="str">
        <f t="shared" si="647"/>
        <v>BONIS SPA</v>
      </c>
      <c r="G1005" s="1" t="str">
        <f t="shared" si="635"/>
        <v>STOCK SCAFFALE MP</v>
      </c>
      <c r="H1005" s="1" t="str">
        <f>"GREY"</f>
        <v>GREY</v>
      </c>
      <c r="K1005" s="1">
        <v>4</v>
      </c>
      <c r="L1005" s="1" t="str">
        <f t="shared" si="648"/>
        <v>01</v>
      </c>
      <c r="M1005" s="1" t="str">
        <f t="shared" si="636"/>
        <v>408</v>
      </c>
      <c r="N1005" s="1" t="str">
        <f t="shared" si="670"/>
        <v>001</v>
      </c>
      <c r="O1005" s="1" t="str">
        <f t="shared" si="649"/>
        <v>00</v>
      </c>
      <c r="P1005" s="1" t="str">
        <f t="shared" si="650"/>
        <v>S</v>
      </c>
      <c r="Q1005" s="1" t="str">
        <f t="shared" si="651"/>
        <v>P</v>
      </c>
      <c r="R1005" s="1" t="str">
        <f t="shared" si="652"/>
        <v>01</v>
      </c>
      <c r="S1005" s="1" t="str">
        <f t="shared" si="637"/>
        <v>04</v>
      </c>
      <c r="T1005" s="1" t="str">
        <f t="shared" si="653"/>
        <v>False</v>
      </c>
      <c r="U1005" s="1" t="str">
        <f t="shared" si="654"/>
        <v>True</v>
      </c>
      <c r="V1005" s="1" t="str">
        <f>"U0032638"</f>
        <v>U0032638</v>
      </c>
      <c r="W1005" s="1">
        <v>1</v>
      </c>
      <c r="Y1005" s="1">
        <v>0</v>
      </c>
      <c r="Z1005" s="1">
        <v>0</v>
      </c>
      <c r="AB1005" s="1" t="str">
        <f t="shared" si="641"/>
        <v>SMU</v>
      </c>
      <c r="AI1005" s="1" t="str">
        <f t="shared" si="671"/>
        <v>F11</v>
      </c>
      <c r="AJ1005" s="1" t="str">
        <f t="shared" si="663"/>
        <v>MAN</v>
      </c>
      <c r="AK1005" s="1" t="str">
        <f t="shared" si="655"/>
        <v>PA</v>
      </c>
      <c r="AP1005" s="1" t="str">
        <f t="shared" si="656"/>
        <v>False</v>
      </c>
      <c r="AR1005" s="1" t="str">
        <f t="shared" si="664"/>
        <v>GYNN</v>
      </c>
      <c r="AY1005" s="1" t="str">
        <f t="shared" si="657"/>
        <v>PF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 t="str">
        <f>"MMA+CANVAS"</f>
        <v>MMA+CANVAS</v>
      </c>
      <c r="BF1005" s="1" t="str">
        <f t="shared" si="658"/>
        <v>Bonis SpA</v>
      </c>
    </row>
    <row r="1006" spans="2:58" x14ac:dyDescent="0.25">
      <c r="B1006" s="1">
        <v>2458</v>
      </c>
      <c r="C1006" s="1" t="str">
        <f>"GYNN4238S7/T1"</f>
        <v>GYNN4238S7/T1</v>
      </c>
      <c r="E1006" s="1" t="str">
        <f>"44"</f>
        <v>44</v>
      </c>
      <c r="F1006" s="1" t="str">
        <f t="shared" si="647"/>
        <v>BONIS SPA</v>
      </c>
      <c r="G1006" s="1" t="str">
        <f t="shared" si="635"/>
        <v>STOCK SCAFFALE MP</v>
      </c>
      <c r="H1006" s="1" t="str">
        <f>"DKBL"</f>
        <v>DKBL</v>
      </c>
      <c r="K1006" s="1">
        <v>2</v>
      </c>
      <c r="L1006" s="1" t="str">
        <f t="shared" si="648"/>
        <v>01</v>
      </c>
      <c r="M1006" s="1" t="str">
        <f t="shared" si="636"/>
        <v>408</v>
      </c>
      <c r="N1006" s="1" t="str">
        <f t="shared" si="670"/>
        <v>001</v>
      </c>
      <c r="O1006" s="1" t="str">
        <f t="shared" si="649"/>
        <v>00</v>
      </c>
      <c r="P1006" s="1" t="str">
        <f t="shared" si="650"/>
        <v>S</v>
      </c>
      <c r="Q1006" s="1" t="str">
        <f t="shared" si="651"/>
        <v>P</v>
      </c>
      <c r="R1006" s="1" t="str">
        <f t="shared" si="652"/>
        <v>01</v>
      </c>
      <c r="S1006" s="1" t="str">
        <f t="shared" si="637"/>
        <v>04</v>
      </c>
      <c r="T1006" s="1" t="str">
        <f t="shared" si="653"/>
        <v>False</v>
      </c>
      <c r="U1006" s="1" t="str">
        <f t="shared" si="654"/>
        <v>True</v>
      </c>
      <c r="V1006" s="1" t="str">
        <f>"U0033337"</f>
        <v>U0033337</v>
      </c>
      <c r="W1006" s="1">
        <v>1</v>
      </c>
      <c r="Y1006" s="1">
        <v>0</v>
      </c>
      <c r="Z1006" s="1">
        <v>0</v>
      </c>
      <c r="AB1006" s="1" t="str">
        <f t="shared" si="641"/>
        <v>SMU</v>
      </c>
      <c r="AI1006" s="1" t="str">
        <f t="shared" si="671"/>
        <v>F11</v>
      </c>
      <c r="AJ1006" s="1" t="str">
        <f t="shared" si="663"/>
        <v>MAN</v>
      </c>
      <c r="AK1006" s="1" t="str">
        <f t="shared" si="655"/>
        <v>PA</v>
      </c>
      <c r="AP1006" s="1" t="str">
        <f t="shared" si="656"/>
        <v>False</v>
      </c>
      <c r="AR1006" s="1" t="str">
        <f t="shared" si="664"/>
        <v>GYNN</v>
      </c>
      <c r="AY1006" s="1" t="str">
        <f t="shared" si="657"/>
        <v>PF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 t="str">
        <f>"MMA+TEXTILE JEANS"</f>
        <v>MMA+TEXTILE JEANS</v>
      </c>
      <c r="BF1006" s="1" t="str">
        <f t="shared" si="658"/>
        <v>Bonis SpA</v>
      </c>
    </row>
    <row r="1007" spans="2:58" x14ac:dyDescent="0.25">
      <c r="B1007" s="1">
        <v>2458</v>
      </c>
      <c r="C1007" s="1" t="str">
        <f>"GYNN4238S7/T1"</f>
        <v>GYNN4238S7/T1</v>
      </c>
      <c r="E1007" s="1" t="str">
        <f>"41"</f>
        <v>41</v>
      </c>
      <c r="F1007" s="1" t="str">
        <f t="shared" si="647"/>
        <v>BONIS SPA</v>
      </c>
      <c r="G1007" s="1" t="str">
        <f t="shared" si="635"/>
        <v>STOCK SCAFFALE MP</v>
      </c>
      <c r="H1007" s="1" t="str">
        <f>"DKBL"</f>
        <v>DKBL</v>
      </c>
      <c r="K1007" s="1">
        <v>3</v>
      </c>
      <c r="L1007" s="1" t="str">
        <f t="shared" si="648"/>
        <v>01</v>
      </c>
      <c r="M1007" s="1" t="str">
        <f t="shared" si="636"/>
        <v>408</v>
      </c>
      <c r="N1007" s="1" t="str">
        <f t="shared" si="670"/>
        <v>001</v>
      </c>
      <c r="O1007" s="1" t="str">
        <f t="shared" si="649"/>
        <v>00</v>
      </c>
      <c r="P1007" s="1" t="str">
        <f t="shared" si="650"/>
        <v>S</v>
      </c>
      <c r="Q1007" s="1" t="str">
        <f t="shared" si="651"/>
        <v>P</v>
      </c>
      <c r="R1007" s="1" t="str">
        <f t="shared" si="652"/>
        <v>01</v>
      </c>
      <c r="S1007" s="1" t="str">
        <f t="shared" si="637"/>
        <v>04</v>
      </c>
      <c r="T1007" s="1" t="str">
        <f t="shared" si="653"/>
        <v>False</v>
      </c>
      <c r="U1007" s="1" t="str">
        <f t="shared" si="654"/>
        <v>True</v>
      </c>
      <c r="V1007" s="1" t="str">
        <f>"U0033337"</f>
        <v>U0033337</v>
      </c>
      <c r="W1007" s="1">
        <v>1</v>
      </c>
      <c r="Y1007" s="1">
        <v>0</v>
      </c>
      <c r="Z1007" s="1">
        <v>0</v>
      </c>
      <c r="AB1007" s="1" t="str">
        <f t="shared" si="641"/>
        <v>SMU</v>
      </c>
      <c r="AI1007" s="1" t="str">
        <f>"F06"</f>
        <v>F06</v>
      </c>
      <c r="AJ1007" s="1" t="str">
        <f t="shared" si="663"/>
        <v>MAN</v>
      </c>
      <c r="AK1007" s="1" t="str">
        <f t="shared" si="655"/>
        <v>PA</v>
      </c>
      <c r="AP1007" s="1" t="str">
        <f t="shared" si="656"/>
        <v>False</v>
      </c>
      <c r="AR1007" s="1" t="str">
        <f t="shared" si="664"/>
        <v>GYNN</v>
      </c>
      <c r="AY1007" s="1" t="str">
        <f t="shared" si="657"/>
        <v>PF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 t="str">
        <f>"MMA+TEXTILE JEANS"</f>
        <v>MMA+TEXTILE JEANS</v>
      </c>
      <c r="BF1007" s="1" t="str">
        <f t="shared" si="658"/>
        <v>Bonis SpA</v>
      </c>
    </row>
    <row r="1008" spans="2:58" x14ac:dyDescent="0.25">
      <c r="B1008" s="1">
        <v>2458</v>
      </c>
      <c r="C1008" s="1" t="str">
        <f>"GYNN4238S7/T1"</f>
        <v>GYNN4238S7/T1</v>
      </c>
      <c r="E1008" s="1" t="str">
        <f>"43"</f>
        <v>43</v>
      </c>
      <c r="F1008" s="1" t="str">
        <f t="shared" si="647"/>
        <v>BONIS SPA</v>
      </c>
      <c r="G1008" s="1" t="str">
        <f t="shared" ref="G1008:G1071" si="673">"STOCK SCAFFALE MP"</f>
        <v>STOCK SCAFFALE MP</v>
      </c>
      <c r="H1008" s="1" t="str">
        <f>"DKBL"</f>
        <v>DKBL</v>
      </c>
      <c r="K1008" s="1">
        <v>3</v>
      </c>
      <c r="L1008" s="1" t="str">
        <f t="shared" si="648"/>
        <v>01</v>
      </c>
      <c r="M1008" s="1" t="str">
        <f t="shared" ref="M1008:M1071" si="674">"408"</f>
        <v>408</v>
      </c>
      <c r="N1008" s="1" t="str">
        <f t="shared" si="670"/>
        <v>001</v>
      </c>
      <c r="O1008" s="1" t="str">
        <f t="shared" si="649"/>
        <v>00</v>
      </c>
      <c r="P1008" s="1" t="str">
        <f t="shared" si="650"/>
        <v>S</v>
      </c>
      <c r="Q1008" s="1" t="str">
        <f t="shared" si="651"/>
        <v>P</v>
      </c>
      <c r="R1008" s="1" t="str">
        <f t="shared" si="652"/>
        <v>01</v>
      </c>
      <c r="S1008" s="1" t="str">
        <f t="shared" ref="S1008:S1071" si="675">"04"</f>
        <v>04</v>
      </c>
      <c r="T1008" s="1" t="str">
        <f t="shared" si="653"/>
        <v>False</v>
      </c>
      <c r="U1008" s="1" t="str">
        <f t="shared" si="654"/>
        <v>True</v>
      </c>
      <c r="V1008" s="1" t="str">
        <f>"U0033337"</f>
        <v>U0033337</v>
      </c>
      <c r="W1008" s="1">
        <v>1</v>
      </c>
      <c r="Y1008" s="1">
        <v>0</v>
      </c>
      <c r="Z1008" s="1">
        <v>0</v>
      </c>
      <c r="AB1008" s="1" t="str">
        <f t="shared" si="641"/>
        <v>SMU</v>
      </c>
      <c r="AI1008" s="1" t="str">
        <f>"F11"</f>
        <v>F11</v>
      </c>
      <c r="AJ1008" s="1" t="str">
        <f t="shared" si="663"/>
        <v>MAN</v>
      </c>
      <c r="AK1008" s="1" t="str">
        <f t="shared" si="655"/>
        <v>PA</v>
      </c>
      <c r="AP1008" s="1" t="str">
        <f t="shared" si="656"/>
        <v>False</v>
      </c>
      <c r="AR1008" s="1" t="str">
        <f t="shared" si="664"/>
        <v>GYNN</v>
      </c>
      <c r="AY1008" s="1" t="str">
        <f t="shared" si="657"/>
        <v>PF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 t="str">
        <f>"MMA+TEXTILE JEANS"</f>
        <v>MMA+TEXTILE JEANS</v>
      </c>
      <c r="BF1008" s="1" t="str">
        <f t="shared" si="658"/>
        <v>Bonis SpA</v>
      </c>
    </row>
    <row r="1009" spans="2:58" x14ac:dyDescent="0.25">
      <c r="B1009" s="1">
        <v>2458</v>
      </c>
      <c r="C1009" s="1" t="str">
        <f>"GYNN4238S7/T1"</f>
        <v>GYNN4238S7/T1</v>
      </c>
      <c r="E1009" s="1" t="str">
        <f>"40"</f>
        <v>40</v>
      </c>
      <c r="F1009" s="1" t="str">
        <f t="shared" si="647"/>
        <v>BONIS SPA</v>
      </c>
      <c r="G1009" s="1" t="str">
        <f t="shared" si="673"/>
        <v>STOCK SCAFFALE MP</v>
      </c>
      <c r="H1009" s="1" t="str">
        <f>"DKBL"</f>
        <v>DKBL</v>
      </c>
      <c r="K1009" s="1">
        <v>1</v>
      </c>
      <c r="L1009" s="1" t="str">
        <f t="shared" si="648"/>
        <v>01</v>
      </c>
      <c r="M1009" s="1" t="str">
        <f t="shared" si="674"/>
        <v>408</v>
      </c>
      <c r="N1009" s="1" t="str">
        <f t="shared" si="670"/>
        <v>001</v>
      </c>
      <c r="O1009" s="1" t="str">
        <f t="shared" si="649"/>
        <v>00</v>
      </c>
      <c r="P1009" s="1" t="str">
        <f t="shared" si="650"/>
        <v>S</v>
      </c>
      <c r="Q1009" s="1" t="str">
        <f t="shared" si="651"/>
        <v>P</v>
      </c>
      <c r="R1009" s="1" t="str">
        <f t="shared" si="652"/>
        <v>01</v>
      </c>
      <c r="S1009" s="1" t="str">
        <f t="shared" si="675"/>
        <v>04</v>
      </c>
      <c r="T1009" s="1" t="str">
        <f t="shared" si="653"/>
        <v>False</v>
      </c>
      <c r="U1009" s="1" t="str">
        <f t="shared" si="654"/>
        <v>True</v>
      </c>
      <c r="V1009" s="1" t="str">
        <f>"U0033337"</f>
        <v>U0033337</v>
      </c>
      <c r="W1009" s="1">
        <v>1</v>
      </c>
      <c r="Y1009" s="1">
        <v>0</v>
      </c>
      <c r="Z1009" s="1">
        <v>0</v>
      </c>
      <c r="AB1009" s="1" t="str">
        <f t="shared" si="641"/>
        <v>SMU</v>
      </c>
      <c r="AI1009" s="1" t="str">
        <f>"F11"</f>
        <v>F11</v>
      </c>
      <c r="AJ1009" s="1" t="str">
        <f t="shared" si="663"/>
        <v>MAN</v>
      </c>
      <c r="AK1009" s="1" t="str">
        <f t="shared" si="655"/>
        <v>PA</v>
      </c>
      <c r="AP1009" s="1" t="str">
        <f t="shared" si="656"/>
        <v>False</v>
      </c>
      <c r="AR1009" s="1" t="str">
        <f t="shared" si="664"/>
        <v>GYNN</v>
      </c>
      <c r="AY1009" s="1" t="str">
        <f t="shared" si="657"/>
        <v>PF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 t="str">
        <f>"MMA+TEXTILE JEANS"</f>
        <v>MMA+TEXTILE JEANS</v>
      </c>
      <c r="BF1009" s="1" t="str">
        <f t="shared" si="658"/>
        <v>Bonis SpA</v>
      </c>
    </row>
    <row r="1010" spans="2:58" x14ac:dyDescent="0.25">
      <c r="B1010" s="1">
        <v>2458</v>
      </c>
      <c r="C1010" s="1" t="str">
        <f>"GYNN4238S7/T1"</f>
        <v>GYNN4238S7/T1</v>
      </c>
      <c r="E1010" s="1" t="str">
        <f>"42"</f>
        <v>42</v>
      </c>
      <c r="F1010" s="1" t="str">
        <f t="shared" si="647"/>
        <v>BONIS SPA</v>
      </c>
      <c r="G1010" s="1" t="str">
        <f t="shared" si="673"/>
        <v>STOCK SCAFFALE MP</v>
      </c>
      <c r="H1010" s="1" t="str">
        <f>"DKBL"</f>
        <v>DKBL</v>
      </c>
      <c r="K1010" s="1">
        <v>3</v>
      </c>
      <c r="L1010" s="1" t="str">
        <f t="shared" si="648"/>
        <v>01</v>
      </c>
      <c r="M1010" s="1" t="str">
        <f t="shared" si="674"/>
        <v>408</v>
      </c>
      <c r="N1010" s="1" t="str">
        <f t="shared" si="670"/>
        <v>001</v>
      </c>
      <c r="O1010" s="1" t="str">
        <f t="shared" si="649"/>
        <v>00</v>
      </c>
      <c r="P1010" s="1" t="str">
        <f t="shared" si="650"/>
        <v>S</v>
      </c>
      <c r="Q1010" s="1" t="str">
        <f t="shared" si="651"/>
        <v>P</v>
      </c>
      <c r="R1010" s="1" t="str">
        <f t="shared" si="652"/>
        <v>01</v>
      </c>
      <c r="S1010" s="1" t="str">
        <f t="shared" si="675"/>
        <v>04</v>
      </c>
      <c r="T1010" s="1" t="str">
        <f t="shared" si="653"/>
        <v>False</v>
      </c>
      <c r="U1010" s="1" t="str">
        <f t="shared" si="654"/>
        <v>True</v>
      </c>
      <c r="V1010" s="1" t="str">
        <f>"U0033337"</f>
        <v>U0033337</v>
      </c>
      <c r="W1010" s="1">
        <v>1</v>
      </c>
      <c r="Y1010" s="1">
        <v>0</v>
      </c>
      <c r="Z1010" s="1">
        <v>0</v>
      </c>
      <c r="AB1010" s="1" t="str">
        <f t="shared" si="641"/>
        <v>SMU</v>
      </c>
      <c r="AI1010" s="1" t="str">
        <f>"F11"</f>
        <v>F11</v>
      </c>
      <c r="AJ1010" s="1" t="str">
        <f t="shared" si="663"/>
        <v>MAN</v>
      </c>
      <c r="AK1010" s="1" t="str">
        <f t="shared" si="655"/>
        <v>PA</v>
      </c>
      <c r="AP1010" s="1" t="str">
        <f t="shared" si="656"/>
        <v>False</v>
      </c>
      <c r="AR1010" s="1" t="str">
        <f t="shared" si="664"/>
        <v>GYNN</v>
      </c>
      <c r="AY1010" s="1" t="str">
        <f t="shared" si="657"/>
        <v>PF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 t="str">
        <f>"MMA+TEXTILE JEANS"</f>
        <v>MMA+TEXTILE JEANS</v>
      </c>
      <c r="BF1010" s="1" t="str">
        <f t="shared" si="658"/>
        <v>Bonis SpA</v>
      </c>
    </row>
    <row r="1011" spans="2:58" x14ac:dyDescent="0.25">
      <c r="B1011" s="1">
        <v>2458</v>
      </c>
      <c r="C1011" s="1" t="str">
        <f t="shared" ref="C1011:C1016" si="676">"GYNN4238S7/C1"</f>
        <v>GYNN4238S7/C1</v>
      </c>
      <c r="E1011" s="1" t="str">
        <f>"42"</f>
        <v>42</v>
      </c>
      <c r="F1011" s="1" t="str">
        <f t="shared" si="647"/>
        <v>BONIS SPA</v>
      </c>
      <c r="G1011" s="1" t="str">
        <f t="shared" si="673"/>
        <v>STOCK SCAFFALE MP</v>
      </c>
      <c r="H1011" s="1" t="str">
        <f t="shared" ref="H1011:H1016" si="677">"GREY"</f>
        <v>GREY</v>
      </c>
      <c r="K1011" s="1">
        <v>1</v>
      </c>
      <c r="L1011" s="1" t="str">
        <f t="shared" si="648"/>
        <v>01</v>
      </c>
      <c r="M1011" s="1" t="str">
        <f t="shared" si="674"/>
        <v>408</v>
      </c>
      <c r="N1011" s="1" t="str">
        <f t="shared" si="670"/>
        <v>001</v>
      </c>
      <c r="O1011" s="1" t="str">
        <f t="shared" si="649"/>
        <v>00</v>
      </c>
      <c r="P1011" s="1" t="str">
        <f t="shared" si="650"/>
        <v>S</v>
      </c>
      <c r="Q1011" s="1" t="str">
        <f t="shared" si="651"/>
        <v>P</v>
      </c>
      <c r="R1011" s="1" t="str">
        <f t="shared" si="652"/>
        <v>01</v>
      </c>
      <c r="S1011" s="1" t="str">
        <f t="shared" si="675"/>
        <v>04</v>
      </c>
      <c r="T1011" s="1" t="str">
        <f t="shared" si="653"/>
        <v>False</v>
      </c>
      <c r="U1011" s="1" t="str">
        <f t="shared" si="654"/>
        <v>True</v>
      </c>
      <c r="V1011" s="1" t="str">
        <f>"U0032649"</f>
        <v>U0032649</v>
      </c>
      <c r="W1011" s="1">
        <v>1</v>
      </c>
      <c r="Y1011" s="1">
        <v>0</v>
      </c>
      <c r="Z1011" s="1">
        <v>0</v>
      </c>
      <c r="AB1011" s="1" t="str">
        <f t="shared" si="641"/>
        <v>SMU</v>
      </c>
      <c r="AI1011" s="1" t="str">
        <f>"F06"</f>
        <v>F06</v>
      </c>
      <c r="AJ1011" s="1" t="str">
        <f t="shared" si="663"/>
        <v>MAN</v>
      </c>
      <c r="AK1011" s="1" t="str">
        <f t="shared" si="655"/>
        <v>PA</v>
      </c>
      <c r="AP1011" s="1" t="str">
        <f t="shared" si="656"/>
        <v>False</v>
      </c>
      <c r="AR1011" s="1" t="str">
        <f t="shared" si="664"/>
        <v>GYNN</v>
      </c>
      <c r="AY1011" s="1" t="str">
        <f t="shared" si="657"/>
        <v>PF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 t="str">
        <f t="shared" ref="BE1011:BE1035" si="678">"MMA+CANVAS"</f>
        <v>MMA+CANVAS</v>
      </c>
      <c r="BF1011" s="1" t="str">
        <f t="shared" si="658"/>
        <v>Bonis SpA</v>
      </c>
    </row>
    <row r="1012" spans="2:58" x14ac:dyDescent="0.25">
      <c r="B1012" s="1">
        <v>2458</v>
      </c>
      <c r="C1012" s="1" t="str">
        <f t="shared" si="676"/>
        <v>GYNN4238S7/C1</v>
      </c>
      <c r="E1012" s="1" t="str">
        <f>"40"</f>
        <v>40</v>
      </c>
      <c r="F1012" s="1" t="str">
        <f t="shared" si="647"/>
        <v>BONIS SPA</v>
      </c>
      <c r="G1012" s="1" t="str">
        <f t="shared" si="673"/>
        <v>STOCK SCAFFALE MP</v>
      </c>
      <c r="H1012" s="1" t="str">
        <f t="shared" si="677"/>
        <v>GREY</v>
      </c>
      <c r="K1012" s="1">
        <v>1</v>
      </c>
      <c r="L1012" s="1" t="str">
        <f t="shared" si="648"/>
        <v>01</v>
      </c>
      <c r="M1012" s="1" t="str">
        <f t="shared" si="674"/>
        <v>408</v>
      </c>
      <c r="N1012" s="1" t="str">
        <f t="shared" si="670"/>
        <v>001</v>
      </c>
      <c r="O1012" s="1" t="str">
        <f t="shared" si="649"/>
        <v>00</v>
      </c>
      <c r="P1012" s="1" t="str">
        <f t="shared" si="650"/>
        <v>S</v>
      </c>
      <c r="Q1012" s="1" t="str">
        <f t="shared" si="651"/>
        <v>P</v>
      </c>
      <c r="R1012" s="1" t="str">
        <f t="shared" si="652"/>
        <v>01</v>
      </c>
      <c r="S1012" s="1" t="str">
        <f t="shared" si="675"/>
        <v>04</v>
      </c>
      <c r="T1012" s="1" t="str">
        <f t="shared" si="653"/>
        <v>False</v>
      </c>
      <c r="U1012" s="1" t="str">
        <f t="shared" si="654"/>
        <v>True</v>
      </c>
      <c r="V1012" s="1" t="str">
        <f>"U0033335"</f>
        <v>U0033335</v>
      </c>
      <c r="W1012" s="1">
        <v>1</v>
      </c>
      <c r="Y1012" s="1">
        <v>0</v>
      </c>
      <c r="Z1012" s="1">
        <v>0</v>
      </c>
      <c r="AB1012" s="1" t="str">
        <f t="shared" si="641"/>
        <v>SMU</v>
      </c>
      <c r="AI1012" s="1" t="str">
        <f>"F11"</f>
        <v>F11</v>
      </c>
      <c r="AJ1012" s="1" t="str">
        <f t="shared" si="663"/>
        <v>MAN</v>
      </c>
      <c r="AK1012" s="1" t="str">
        <f t="shared" si="655"/>
        <v>PA</v>
      </c>
      <c r="AP1012" s="1" t="str">
        <f t="shared" si="656"/>
        <v>False</v>
      </c>
      <c r="AR1012" s="1" t="str">
        <f t="shared" si="664"/>
        <v>GYNN</v>
      </c>
      <c r="AY1012" s="1" t="str">
        <f t="shared" si="657"/>
        <v>PF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 t="str">
        <f t="shared" si="678"/>
        <v>MMA+CANVAS</v>
      </c>
      <c r="BF1012" s="1" t="str">
        <f t="shared" si="658"/>
        <v>Bonis SpA</v>
      </c>
    </row>
    <row r="1013" spans="2:58" x14ac:dyDescent="0.25">
      <c r="B1013" s="1">
        <v>2458</v>
      </c>
      <c r="C1013" s="1" t="str">
        <f t="shared" si="676"/>
        <v>GYNN4238S7/C1</v>
      </c>
      <c r="E1013" s="1" t="str">
        <f>"43"</f>
        <v>43</v>
      </c>
      <c r="F1013" s="1" t="str">
        <f t="shared" si="647"/>
        <v>BONIS SPA</v>
      </c>
      <c r="G1013" s="1" t="str">
        <f t="shared" si="673"/>
        <v>STOCK SCAFFALE MP</v>
      </c>
      <c r="H1013" s="1" t="str">
        <f t="shared" si="677"/>
        <v>GREY</v>
      </c>
      <c r="K1013" s="1">
        <v>2</v>
      </c>
      <c r="L1013" s="1" t="str">
        <f t="shared" si="648"/>
        <v>01</v>
      </c>
      <c r="M1013" s="1" t="str">
        <f t="shared" si="674"/>
        <v>408</v>
      </c>
      <c r="N1013" s="1" t="str">
        <f t="shared" si="670"/>
        <v>001</v>
      </c>
      <c r="O1013" s="1" t="str">
        <f t="shared" si="649"/>
        <v>00</v>
      </c>
      <c r="P1013" s="1" t="str">
        <f t="shared" si="650"/>
        <v>S</v>
      </c>
      <c r="Q1013" s="1" t="str">
        <f t="shared" si="651"/>
        <v>P</v>
      </c>
      <c r="R1013" s="1" t="str">
        <f t="shared" si="652"/>
        <v>01</v>
      </c>
      <c r="S1013" s="1" t="str">
        <f t="shared" si="675"/>
        <v>04</v>
      </c>
      <c r="T1013" s="1" t="str">
        <f t="shared" si="653"/>
        <v>False</v>
      </c>
      <c r="U1013" s="1" t="str">
        <f t="shared" si="654"/>
        <v>True</v>
      </c>
      <c r="V1013" s="1" t="str">
        <f>"U0033335"</f>
        <v>U0033335</v>
      </c>
      <c r="W1013" s="1">
        <v>1</v>
      </c>
      <c r="Y1013" s="1">
        <v>0</v>
      </c>
      <c r="Z1013" s="1">
        <v>0</v>
      </c>
      <c r="AB1013" s="1" t="str">
        <f t="shared" ref="AB1013:AB1076" si="679">"SMU"</f>
        <v>SMU</v>
      </c>
      <c r="AI1013" s="1" t="str">
        <f>"F11"</f>
        <v>F11</v>
      </c>
      <c r="AJ1013" s="1" t="str">
        <f t="shared" ref="AJ1013:AJ1035" si="680">"MAN"</f>
        <v>MAN</v>
      </c>
      <c r="AK1013" s="1" t="str">
        <f t="shared" si="655"/>
        <v>PA</v>
      </c>
      <c r="AP1013" s="1" t="str">
        <f t="shared" si="656"/>
        <v>False</v>
      </c>
      <c r="AR1013" s="1" t="str">
        <f t="shared" ref="AR1013:AR1035" si="681">"GYNN"</f>
        <v>GYNN</v>
      </c>
      <c r="AY1013" s="1" t="str">
        <f t="shared" si="657"/>
        <v>PF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 t="str">
        <f t="shared" si="678"/>
        <v>MMA+CANVAS</v>
      </c>
      <c r="BF1013" s="1" t="str">
        <f t="shared" si="658"/>
        <v>Bonis SpA</v>
      </c>
    </row>
    <row r="1014" spans="2:58" x14ac:dyDescent="0.25">
      <c r="B1014" s="1">
        <v>2458</v>
      </c>
      <c r="C1014" s="1" t="str">
        <f t="shared" si="676"/>
        <v>GYNN4238S7/C1</v>
      </c>
      <c r="E1014" s="1" t="str">
        <f>"42"</f>
        <v>42</v>
      </c>
      <c r="F1014" s="1" t="str">
        <f t="shared" si="647"/>
        <v>BONIS SPA</v>
      </c>
      <c r="G1014" s="1" t="str">
        <f t="shared" si="673"/>
        <v>STOCK SCAFFALE MP</v>
      </c>
      <c r="H1014" s="1" t="str">
        <f t="shared" si="677"/>
        <v>GREY</v>
      </c>
      <c r="K1014" s="1">
        <v>3</v>
      </c>
      <c r="L1014" s="1" t="str">
        <f t="shared" si="648"/>
        <v>01</v>
      </c>
      <c r="M1014" s="1" t="str">
        <f t="shared" si="674"/>
        <v>408</v>
      </c>
      <c r="N1014" s="1" t="str">
        <f t="shared" si="670"/>
        <v>001</v>
      </c>
      <c r="O1014" s="1" t="str">
        <f t="shared" si="649"/>
        <v>00</v>
      </c>
      <c r="P1014" s="1" t="str">
        <f t="shared" si="650"/>
        <v>S</v>
      </c>
      <c r="Q1014" s="1" t="str">
        <f t="shared" si="651"/>
        <v>P</v>
      </c>
      <c r="R1014" s="1" t="str">
        <f t="shared" si="652"/>
        <v>01</v>
      </c>
      <c r="S1014" s="1" t="str">
        <f t="shared" si="675"/>
        <v>04</v>
      </c>
      <c r="T1014" s="1" t="str">
        <f t="shared" si="653"/>
        <v>False</v>
      </c>
      <c r="U1014" s="1" t="str">
        <f t="shared" si="654"/>
        <v>True</v>
      </c>
      <c r="V1014" s="1" t="str">
        <f>"U0033335"</f>
        <v>U0033335</v>
      </c>
      <c r="W1014" s="1">
        <v>1</v>
      </c>
      <c r="Y1014" s="1">
        <v>0</v>
      </c>
      <c r="Z1014" s="1">
        <v>0</v>
      </c>
      <c r="AB1014" s="1" t="str">
        <f t="shared" si="679"/>
        <v>SMU</v>
      </c>
      <c r="AI1014" s="1" t="str">
        <f>"F11"</f>
        <v>F11</v>
      </c>
      <c r="AJ1014" s="1" t="str">
        <f t="shared" si="680"/>
        <v>MAN</v>
      </c>
      <c r="AK1014" s="1" t="str">
        <f t="shared" si="655"/>
        <v>PA</v>
      </c>
      <c r="AP1014" s="1" t="str">
        <f t="shared" si="656"/>
        <v>False</v>
      </c>
      <c r="AR1014" s="1" t="str">
        <f t="shared" si="681"/>
        <v>GYNN</v>
      </c>
      <c r="AY1014" s="1" t="str">
        <f t="shared" si="657"/>
        <v>PF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 t="str">
        <f t="shared" si="678"/>
        <v>MMA+CANVAS</v>
      </c>
      <c r="BF1014" s="1" t="str">
        <f t="shared" si="658"/>
        <v>Bonis SpA</v>
      </c>
    </row>
    <row r="1015" spans="2:58" x14ac:dyDescent="0.25">
      <c r="B1015" s="1">
        <v>2458</v>
      </c>
      <c r="C1015" s="1" t="str">
        <f t="shared" si="676"/>
        <v>GYNN4238S7/C1</v>
      </c>
      <c r="E1015" s="1" t="str">
        <f>"44"</f>
        <v>44</v>
      </c>
      <c r="F1015" s="1" t="str">
        <f t="shared" si="647"/>
        <v>BONIS SPA</v>
      </c>
      <c r="G1015" s="1" t="str">
        <f t="shared" si="673"/>
        <v>STOCK SCAFFALE MP</v>
      </c>
      <c r="H1015" s="1" t="str">
        <f t="shared" si="677"/>
        <v>GREY</v>
      </c>
      <c r="K1015" s="1">
        <v>2</v>
      </c>
      <c r="L1015" s="1" t="str">
        <f t="shared" si="648"/>
        <v>01</v>
      </c>
      <c r="M1015" s="1" t="str">
        <f t="shared" si="674"/>
        <v>408</v>
      </c>
      <c r="N1015" s="1" t="str">
        <f t="shared" si="670"/>
        <v>001</v>
      </c>
      <c r="O1015" s="1" t="str">
        <f t="shared" si="649"/>
        <v>00</v>
      </c>
      <c r="P1015" s="1" t="str">
        <f t="shared" si="650"/>
        <v>S</v>
      </c>
      <c r="Q1015" s="1" t="str">
        <f t="shared" si="651"/>
        <v>P</v>
      </c>
      <c r="R1015" s="1" t="str">
        <f t="shared" si="652"/>
        <v>01</v>
      </c>
      <c r="S1015" s="1" t="str">
        <f t="shared" si="675"/>
        <v>04</v>
      </c>
      <c r="T1015" s="1" t="str">
        <f t="shared" si="653"/>
        <v>False</v>
      </c>
      <c r="U1015" s="1" t="str">
        <f t="shared" si="654"/>
        <v>True</v>
      </c>
      <c r="V1015" s="1" t="str">
        <f>"U0033335"</f>
        <v>U0033335</v>
      </c>
      <c r="W1015" s="1">
        <v>1</v>
      </c>
      <c r="Y1015" s="1">
        <v>0</v>
      </c>
      <c r="Z1015" s="1">
        <v>0</v>
      </c>
      <c r="AB1015" s="1" t="str">
        <f t="shared" si="679"/>
        <v>SMU</v>
      </c>
      <c r="AI1015" s="1" t="str">
        <f>"F11"</f>
        <v>F11</v>
      </c>
      <c r="AJ1015" s="1" t="str">
        <f t="shared" si="680"/>
        <v>MAN</v>
      </c>
      <c r="AK1015" s="1" t="str">
        <f t="shared" si="655"/>
        <v>PA</v>
      </c>
      <c r="AP1015" s="1" t="str">
        <f t="shared" si="656"/>
        <v>False</v>
      </c>
      <c r="AR1015" s="1" t="str">
        <f t="shared" si="681"/>
        <v>GYNN</v>
      </c>
      <c r="AY1015" s="1" t="str">
        <f t="shared" si="657"/>
        <v>PF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 t="str">
        <f t="shared" si="678"/>
        <v>MMA+CANVAS</v>
      </c>
      <c r="BF1015" s="1" t="str">
        <f t="shared" si="658"/>
        <v>Bonis SpA</v>
      </c>
    </row>
    <row r="1016" spans="2:58" x14ac:dyDescent="0.25">
      <c r="B1016" s="1">
        <v>2458</v>
      </c>
      <c r="C1016" s="1" t="str">
        <f t="shared" si="676"/>
        <v>GYNN4238S7/C1</v>
      </c>
      <c r="E1016" s="1" t="str">
        <f>"41"</f>
        <v>41</v>
      </c>
      <c r="F1016" s="1" t="str">
        <f t="shared" si="647"/>
        <v>BONIS SPA</v>
      </c>
      <c r="G1016" s="1" t="str">
        <f t="shared" si="673"/>
        <v>STOCK SCAFFALE MP</v>
      </c>
      <c r="H1016" s="1" t="str">
        <f t="shared" si="677"/>
        <v>GREY</v>
      </c>
      <c r="K1016" s="1">
        <v>2</v>
      </c>
      <c r="L1016" s="1" t="str">
        <f t="shared" si="648"/>
        <v>01</v>
      </c>
      <c r="M1016" s="1" t="str">
        <f t="shared" si="674"/>
        <v>408</v>
      </c>
      <c r="N1016" s="1" t="str">
        <f t="shared" si="670"/>
        <v>001</v>
      </c>
      <c r="O1016" s="1" t="str">
        <f t="shared" si="649"/>
        <v>00</v>
      </c>
      <c r="P1016" s="1" t="str">
        <f t="shared" si="650"/>
        <v>S</v>
      </c>
      <c r="Q1016" s="1" t="str">
        <f t="shared" si="651"/>
        <v>P</v>
      </c>
      <c r="R1016" s="1" t="str">
        <f t="shared" si="652"/>
        <v>01</v>
      </c>
      <c r="S1016" s="1" t="str">
        <f t="shared" si="675"/>
        <v>04</v>
      </c>
      <c r="T1016" s="1" t="str">
        <f t="shared" si="653"/>
        <v>False</v>
      </c>
      <c r="U1016" s="1" t="str">
        <f t="shared" si="654"/>
        <v>True</v>
      </c>
      <c r="V1016" s="1" t="str">
        <f>"U0033335"</f>
        <v>U0033335</v>
      </c>
      <c r="W1016" s="1">
        <v>1</v>
      </c>
      <c r="Y1016" s="1">
        <v>0</v>
      </c>
      <c r="Z1016" s="1">
        <v>0</v>
      </c>
      <c r="AB1016" s="1" t="str">
        <f t="shared" si="679"/>
        <v>SMU</v>
      </c>
      <c r="AI1016" s="1" t="str">
        <f>"F11"</f>
        <v>F11</v>
      </c>
      <c r="AJ1016" s="1" t="str">
        <f t="shared" si="680"/>
        <v>MAN</v>
      </c>
      <c r="AK1016" s="1" t="str">
        <f t="shared" si="655"/>
        <v>PA</v>
      </c>
      <c r="AP1016" s="1" t="str">
        <f t="shared" si="656"/>
        <v>False</v>
      </c>
      <c r="AR1016" s="1" t="str">
        <f t="shared" si="681"/>
        <v>GYNN</v>
      </c>
      <c r="AY1016" s="1" t="str">
        <f t="shared" si="657"/>
        <v>PF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 t="str">
        <f t="shared" si="678"/>
        <v>MMA+CANVAS</v>
      </c>
      <c r="BF1016" s="1" t="str">
        <f t="shared" si="658"/>
        <v>Bonis SpA</v>
      </c>
    </row>
    <row r="1017" spans="2:58" x14ac:dyDescent="0.25">
      <c r="B1017" s="1">
        <v>2464</v>
      </c>
      <c r="C1017" s="1" t="str">
        <f t="shared" ref="C1017:C1028" si="682">"GYNN4239S7/C1"</f>
        <v>GYNN4239S7/C1</v>
      </c>
      <c r="E1017" s="1" t="str">
        <f>"43"</f>
        <v>43</v>
      </c>
      <c r="F1017" s="1" t="str">
        <f t="shared" si="647"/>
        <v>BONIS SPA</v>
      </c>
      <c r="G1017" s="1" t="str">
        <f t="shared" si="673"/>
        <v>STOCK SCAFFALE MP</v>
      </c>
      <c r="H1017" s="1" t="str">
        <f t="shared" ref="H1017:H1028" si="683">"RED"</f>
        <v>RED</v>
      </c>
      <c r="K1017" s="1">
        <v>3</v>
      </c>
      <c r="L1017" s="1" t="str">
        <f t="shared" si="648"/>
        <v>01</v>
      </c>
      <c r="M1017" s="1" t="str">
        <f t="shared" si="674"/>
        <v>408</v>
      </c>
      <c r="N1017" s="1" t="str">
        <f t="shared" ref="N1017:N1048" si="684">"003"</f>
        <v>003</v>
      </c>
      <c r="O1017" s="1" t="str">
        <f t="shared" si="649"/>
        <v>00</v>
      </c>
      <c r="P1017" s="1" t="str">
        <f t="shared" si="650"/>
        <v>S</v>
      </c>
      <c r="Q1017" s="1" t="str">
        <f t="shared" si="651"/>
        <v>P</v>
      </c>
      <c r="R1017" s="1" t="str">
        <f t="shared" si="652"/>
        <v>01</v>
      </c>
      <c r="S1017" s="1" t="str">
        <f t="shared" si="675"/>
        <v>04</v>
      </c>
      <c r="T1017" s="1" t="str">
        <f t="shared" si="653"/>
        <v>False</v>
      </c>
      <c r="U1017" s="1" t="str">
        <f t="shared" si="654"/>
        <v>True</v>
      </c>
      <c r="V1017" s="1" t="str">
        <f>"U0033327"</f>
        <v>U0033327</v>
      </c>
      <c r="W1017" s="1">
        <v>1</v>
      </c>
      <c r="Y1017" s="1">
        <v>0</v>
      </c>
      <c r="Z1017" s="1">
        <v>0</v>
      </c>
      <c r="AB1017" s="1" t="str">
        <f t="shared" si="679"/>
        <v>SMU</v>
      </c>
      <c r="AI1017" s="1" t="str">
        <f>"106"</f>
        <v>106</v>
      </c>
      <c r="AJ1017" s="1" t="str">
        <f t="shared" si="680"/>
        <v>MAN</v>
      </c>
      <c r="AK1017" s="1" t="str">
        <f t="shared" si="655"/>
        <v>PA</v>
      </c>
      <c r="AP1017" s="1" t="str">
        <f t="shared" si="656"/>
        <v>False</v>
      </c>
      <c r="AR1017" s="1" t="str">
        <f t="shared" si="681"/>
        <v>GYNN</v>
      </c>
      <c r="AY1017" s="1" t="str">
        <f t="shared" si="657"/>
        <v>PF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 t="str">
        <f t="shared" si="678"/>
        <v>MMA+CANVAS</v>
      </c>
      <c r="BF1017" s="1" t="str">
        <f t="shared" si="658"/>
        <v>Bonis SpA</v>
      </c>
    </row>
    <row r="1018" spans="2:58" x14ac:dyDescent="0.25">
      <c r="B1018" s="1">
        <v>2464</v>
      </c>
      <c r="C1018" s="1" t="str">
        <f t="shared" si="682"/>
        <v>GYNN4239S7/C1</v>
      </c>
      <c r="E1018" s="1" t="str">
        <f>"42"</f>
        <v>42</v>
      </c>
      <c r="F1018" s="1" t="str">
        <f t="shared" si="647"/>
        <v>BONIS SPA</v>
      </c>
      <c r="G1018" s="1" t="str">
        <f t="shared" si="673"/>
        <v>STOCK SCAFFALE MP</v>
      </c>
      <c r="H1018" s="1" t="str">
        <f t="shared" si="683"/>
        <v>RED</v>
      </c>
      <c r="K1018" s="1">
        <v>1</v>
      </c>
      <c r="L1018" s="1" t="str">
        <f t="shared" si="648"/>
        <v>01</v>
      </c>
      <c r="M1018" s="1" t="str">
        <f t="shared" si="674"/>
        <v>408</v>
      </c>
      <c r="N1018" s="1" t="str">
        <f t="shared" si="684"/>
        <v>003</v>
      </c>
      <c r="O1018" s="1" t="str">
        <f t="shared" si="649"/>
        <v>00</v>
      </c>
      <c r="P1018" s="1" t="str">
        <f t="shared" si="650"/>
        <v>S</v>
      </c>
      <c r="Q1018" s="1" t="str">
        <f t="shared" si="651"/>
        <v>P</v>
      </c>
      <c r="R1018" s="1" t="str">
        <f t="shared" si="652"/>
        <v>01</v>
      </c>
      <c r="S1018" s="1" t="str">
        <f t="shared" si="675"/>
        <v>04</v>
      </c>
      <c r="T1018" s="1" t="str">
        <f t="shared" si="653"/>
        <v>False</v>
      </c>
      <c r="U1018" s="1" t="str">
        <f t="shared" si="654"/>
        <v>True</v>
      </c>
      <c r="V1018" s="1" t="str">
        <f>"U0033327"</f>
        <v>U0033327</v>
      </c>
      <c r="W1018" s="1">
        <v>1</v>
      </c>
      <c r="Y1018" s="1">
        <v>0</v>
      </c>
      <c r="Z1018" s="1">
        <v>0</v>
      </c>
      <c r="AB1018" s="1" t="str">
        <f t="shared" si="679"/>
        <v>SMU</v>
      </c>
      <c r="AI1018" s="1" t="str">
        <f>"106"</f>
        <v>106</v>
      </c>
      <c r="AJ1018" s="1" t="str">
        <f t="shared" si="680"/>
        <v>MAN</v>
      </c>
      <c r="AK1018" s="1" t="str">
        <f t="shared" si="655"/>
        <v>PA</v>
      </c>
      <c r="AP1018" s="1" t="str">
        <f t="shared" si="656"/>
        <v>False</v>
      </c>
      <c r="AR1018" s="1" t="str">
        <f t="shared" si="681"/>
        <v>GYNN</v>
      </c>
      <c r="AY1018" s="1" t="str">
        <f t="shared" si="657"/>
        <v>PF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 t="str">
        <f t="shared" si="678"/>
        <v>MMA+CANVAS</v>
      </c>
      <c r="BF1018" s="1" t="str">
        <f t="shared" si="658"/>
        <v>Bonis SpA</v>
      </c>
    </row>
    <row r="1019" spans="2:58" x14ac:dyDescent="0.25">
      <c r="B1019" s="1">
        <v>2464</v>
      </c>
      <c r="C1019" s="1" t="str">
        <f t="shared" si="682"/>
        <v>GYNN4239S7/C1</v>
      </c>
      <c r="E1019" s="1" t="str">
        <f>"42"</f>
        <v>42</v>
      </c>
      <c r="F1019" s="1" t="str">
        <f t="shared" si="647"/>
        <v>BONIS SPA</v>
      </c>
      <c r="G1019" s="1" t="str">
        <f t="shared" si="673"/>
        <v>STOCK SCAFFALE MP</v>
      </c>
      <c r="H1019" s="1" t="str">
        <f t="shared" si="683"/>
        <v>RED</v>
      </c>
      <c r="K1019" s="1">
        <v>1</v>
      </c>
      <c r="L1019" s="1" t="str">
        <f t="shared" si="648"/>
        <v>01</v>
      </c>
      <c r="M1019" s="1" t="str">
        <f t="shared" si="674"/>
        <v>408</v>
      </c>
      <c r="N1019" s="1" t="str">
        <f t="shared" si="684"/>
        <v>003</v>
      </c>
      <c r="O1019" s="1" t="str">
        <f t="shared" si="649"/>
        <v>00</v>
      </c>
      <c r="P1019" s="1" t="str">
        <f t="shared" si="650"/>
        <v>S</v>
      </c>
      <c r="Q1019" s="1" t="str">
        <f t="shared" si="651"/>
        <v>P</v>
      </c>
      <c r="R1019" s="1" t="str">
        <f t="shared" si="652"/>
        <v>01</v>
      </c>
      <c r="S1019" s="1" t="str">
        <f t="shared" si="675"/>
        <v>04</v>
      </c>
      <c r="T1019" s="1" t="str">
        <f t="shared" si="653"/>
        <v>False</v>
      </c>
      <c r="U1019" s="1" t="str">
        <f t="shared" si="654"/>
        <v>True</v>
      </c>
      <c r="V1019" s="1" t="str">
        <f>"U0033318"</f>
        <v>U0033318</v>
      </c>
      <c r="W1019" s="1">
        <v>1</v>
      </c>
      <c r="Y1019" s="1">
        <v>0</v>
      </c>
      <c r="Z1019" s="1">
        <v>0</v>
      </c>
      <c r="AB1019" s="1" t="str">
        <f t="shared" si="679"/>
        <v>SMU</v>
      </c>
      <c r="AI1019" s="1" t="str">
        <f>"106"</f>
        <v>106</v>
      </c>
      <c r="AJ1019" s="1" t="str">
        <f t="shared" si="680"/>
        <v>MAN</v>
      </c>
      <c r="AK1019" s="1" t="str">
        <f t="shared" si="655"/>
        <v>PA</v>
      </c>
      <c r="AP1019" s="1" t="str">
        <f t="shared" si="656"/>
        <v>False</v>
      </c>
      <c r="AR1019" s="1" t="str">
        <f t="shared" si="681"/>
        <v>GYNN</v>
      </c>
      <c r="AY1019" s="1" t="str">
        <f t="shared" si="657"/>
        <v>PF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 t="str">
        <f t="shared" si="678"/>
        <v>MMA+CANVAS</v>
      </c>
      <c r="BF1019" s="1" t="str">
        <f t="shared" si="658"/>
        <v>Bonis SpA</v>
      </c>
    </row>
    <row r="1020" spans="2:58" x14ac:dyDescent="0.25">
      <c r="B1020" s="1">
        <v>2464</v>
      </c>
      <c r="C1020" s="1" t="str">
        <f t="shared" si="682"/>
        <v>GYNN4239S7/C1</v>
      </c>
      <c r="E1020" s="1" t="str">
        <f>"42"</f>
        <v>42</v>
      </c>
      <c r="F1020" s="1" t="str">
        <f t="shared" si="647"/>
        <v>BONIS SPA</v>
      </c>
      <c r="G1020" s="1" t="str">
        <f t="shared" si="673"/>
        <v>STOCK SCAFFALE MP</v>
      </c>
      <c r="H1020" s="1" t="str">
        <f t="shared" si="683"/>
        <v>RED</v>
      </c>
      <c r="K1020" s="1">
        <v>1</v>
      </c>
      <c r="L1020" s="1" t="str">
        <f t="shared" si="648"/>
        <v>01</v>
      </c>
      <c r="M1020" s="1" t="str">
        <f t="shared" si="674"/>
        <v>408</v>
      </c>
      <c r="N1020" s="1" t="str">
        <f t="shared" si="684"/>
        <v>003</v>
      </c>
      <c r="O1020" s="1" t="str">
        <f t="shared" si="649"/>
        <v>00</v>
      </c>
      <c r="P1020" s="1" t="str">
        <f t="shared" si="650"/>
        <v>S</v>
      </c>
      <c r="Q1020" s="1" t="str">
        <f t="shared" si="651"/>
        <v>P</v>
      </c>
      <c r="R1020" s="1" t="str">
        <f t="shared" si="652"/>
        <v>01</v>
      </c>
      <c r="S1020" s="1" t="str">
        <f t="shared" si="675"/>
        <v>04</v>
      </c>
      <c r="T1020" s="1" t="str">
        <f t="shared" si="653"/>
        <v>False</v>
      </c>
      <c r="U1020" s="1" t="str">
        <f t="shared" si="654"/>
        <v>True</v>
      </c>
      <c r="V1020" s="1" t="str">
        <f>"U0033317"</f>
        <v>U0033317</v>
      </c>
      <c r="W1020" s="1">
        <v>1</v>
      </c>
      <c r="Y1020" s="1">
        <v>0</v>
      </c>
      <c r="Z1020" s="1">
        <v>0</v>
      </c>
      <c r="AB1020" s="1" t="str">
        <f t="shared" si="679"/>
        <v>SMU</v>
      </c>
      <c r="AI1020" s="1" t="str">
        <f>"106"</f>
        <v>106</v>
      </c>
      <c r="AJ1020" s="1" t="str">
        <f t="shared" si="680"/>
        <v>MAN</v>
      </c>
      <c r="AK1020" s="1" t="str">
        <f t="shared" si="655"/>
        <v>PA</v>
      </c>
      <c r="AP1020" s="1" t="str">
        <f t="shared" si="656"/>
        <v>False</v>
      </c>
      <c r="AR1020" s="1" t="str">
        <f t="shared" si="681"/>
        <v>GYNN</v>
      </c>
      <c r="AY1020" s="1" t="str">
        <f t="shared" si="657"/>
        <v>PF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 t="str">
        <f t="shared" si="678"/>
        <v>MMA+CANVAS</v>
      </c>
      <c r="BF1020" s="1" t="str">
        <f t="shared" si="658"/>
        <v>Bonis SpA</v>
      </c>
    </row>
    <row r="1021" spans="2:58" x14ac:dyDescent="0.25">
      <c r="B1021" s="1">
        <v>2464</v>
      </c>
      <c r="C1021" s="1" t="str">
        <f t="shared" si="682"/>
        <v>GYNN4239S7/C1</v>
      </c>
      <c r="E1021" s="1" t="str">
        <f>"41"</f>
        <v>41</v>
      </c>
      <c r="F1021" s="1" t="str">
        <f t="shared" si="647"/>
        <v>BONIS SPA</v>
      </c>
      <c r="G1021" s="1" t="str">
        <f t="shared" si="673"/>
        <v>STOCK SCAFFALE MP</v>
      </c>
      <c r="H1021" s="1" t="str">
        <f t="shared" si="683"/>
        <v>RED</v>
      </c>
      <c r="K1021" s="1">
        <v>2</v>
      </c>
      <c r="L1021" s="1" t="str">
        <f t="shared" si="648"/>
        <v>01</v>
      </c>
      <c r="M1021" s="1" t="str">
        <f t="shared" si="674"/>
        <v>408</v>
      </c>
      <c r="N1021" s="1" t="str">
        <f t="shared" si="684"/>
        <v>003</v>
      </c>
      <c r="O1021" s="1" t="str">
        <f t="shared" si="649"/>
        <v>00</v>
      </c>
      <c r="P1021" s="1" t="str">
        <f t="shared" si="650"/>
        <v>S</v>
      </c>
      <c r="Q1021" s="1" t="str">
        <f t="shared" si="651"/>
        <v>P</v>
      </c>
      <c r="R1021" s="1" t="str">
        <f t="shared" si="652"/>
        <v>01</v>
      </c>
      <c r="S1021" s="1" t="str">
        <f t="shared" si="675"/>
        <v>04</v>
      </c>
      <c r="T1021" s="1" t="str">
        <f t="shared" si="653"/>
        <v>False</v>
      </c>
      <c r="U1021" s="1" t="str">
        <f t="shared" si="654"/>
        <v>True</v>
      </c>
      <c r="V1021" s="1" t="str">
        <f>"U0033318"</f>
        <v>U0033318</v>
      </c>
      <c r="W1021" s="1">
        <v>1</v>
      </c>
      <c r="Y1021" s="1">
        <v>0</v>
      </c>
      <c r="Z1021" s="1">
        <v>0</v>
      </c>
      <c r="AB1021" s="1" t="str">
        <f t="shared" si="679"/>
        <v>SMU</v>
      </c>
      <c r="AI1021" s="1" t="str">
        <f>"106"</f>
        <v>106</v>
      </c>
      <c r="AJ1021" s="1" t="str">
        <f t="shared" si="680"/>
        <v>MAN</v>
      </c>
      <c r="AK1021" s="1" t="str">
        <f t="shared" si="655"/>
        <v>PA</v>
      </c>
      <c r="AP1021" s="1" t="str">
        <f t="shared" si="656"/>
        <v>False</v>
      </c>
      <c r="AR1021" s="1" t="str">
        <f t="shared" si="681"/>
        <v>GYNN</v>
      </c>
      <c r="AY1021" s="1" t="str">
        <f t="shared" si="657"/>
        <v>PF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 t="str">
        <f t="shared" si="678"/>
        <v>MMA+CANVAS</v>
      </c>
      <c r="BF1021" s="1" t="str">
        <f t="shared" si="658"/>
        <v>Bonis SpA</v>
      </c>
    </row>
    <row r="1022" spans="2:58" x14ac:dyDescent="0.25">
      <c r="B1022" s="1">
        <v>2464</v>
      </c>
      <c r="C1022" s="1" t="str">
        <f t="shared" si="682"/>
        <v>GYNN4239S7/C1</v>
      </c>
      <c r="E1022" s="1" t="str">
        <f>"40"</f>
        <v>40</v>
      </c>
      <c r="F1022" s="1" t="str">
        <f t="shared" si="647"/>
        <v>BONIS SPA</v>
      </c>
      <c r="G1022" s="1" t="str">
        <f t="shared" si="673"/>
        <v>STOCK SCAFFALE MP</v>
      </c>
      <c r="H1022" s="1" t="str">
        <f t="shared" si="683"/>
        <v>RED</v>
      </c>
      <c r="K1022" s="1">
        <v>2</v>
      </c>
      <c r="L1022" s="1" t="str">
        <f t="shared" si="648"/>
        <v>01</v>
      </c>
      <c r="M1022" s="1" t="str">
        <f t="shared" si="674"/>
        <v>408</v>
      </c>
      <c r="N1022" s="1" t="str">
        <f t="shared" si="684"/>
        <v>003</v>
      </c>
      <c r="O1022" s="1" t="str">
        <f t="shared" si="649"/>
        <v>00</v>
      </c>
      <c r="P1022" s="1" t="str">
        <f t="shared" si="650"/>
        <v>S</v>
      </c>
      <c r="Q1022" s="1" t="str">
        <f t="shared" si="651"/>
        <v>P</v>
      </c>
      <c r="R1022" s="1" t="str">
        <f t="shared" si="652"/>
        <v>01</v>
      </c>
      <c r="S1022" s="1" t="str">
        <f t="shared" si="675"/>
        <v>04</v>
      </c>
      <c r="T1022" s="1" t="str">
        <f t="shared" si="653"/>
        <v>False</v>
      </c>
      <c r="U1022" s="1" t="str">
        <f t="shared" si="654"/>
        <v>True</v>
      </c>
      <c r="V1022" s="1" t="str">
        <f>"U0033332"</f>
        <v>U0033332</v>
      </c>
      <c r="W1022" s="1">
        <v>1</v>
      </c>
      <c r="Y1022" s="1">
        <v>0</v>
      </c>
      <c r="Z1022" s="1">
        <v>0</v>
      </c>
      <c r="AB1022" s="1" t="str">
        <f t="shared" si="679"/>
        <v>SMU</v>
      </c>
      <c r="AI1022" s="1" t="str">
        <f t="shared" ref="AI1022:AI1037" si="685">"F11"</f>
        <v>F11</v>
      </c>
      <c r="AJ1022" s="1" t="str">
        <f t="shared" si="680"/>
        <v>MAN</v>
      </c>
      <c r="AK1022" s="1" t="str">
        <f t="shared" si="655"/>
        <v>PA</v>
      </c>
      <c r="AP1022" s="1" t="str">
        <f t="shared" si="656"/>
        <v>False</v>
      </c>
      <c r="AR1022" s="1" t="str">
        <f t="shared" si="681"/>
        <v>GYNN</v>
      </c>
      <c r="AY1022" s="1" t="str">
        <f t="shared" si="657"/>
        <v>PF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 t="str">
        <f t="shared" si="678"/>
        <v>MMA+CANVAS</v>
      </c>
      <c r="BF1022" s="1" t="str">
        <f t="shared" si="658"/>
        <v>Bonis SpA</v>
      </c>
    </row>
    <row r="1023" spans="2:58" x14ac:dyDescent="0.25">
      <c r="B1023" s="1">
        <v>2464</v>
      </c>
      <c r="C1023" s="1" t="str">
        <f t="shared" si="682"/>
        <v>GYNN4239S7/C1</v>
      </c>
      <c r="E1023" s="1" t="str">
        <f>"43"</f>
        <v>43</v>
      </c>
      <c r="F1023" s="1" t="str">
        <f t="shared" si="647"/>
        <v>BONIS SPA</v>
      </c>
      <c r="G1023" s="1" t="str">
        <f t="shared" si="673"/>
        <v>STOCK SCAFFALE MP</v>
      </c>
      <c r="H1023" s="1" t="str">
        <f t="shared" si="683"/>
        <v>RED</v>
      </c>
      <c r="K1023" s="1">
        <v>2</v>
      </c>
      <c r="L1023" s="1" t="str">
        <f t="shared" si="648"/>
        <v>01</v>
      </c>
      <c r="M1023" s="1" t="str">
        <f t="shared" si="674"/>
        <v>408</v>
      </c>
      <c r="N1023" s="1" t="str">
        <f t="shared" si="684"/>
        <v>003</v>
      </c>
      <c r="O1023" s="1" t="str">
        <f t="shared" si="649"/>
        <v>00</v>
      </c>
      <c r="P1023" s="1" t="str">
        <f t="shared" si="650"/>
        <v>S</v>
      </c>
      <c r="Q1023" s="1" t="str">
        <f t="shared" si="651"/>
        <v>P</v>
      </c>
      <c r="R1023" s="1" t="str">
        <f t="shared" si="652"/>
        <v>01</v>
      </c>
      <c r="S1023" s="1" t="str">
        <f t="shared" si="675"/>
        <v>04</v>
      </c>
      <c r="T1023" s="1" t="str">
        <f t="shared" si="653"/>
        <v>False</v>
      </c>
      <c r="U1023" s="1" t="str">
        <f t="shared" si="654"/>
        <v>True</v>
      </c>
      <c r="V1023" s="1" t="str">
        <f>"U0033332"</f>
        <v>U0033332</v>
      </c>
      <c r="W1023" s="1">
        <v>1</v>
      </c>
      <c r="Y1023" s="1">
        <v>0</v>
      </c>
      <c r="Z1023" s="1">
        <v>0</v>
      </c>
      <c r="AB1023" s="1" t="str">
        <f t="shared" si="679"/>
        <v>SMU</v>
      </c>
      <c r="AI1023" s="1" t="str">
        <f t="shared" si="685"/>
        <v>F11</v>
      </c>
      <c r="AJ1023" s="1" t="str">
        <f t="shared" si="680"/>
        <v>MAN</v>
      </c>
      <c r="AK1023" s="1" t="str">
        <f t="shared" si="655"/>
        <v>PA</v>
      </c>
      <c r="AP1023" s="1" t="str">
        <f t="shared" si="656"/>
        <v>False</v>
      </c>
      <c r="AR1023" s="1" t="str">
        <f t="shared" si="681"/>
        <v>GYNN</v>
      </c>
      <c r="AY1023" s="1" t="str">
        <f t="shared" si="657"/>
        <v>PF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 t="str">
        <f t="shared" si="678"/>
        <v>MMA+CANVAS</v>
      </c>
      <c r="BF1023" s="1" t="str">
        <f t="shared" si="658"/>
        <v>Bonis SpA</v>
      </c>
    </row>
    <row r="1024" spans="2:58" x14ac:dyDescent="0.25">
      <c r="B1024" s="1">
        <v>2464</v>
      </c>
      <c r="C1024" s="1" t="str">
        <f t="shared" si="682"/>
        <v>GYNN4239S7/C1</v>
      </c>
      <c r="E1024" s="1" t="str">
        <f>"42"</f>
        <v>42</v>
      </c>
      <c r="F1024" s="1" t="str">
        <f t="shared" si="647"/>
        <v>BONIS SPA</v>
      </c>
      <c r="G1024" s="1" t="str">
        <f t="shared" si="673"/>
        <v>STOCK SCAFFALE MP</v>
      </c>
      <c r="H1024" s="1" t="str">
        <f t="shared" si="683"/>
        <v>RED</v>
      </c>
      <c r="K1024" s="1">
        <v>4</v>
      </c>
      <c r="L1024" s="1" t="str">
        <f t="shared" si="648"/>
        <v>01</v>
      </c>
      <c r="M1024" s="1" t="str">
        <f t="shared" si="674"/>
        <v>408</v>
      </c>
      <c r="N1024" s="1" t="str">
        <f t="shared" si="684"/>
        <v>003</v>
      </c>
      <c r="O1024" s="1" t="str">
        <f t="shared" si="649"/>
        <v>00</v>
      </c>
      <c r="P1024" s="1" t="str">
        <f t="shared" si="650"/>
        <v>S</v>
      </c>
      <c r="Q1024" s="1" t="str">
        <f t="shared" si="651"/>
        <v>P</v>
      </c>
      <c r="R1024" s="1" t="str">
        <f t="shared" si="652"/>
        <v>01</v>
      </c>
      <c r="S1024" s="1" t="str">
        <f t="shared" si="675"/>
        <v>04</v>
      </c>
      <c r="T1024" s="1" t="str">
        <f t="shared" si="653"/>
        <v>False</v>
      </c>
      <c r="U1024" s="1" t="str">
        <f t="shared" si="654"/>
        <v>True</v>
      </c>
      <c r="V1024" s="1" t="str">
        <f>"U0033332"</f>
        <v>U0033332</v>
      </c>
      <c r="W1024" s="1">
        <v>1</v>
      </c>
      <c r="Y1024" s="1">
        <v>0</v>
      </c>
      <c r="Z1024" s="1">
        <v>0</v>
      </c>
      <c r="AB1024" s="1" t="str">
        <f t="shared" si="679"/>
        <v>SMU</v>
      </c>
      <c r="AI1024" s="1" t="str">
        <f t="shared" si="685"/>
        <v>F11</v>
      </c>
      <c r="AJ1024" s="1" t="str">
        <f t="shared" si="680"/>
        <v>MAN</v>
      </c>
      <c r="AK1024" s="1" t="str">
        <f t="shared" si="655"/>
        <v>PA</v>
      </c>
      <c r="AP1024" s="1" t="str">
        <f t="shared" si="656"/>
        <v>False</v>
      </c>
      <c r="AR1024" s="1" t="str">
        <f t="shared" si="681"/>
        <v>GYNN</v>
      </c>
      <c r="AY1024" s="1" t="str">
        <f t="shared" si="657"/>
        <v>PF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 t="str">
        <f t="shared" si="678"/>
        <v>MMA+CANVAS</v>
      </c>
      <c r="BF1024" s="1" t="str">
        <f t="shared" si="658"/>
        <v>Bonis SpA</v>
      </c>
    </row>
    <row r="1025" spans="2:58" x14ac:dyDescent="0.25">
      <c r="B1025" s="1">
        <v>2464</v>
      </c>
      <c r="C1025" s="1" t="str">
        <f t="shared" si="682"/>
        <v>GYNN4239S7/C1</v>
      </c>
      <c r="E1025" s="1" t="str">
        <f>"41"</f>
        <v>41</v>
      </c>
      <c r="F1025" s="1" t="str">
        <f t="shared" si="647"/>
        <v>BONIS SPA</v>
      </c>
      <c r="G1025" s="1" t="str">
        <f t="shared" si="673"/>
        <v>STOCK SCAFFALE MP</v>
      </c>
      <c r="H1025" s="1" t="str">
        <f t="shared" si="683"/>
        <v>RED</v>
      </c>
      <c r="K1025" s="1">
        <v>2</v>
      </c>
      <c r="L1025" s="1" t="str">
        <f t="shared" si="648"/>
        <v>01</v>
      </c>
      <c r="M1025" s="1" t="str">
        <f t="shared" si="674"/>
        <v>408</v>
      </c>
      <c r="N1025" s="1" t="str">
        <f t="shared" si="684"/>
        <v>003</v>
      </c>
      <c r="O1025" s="1" t="str">
        <f t="shared" si="649"/>
        <v>00</v>
      </c>
      <c r="P1025" s="1" t="str">
        <f t="shared" si="650"/>
        <v>S</v>
      </c>
      <c r="Q1025" s="1" t="str">
        <f t="shared" si="651"/>
        <v>P</v>
      </c>
      <c r="R1025" s="1" t="str">
        <f t="shared" si="652"/>
        <v>01</v>
      </c>
      <c r="S1025" s="1" t="str">
        <f t="shared" si="675"/>
        <v>04</v>
      </c>
      <c r="T1025" s="1" t="str">
        <f t="shared" si="653"/>
        <v>False</v>
      </c>
      <c r="U1025" s="1" t="str">
        <f t="shared" si="654"/>
        <v>True</v>
      </c>
      <c r="V1025" s="1" t="str">
        <f>"U0033332"</f>
        <v>U0033332</v>
      </c>
      <c r="W1025" s="1">
        <v>1</v>
      </c>
      <c r="Y1025" s="1">
        <v>0</v>
      </c>
      <c r="Z1025" s="1">
        <v>0</v>
      </c>
      <c r="AB1025" s="1" t="str">
        <f t="shared" si="679"/>
        <v>SMU</v>
      </c>
      <c r="AI1025" s="1" t="str">
        <f t="shared" si="685"/>
        <v>F11</v>
      </c>
      <c r="AJ1025" s="1" t="str">
        <f t="shared" si="680"/>
        <v>MAN</v>
      </c>
      <c r="AK1025" s="1" t="str">
        <f t="shared" si="655"/>
        <v>PA</v>
      </c>
      <c r="AP1025" s="1" t="str">
        <f t="shared" si="656"/>
        <v>False</v>
      </c>
      <c r="AR1025" s="1" t="str">
        <f t="shared" si="681"/>
        <v>GYNN</v>
      </c>
      <c r="AY1025" s="1" t="str">
        <f t="shared" si="657"/>
        <v>PF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 t="str">
        <f t="shared" si="678"/>
        <v>MMA+CANVAS</v>
      </c>
      <c r="BF1025" s="1" t="str">
        <f t="shared" si="658"/>
        <v>Bonis SpA</v>
      </c>
    </row>
    <row r="1026" spans="2:58" x14ac:dyDescent="0.25">
      <c r="B1026" s="1">
        <v>2464</v>
      </c>
      <c r="C1026" s="1" t="str">
        <f t="shared" si="682"/>
        <v>GYNN4239S7/C1</v>
      </c>
      <c r="E1026" s="1" t="str">
        <f>"44"</f>
        <v>44</v>
      </c>
      <c r="F1026" s="1" t="str">
        <f t="shared" ref="F1026:F1089" si="686">"BONIS SPA"</f>
        <v>BONIS SPA</v>
      </c>
      <c r="G1026" s="1" t="str">
        <f t="shared" si="673"/>
        <v>STOCK SCAFFALE MP</v>
      </c>
      <c r="H1026" s="1" t="str">
        <f t="shared" si="683"/>
        <v>RED</v>
      </c>
      <c r="K1026" s="1">
        <v>2</v>
      </c>
      <c r="L1026" s="1" t="str">
        <f t="shared" ref="L1026:L1089" si="687">"01"</f>
        <v>01</v>
      </c>
      <c r="M1026" s="1" t="str">
        <f t="shared" si="674"/>
        <v>408</v>
      </c>
      <c r="N1026" s="1" t="str">
        <f t="shared" si="684"/>
        <v>003</v>
      </c>
      <c r="O1026" s="1" t="str">
        <f t="shared" ref="O1026:O1089" si="688">"00"</f>
        <v>00</v>
      </c>
      <c r="P1026" s="1" t="str">
        <f t="shared" ref="P1026:P1089" si="689">"S"</f>
        <v>S</v>
      </c>
      <c r="Q1026" s="1" t="str">
        <f t="shared" ref="Q1026:Q1089" si="690">"P"</f>
        <v>P</v>
      </c>
      <c r="R1026" s="1" t="str">
        <f t="shared" ref="R1026:R1089" si="691">"01"</f>
        <v>01</v>
      </c>
      <c r="S1026" s="1" t="str">
        <f t="shared" si="675"/>
        <v>04</v>
      </c>
      <c r="T1026" s="1" t="str">
        <f t="shared" ref="T1026:T1089" si="692">"False"</f>
        <v>False</v>
      </c>
      <c r="U1026" s="1" t="str">
        <f t="shared" ref="U1026:U1089" si="693">"True"</f>
        <v>True</v>
      </c>
      <c r="V1026" s="1" t="str">
        <f>"U0033332"</f>
        <v>U0033332</v>
      </c>
      <c r="W1026" s="1">
        <v>1</v>
      </c>
      <c r="Y1026" s="1">
        <v>0</v>
      </c>
      <c r="Z1026" s="1">
        <v>0</v>
      </c>
      <c r="AB1026" s="1" t="str">
        <f t="shared" si="679"/>
        <v>SMU</v>
      </c>
      <c r="AI1026" s="1" t="str">
        <f t="shared" si="685"/>
        <v>F11</v>
      </c>
      <c r="AJ1026" s="1" t="str">
        <f t="shared" si="680"/>
        <v>MAN</v>
      </c>
      <c r="AK1026" s="1" t="str">
        <f t="shared" ref="AK1026:AK1089" si="694">"PA"</f>
        <v>PA</v>
      </c>
      <c r="AP1026" s="1" t="str">
        <f t="shared" ref="AP1026:AP1089" si="695">"False"</f>
        <v>False</v>
      </c>
      <c r="AR1026" s="1" t="str">
        <f t="shared" si="681"/>
        <v>GYNN</v>
      </c>
      <c r="AY1026" s="1" t="str">
        <f t="shared" ref="AY1026:AY1089" si="696">"PF"</f>
        <v>PF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 t="str">
        <f t="shared" si="678"/>
        <v>MMA+CANVAS</v>
      </c>
      <c r="BF1026" s="1" t="str">
        <f t="shared" ref="BF1026:BF1089" si="697">"Bonis SpA"</f>
        <v>Bonis SpA</v>
      </c>
    </row>
    <row r="1027" spans="2:58" x14ac:dyDescent="0.25">
      <c r="B1027" s="1">
        <v>2464</v>
      </c>
      <c r="C1027" s="1" t="str">
        <f t="shared" si="682"/>
        <v>GYNN4239S7/C1</v>
      </c>
      <c r="E1027" s="1" t="str">
        <f>"43"</f>
        <v>43</v>
      </c>
      <c r="F1027" s="1" t="str">
        <f t="shared" si="686"/>
        <v>BONIS SPA</v>
      </c>
      <c r="G1027" s="1" t="str">
        <f t="shared" si="673"/>
        <v>STOCK SCAFFALE MP</v>
      </c>
      <c r="H1027" s="1" t="str">
        <f t="shared" si="683"/>
        <v>RED</v>
      </c>
      <c r="K1027" s="1">
        <v>10</v>
      </c>
      <c r="L1027" s="1" t="str">
        <f t="shared" si="687"/>
        <v>01</v>
      </c>
      <c r="M1027" s="1" t="str">
        <f t="shared" si="674"/>
        <v>408</v>
      </c>
      <c r="N1027" s="1" t="str">
        <f t="shared" si="684"/>
        <v>003</v>
      </c>
      <c r="O1027" s="1" t="str">
        <f t="shared" si="688"/>
        <v>00</v>
      </c>
      <c r="P1027" s="1" t="str">
        <f t="shared" si="689"/>
        <v>S</v>
      </c>
      <c r="Q1027" s="1" t="str">
        <f t="shared" si="690"/>
        <v>P</v>
      </c>
      <c r="R1027" s="1" t="str">
        <f t="shared" si="691"/>
        <v>01</v>
      </c>
      <c r="S1027" s="1" t="str">
        <f t="shared" si="675"/>
        <v>04</v>
      </c>
      <c r="T1027" s="1" t="str">
        <f t="shared" si="692"/>
        <v>False</v>
      </c>
      <c r="U1027" s="1" t="str">
        <f t="shared" si="693"/>
        <v>True</v>
      </c>
      <c r="V1027" s="1" t="str">
        <f>"U0033331"</f>
        <v>U0033331</v>
      </c>
      <c r="W1027" s="1">
        <v>1</v>
      </c>
      <c r="Y1027" s="1">
        <v>0</v>
      </c>
      <c r="Z1027" s="1">
        <v>0</v>
      </c>
      <c r="AB1027" s="1" t="str">
        <f t="shared" si="679"/>
        <v>SMU</v>
      </c>
      <c r="AI1027" s="1" t="str">
        <f t="shared" si="685"/>
        <v>F11</v>
      </c>
      <c r="AJ1027" s="1" t="str">
        <f t="shared" si="680"/>
        <v>MAN</v>
      </c>
      <c r="AK1027" s="1" t="str">
        <f t="shared" si="694"/>
        <v>PA</v>
      </c>
      <c r="AP1027" s="1" t="str">
        <f t="shared" si="695"/>
        <v>False</v>
      </c>
      <c r="AR1027" s="1" t="str">
        <f t="shared" si="681"/>
        <v>GYNN</v>
      </c>
      <c r="AY1027" s="1" t="str">
        <f t="shared" si="696"/>
        <v>PF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 t="str">
        <f t="shared" si="678"/>
        <v>MMA+CANVAS</v>
      </c>
      <c r="BF1027" s="1" t="str">
        <f t="shared" si="697"/>
        <v>Bonis SpA</v>
      </c>
    </row>
    <row r="1028" spans="2:58" x14ac:dyDescent="0.25">
      <c r="B1028" s="1">
        <v>2464</v>
      </c>
      <c r="C1028" s="1" t="str">
        <f t="shared" si="682"/>
        <v>GYNN4239S7/C1</v>
      </c>
      <c r="E1028" s="1" t="str">
        <f>"42"</f>
        <v>42</v>
      </c>
      <c r="F1028" s="1" t="str">
        <f t="shared" si="686"/>
        <v>BONIS SPA</v>
      </c>
      <c r="G1028" s="1" t="str">
        <f t="shared" si="673"/>
        <v>STOCK SCAFFALE MP</v>
      </c>
      <c r="H1028" s="1" t="str">
        <f t="shared" si="683"/>
        <v>RED</v>
      </c>
      <c r="K1028" s="1">
        <v>2</v>
      </c>
      <c r="L1028" s="1" t="str">
        <f t="shared" si="687"/>
        <v>01</v>
      </c>
      <c r="M1028" s="1" t="str">
        <f t="shared" si="674"/>
        <v>408</v>
      </c>
      <c r="N1028" s="1" t="str">
        <f t="shared" si="684"/>
        <v>003</v>
      </c>
      <c r="O1028" s="1" t="str">
        <f t="shared" si="688"/>
        <v>00</v>
      </c>
      <c r="P1028" s="1" t="str">
        <f t="shared" si="689"/>
        <v>S</v>
      </c>
      <c r="Q1028" s="1" t="str">
        <f t="shared" si="690"/>
        <v>P</v>
      </c>
      <c r="R1028" s="1" t="str">
        <f t="shared" si="691"/>
        <v>01</v>
      </c>
      <c r="S1028" s="1" t="str">
        <f t="shared" si="675"/>
        <v>04</v>
      </c>
      <c r="T1028" s="1" t="str">
        <f t="shared" si="692"/>
        <v>False</v>
      </c>
      <c r="U1028" s="1" t="str">
        <f t="shared" si="693"/>
        <v>True</v>
      </c>
      <c r="V1028" s="1" t="str">
        <f>"U0033331"</f>
        <v>U0033331</v>
      </c>
      <c r="W1028" s="1">
        <v>1</v>
      </c>
      <c r="Y1028" s="1">
        <v>0</v>
      </c>
      <c r="Z1028" s="1">
        <v>0</v>
      </c>
      <c r="AB1028" s="1" t="str">
        <f t="shared" si="679"/>
        <v>SMU</v>
      </c>
      <c r="AI1028" s="1" t="str">
        <f t="shared" si="685"/>
        <v>F11</v>
      </c>
      <c r="AJ1028" s="1" t="str">
        <f t="shared" si="680"/>
        <v>MAN</v>
      </c>
      <c r="AK1028" s="1" t="str">
        <f t="shared" si="694"/>
        <v>PA</v>
      </c>
      <c r="AP1028" s="1" t="str">
        <f t="shared" si="695"/>
        <v>False</v>
      </c>
      <c r="AR1028" s="1" t="str">
        <f t="shared" si="681"/>
        <v>GYNN</v>
      </c>
      <c r="AY1028" s="1" t="str">
        <f t="shared" si="696"/>
        <v>PF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 t="str">
        <f t="shared" si="678"/>
        <v>MMA+CANVAS</v>
      </c>
      <c r="BF1028" s="1" t="str">
        <f t="shared" si="697"/>
        <v>Bonis SpA</v>
      </c>
    </row>
    <row r="1029" spans="2:58" x14ac:dyDescent="0.25">
      <c r="B1029" s="1">
        <v>2464</v>
      </c>
      <c r="C1029" s="1" t="str">
        <f t="shared" ref="C1029:C1035" si="698">"GYNN4238S7/C1"</f>
        <v>GYNN4238S7/C1</v>
      </c>
      <c r="E1029" s="1" t="str">
        <f>"44"</f>
        <v>44</v>
      </c>
      <c r="F1029" s="1" t="str">
        <f t="shared" si="686"/>
        <v>BONIS SPA</v>
      </c>
      <c r="G1029" s="1" t="str">
        <f t="shared" si="673"/>
        <v>STOCK SCAFFALE MP</v>
      </c>
      <c r="H1029" s="1" t="str">
        <f>"GREY"</f>
        <v>GREY</v>
      </c>
      <c r="K1029" s="1">
        <v>2</v>
      </c>
      <c r="L1029" s="1" t="str">
        <f t="shared" si="687"/>
        <v>01</v>
      </c>
      <c r="M1029" s="1" t="str">
        <f t="shared" si="674"/>
        <v>408</v>
      </c>
      <c r="N1029" s="1" t="str">
        <f t="shared" si="684"/>
        <v>003</v>
      </c>
      <c r="O1029" s="1" t="str">
        <f t="shared" si="688"/>
        <v>00</v>
      </c>
      <c r="P1029" s="1" t="str">
        <f t="shared" si="689"/>
        <v>S</v>
      </c>
      <c r="Q1029" s="1" t="str">
        <f t="shared" si="690"/>
        <v>P</v>
      </c>
      <c r="R1029" s="1" t="str">
        <f t="shared" si="691"/>
        <v>01</v>
      </c>
      <c r="S1029" s="1" t="str">
        <f t="shared" si="675"/>
        <v>04</v>
      </c>
      <c r="T1029" s="1" t="str">
        <f t="shared" si="692"/>
        <v>False</v>
      </c>
      <c r="U1029" s="1" t="str">
        <f t="shared" si="693"/>
        <v>True</v>
      </c>
      <c r="V1029" s="1" t="str">
        <f>"U0033330"</f>
        <v>U0033330</v>
      </c>
      <c r="W1029" s="1">
        <v>1</v>
      </c>
      <c r="Y1029" s="1">
        <v>0</v>
      </c>
      <c r="Z1029" s="1">
        <v>0</v>
      </c>
      <c r="AB1029" s="1" t="str">
        <f t="shared" si="679"/>
        <v>SMU</v>
      </c>
      <c r="AI1029" s="1" t="str">
        <f t="shared" si="685"/>
        <v>F11</v>
      </c>
      <c r="AJ1029" s="1" t="str">
        <f t="shared" si="680"/>
        <v>MAN</v>
      </c>
      <c r="AK1029" s="1" t="str">
        <f t="shared" si="694"/>
        <v>PA</v>
      </c>
      <c r="AP1029" s="1" t="str">
        <f t="shared" si="695"/>
        <v>False</v>
      </c>
      <c r="AR1029" s="1" t="str">
        <f t="shared" si="681"/>
        <v>GYNN</v>
      </c>
      <c r="AY1029" s="1" t="str">
        <f t="shared" si="696"/>
        <v>PF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 t="str">
        <f t="shared" si="678"/>
        <v>MMA+CANVAS</v>
      </c>
      <c r="BF1029" s="1" t="str">
        <f t="shared" si="697"/>
        <v>Bonis SpA</v>
      </c>
    </row>
    <row r="1030" spans="2:58" x14ac:dyDescent="0.25">
      <c r="B1030" s="1">
        <v>2464</v>
      </c>
      <c r="C1030" s="1" t="str">
        <f t="shared" si="698"/>
        <v>GYNN4238S7/C1</v>
      </c>
      <c r="E1030" s="1" t="str">
        <f>"41"</f>
        <v>41</v>
      </c>
      <c r="F1030" s="1" t="str">
        <f t="shared" si="686"/>
        <v>BONIS SPA</v>
      </c>
      <c r="G1030" s="1" t="str">
        <f t="shared" si="673"/>
        <v>STOCK SCAFFALE MP</v>
      </c>
      <c r="H1030" s="1" t="str">
        <f>"GREY"</f>
        <v>GREY</v>
      </c>
      <c r="K1030" s="1">
        <v>3</v>
      </c>
      <c r="L1030" s="1" t="str">
        <f t="shared" si="687"/>
        <v>01</v>
      </c>
      <c r="M1030" s="1" t="str">
        <f t="shared" si="674"/>
        <v>408</v>
      </c>
      <c r="N1030" s="1" t="str">
        <f t="shared" si="684"/>
        <v>003</v>
      </c>
      <c r="O1030" s="1" t="str">
        <f t="shared" si="688"/>
        <v>00</v>
      </c>
      <c r="P1030" s="1" t="str">
        <f t="shared" si="689"/>
        <v>S</v>
      </c>
      <c r="Q1030" s="1" t="str">
        <f t="shared" si="690"/>
        <v>P</v>
      </c>
      <c r="R1030" s="1" t="str">
        <f t="shared" si="691"/>
        <v>01</v>
      </c>
      <c r="S1030" s="1" t="str">
        <f t="shared" si="675"/>
        <v>04</v>
      </c>
      <c r="T1030" s="1" t="str">
        <f t="shared" si="692"/>
        <v>False</v>
      </c>
      <c r="U1030" s="1" t="str">
        <f t="shared" si="693"/>
        <v>True</v>
      </c>
      <c r="V1030" s="1" t="str">
        <f>"U0033330"</f>
        <v>U0033330</v>
      </c>
      <c r="W1030" s="1">
        <v>1</v>
      </c>
      <c r="Y1030" s="1">
        <v>0</v>
      </c>
      <c r="Z1030" s="1">
        <v>0</v>
      </c>
      <c r="AB1030" s="1" t="str">
        <f t="shared" si="679"/>
        <v>SMU</v>
      </c>
      <c r="AI1030" s="1" t="str">
        <f t="shared" si="685"/>
        <v>F11</v>
      </c>
      <c r="AJ1030" s="1" t="str">
        <f t="shared" si="680"/>
        <v>MAN</v>
      </c>
      <c r="AK1030" s="1" t="str">
        <f t="shared" si="694"/>
        <v>PA</v>
      </c>
      <c r="AP1030" s="1" t="str">
        <f t="shared" si="695"/>
        <v>False</v>
      </c>
      <c r="AR1030" s="1" t="str">
        <f t="shared" si="681"/>
        <v>GYNN</v>
      </c>
      <c r="AY1030" s="1" t="str">
        <f t="shared" si="696"/>
        <v>PF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 t="str">
        <f t="shared" si="678"/>
        <v>MMA+CANVAS</v>
      </c>
      <c r="BF1030" s="1" t="str">
        <f t="shared" si="697"/>
        <v>Bonis SpA</v>
      </c>
    </row>
    <row r="1031" spans="2:58" x14ac:dyDescent="0.25">
      <c r="B1031" s="1">
        <v>2464</v>
      </c>
      <c r="C1031" s="1" t="str">
        <f t="shared" si="698"/>
        <v>GYNN4238S7/C1</v>
      </c>
      <c r="E1031" s="1" t="str">
        <f>"42"</f>
        <v>42</v>
      </c>
      <c r="F1031" s="1" t="str">
        <f t="shared" si="686"/>
        <v>BONIS SPA</v>
      </c>
      <c r="G1031" s="1" t="str">
        <f t="shared" si="673"/>
        <v>STOCK SCAFFALE MP</v>
      </c>
      <c r="H1031" s="1" t="str">
        <f>"GREY"</f>
        <v>GREY</v>
      </c>
      <c r="K1031" s="1">
        <v>3</v>
      </c>
      <c r="L1031" s="1" t="str">
        <f t="shared" si="687"/>
        <v>01</v>
      </c>
      <c r="M1031" s="1" t="str">
        <f t="shared" si="674"/>
        <v>408</v>
      </c>
      <c r="N1031" s="1" t="str">
        <f t="shared" si="684"/>
        <v>003</v>
      </c>
      <c r="O1031" s="1" t="str">
        <f t="shared" si="688"/>
        <v>00</v>
      </c>
      <c r="P1031" s="1" t="str">
        <f t="shared" si="689"/>
        <v>S</v>
      </c>
      <c r="Q1031" s="1" t="str">
        <f t="shared" si="690"/>
        <v>P</v>
      </c>
      <c r="R1031" s="1" t="str">
        <f t="shared" si="691"/>
        <v>01</v>
      </c>
      <c r="S1031" s="1" t="str">
        <f t="shared" si="675"/>
        <v>04</v>
      </c>
      <c r="T1031" s="1" t="str">
        <f t="shared" si="692"/>
        <v>False</v>
      </c>
      <c r="U1031" s="1" t="str">
        <f t="shared" si="693"/>
        <v>True</v>
      </c>
      <c r="V1031" s="1" t="str">
        <f>"U0033330"</f>
        <v>U0033330</v>
      </c>
      <c r="W1031" s="1">
        <v>1</v>
      </c>
      <c r="Y1031" s="1">
        <v>0</v>
      </c>
      <c r="Z1031" s="1">
        <v>0</v>
      </c>
      <c r="AB1031" s="1" t="str">
        <f t="shared" si="679"/>
        <v>SMU</v>
      </c>
      <c r="AI1031" s="1" t="str">
        <f t="shared" si="685"/>
        <v>F11</v>
      </c>
      <c r="AJ1031" s="1" t="str">
        <f t="shared" si="680"/>
        <v>MAN</v>
      </c>
      <c r="AK1031" s="1" t="str">
        <f t="shared" si="694"/>
        <v>PA</v>
      </c>
      <c r="AP1031" s="1" t="str">
        <f t="shared" si="695"/>
        <v>False</v>
      </c>
      <c r="AR1031" s="1" t="str">
        <f t="shared" si="681"/>
        <v>GYNN</v>
      </c>
      <c r="AY1031" s="1" t="str">
        <f t="shared" si="696"/>
        <v>PF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 t="str">
        <f t="shared" si="678"/>
        <v>MMA+CANVAS</v>
      </c>
      <c r="BF1031" s="1" t="str">
        <f t="shared" si="697"/>
        <v>Bonis SpA</v>
      </c>
    </row>
    <row r="1032" spans="2:58" x14ac:dyDescent="0.25">
      <c r="B1032" s="1">
        <v>2464</v>
      </c>
      <c r="C1032" s="1" t="str">
        <f t="shared" si="698"/>
        <v>GYNN4238S7/C1</v>
      </c>
      <c r="E1032" s="1" t="str">
        <f>"40"</f>
        <v>40</v>
      </c>
      <c r="F1032" s="1" t="str">
        <f t="shared" si="686"/>
        <v>BONIS SPA</v>
      </c>
      <c r="G1032" s="1" t="str">
        <f t="shared" si="673"/>
        <v>STOCK SCAFFALE MP</v>
      </c>
      <c r="H1032" s="1" t="str">
        <f>"GREY"</f>
        <v>GREY</v>
      </c>
      <c r="K1032" s="1">
        <v>1</v>
      </c>
      <c r="L1032" s="1" t="str">
        <f t="shared" si="687"/>
        <v>01</v>
      </c>
      <c r="M1032" s="1" t="str">
        <f t="shared" si="674"/>
        <v>408</v>
      </c>
      <c r="N1032" s="1" t="str">
        <f t="shared" si="684"/>
        <v>003</v>
      </c>
      <c r="O1032" s="1" t="str">
        <f t="shared" si="688"/>
        <v>00</v>
      </c>
      <c r="P1032" s="1" t="str">
        <f t="shared" si="689"/>
        <v>S</v>
      </c>
      <c r="Q1032" s="1" t="str">
        <f t="shared" si="690"/>
        <v>P</v>
      </c>
      <c r="R1032" s="1" t="str">
        <f t="shared" si="691"/>
        <v>01</v>
      </c>
      <c r="S1032" s="1" t="str">
        <f t="shared" si="675"/>
        <v>04</v>
      </c>
      <c r="T1032" s="1" t="str">
        <f t="shared" si="692"/>
        <v>False</v>
      </c>
      <c r="U1032" s="1" t="str">
        <f t="shared" si="693"/>
        <v>True</v>
      </c>
      <c r="V1032" s="1" t="str">
        <f>"U0033330"</f>
        <v>U0033330</v>
      </c>
      <c r="W1032" s="1">
        <v>1</v>
      </c>
      <c r="Y1032" s="1">
        <v>0</v>
      </c>
      <c r="Z1032" s="1">
        <v>0</v>
      </c>
      <c r="AB1032" s="1" t="str">
        <f t="shared" si="679"/>
        <v>SMU</v>
      </c>
      <c r="AI1032" s="1" t="str">
        <f t="shared" si="685"/>
        <v>F11</v>
      </c>
      <c r="AJ1032" s="1" t="str">
        <f t="shared" si="680"/>
        <v>MAN</v>
      </c>
      <c r="AK1032" s="1" t="str">
        <f t="shared" si="694"/>
        <v>PA</v>
      </c>
      <c r="AP1032" s="1" t="str">
        <f t="shared" si="695"/>
        <v>False</v>
      </c>
      <c r="AR1032" s="1" t="str">
        <f t="shared" si="681"/>
        <v>GYNN</v>
      </c>
      <c r="AY1032" s="1" t="str">
        <f t="shared" si="696"/>
        <v>PF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 t="str">
        <f t="shared" si="678"/>
        <v>MMA+CANVAS</v>
      </c>
      <c r="BF1032" s="1" t="str">
        <f t="shared" si="697"/>
        <v>Bonis SpA</v>
      </c>
    </row>
    <row r="1033" spans="2:58" x14ac:dyDescent="0.25">
      <c r="B1033" s="1">
        <v>2464</v>
      </c>
      <c r="C1033" s="1" t="str">
        <f t="shared" si="698"/>
        <v>GYNN4238S7/C1</v>
      </c>
      <c r="E1033" s="1" t="str">
        <f>"43"</f>
        <v>43</v>
      </c>
      <c r="F1033" s="1" t="str">
        <f t="shared" si="686"/>
        <v>BONIS SPA</v>
      </c>
      <c r="G1033" s="1" t="str">
        <f t="shared" si="673"/>
        <v>STOCK SCAFFALE MP</v>
      </c>
      <c r="H1033" s="1" t="str">
        <f>"GREY"</f>
        <v>GREY</v>
      </c>
      <c r="K1033" s="1">
        <v>3</v>
      </c>
      <c r="L1033" s="1" t="str">
        <f t="shared" si="687"/>
        <v>01</v>
      </c>
      <c r="M1033" s="1" t="str">
        <f t="shared" si="674"/>
        <v>408</v>
      </c>
      <c r="N1033" s="1" t="str">
        <f t="shared" si="684"/>
        <v>003</v>
      </c>
      <c r="O1033" s="1" t="str">
        <f t="shared" si="688"/>
        <v>00</v>
      </c>
      <c r="P1033" s="1" t="str">
        <f t="shared" si="689"/>
        <v>S</v>
      </c>
      <c r="Q1033" s="1" t="str">
        <f t="shared" si="690"/>
        <v>P</v>
      </c>
      <c r="R1033" s="1" t="str">
        <f t="shared" si="691"/>
        <v>01</v>
      </c>
      <c r="S1033" s="1" t="str">
        <f t="shared" si="675"/>
        <v>04</v>
      </c>
      <c r="T1033" s="1" t="str">
        <f t="shared" si="692"/>
        <v>False</v>
      </c>
      <c r="U1033" s="1" t="str">
        <f t="shared" si="693"/>
        <v>True</v>
      </c>
      <c r="V1033" s="1" t="str">
        <f>"U0033330"</f>
        <v>U0033330</v>
      </c>
      <c r="W1033" s="1">
        <v>1</v>
      </c>
      <c r="Y1033" s="1">
        <v>0</v>
      </c>
      <c r="Z1033" s="1">
        <v>0</v>
      </c>
      <c r="AB1033" s="1" t="str">
        <f t="shared" si="679"/>
        <v>SMU</v>
      </c>
      <c r="AI1033" s="1" t="str">
        <f t="shared" si="685"/>
        <v>F11</v>
      </c>
      <c r="AJ1033" s="1" t="str">
        <f t="shared" si="680"/>
        <v>MAN</v>
      </c>
      <c r="AK1033" s="1" t="str">
        <f t="shared" si="694"/>
        <v>PA</v>
      </c>
      <c r="AP1033" s="1" t="str">
        <f t="shared" si="695"/>
        <v>False</v>
      </c>
      <c r="AR1033" s="1" t="str">
        <f t="shared" si="681"/>
        <v>GYNN</v>
      </c>
      <c r="AY1033" s="1" t="str">
        <f t="shared" si="696"/>
        <v>PF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 t="str">
        <f t="shared" si="678"/>
        <v>MMA+CANVAS</v>
      </c>
      <c r="BF1033" s="1" t="str">
        <f t="shared" si="697"/>
        <v>Bonis SpA</v>
      </c>
    </row>
    <row r="1034" spans="2:58" x14ac:dyDescent="0.25">
      <c r="B1034" s="1">
        <v>2464</v>
      </c>
      <c r="C1034" s="1" t="str">
        <f t="shared" si="698"/>
        <v>GYNN4238S7/C1</v>
      </c>
      <c r="E1034" s="1" t="str">
        <f>"41"</f>
        <v>41</v>
      </c>
      <c r="F1034" s="1" t="str">
        <f t="shared" si="686"/>
        <v>BONIS SPA</v>
      </c>
      <c r="G1034" s="1" t="str">
        <f t="shared" si="673"/>
        <v>STOCK SCAFFALE MP</v>
      </c>
      <c r="H1034" s="1" t="str">
        <f>"RED"</f>
        <v>RED</v>
      </c>
      <c r="K1034" s="1">
        <v>3</v>
      </c>
      <c r="L1034" s="1" t="str">
        <f t="shared" si="687"/>
        <v>01</v>
      </c>
      <c r="M1034" s="1" t="str">
        <f t="shared" si="674"/>
        <v>408</v>
      </c>
      <c r="N1034" s="1" t="str">
        <f t="shared" si="684"/>
        <v>003</v>
      </c>
      <c r="O1034" s="1" t="str">
        <f t="shared" si="688"/>
        <v>00</v>
      </c>
      <c r="P1034" s="1" t="str">
        <f t="shared" si="689"/>
        <v>S</v>
      </c>
      <c r="Q1034" s="1" t="str">
        <f t="shared" si="690"/>
        <v>P</v>
      </c>
      <c r="R1034" s="1" t="str">
        <f t="shared" si="691"/>
        <v>01</v>
      </c>
      <c r="S1034" s="1" t="str">
        <f t="shared" si="675"/>
        <v>04</v>
      </c>
      <c r="T1034" s="1" t="str">
        <f t="shared" si="692"/>
        <v>False</v>
      </c>
      <c r="U1034" s="1" t="str">
        <f t="shared" si="693"/>
        <v>True</v>
      </c>
      <c r="V1034" s="1" t="str">
        <f>"U0033327"</f>
        <v>U0033327</v>
      </c>
      <c r="W1034" s="1">
        <v>1</v>
      </c>
      <c r="Y1034" s="1">
        <v>0</v>
      </c>
      <c r="Z1034" s="1">
        <v>0</v>
      </c>
      <c r="AB1034" s="1" t="str">
        <f t="shared" si="679"/>
        <v>SMU</v>
      </c>
      <c r="AI1034" s="1" t="str">
        <f t="shared" si="685"/>
        <v>F11</v>
      </c>
      <c r="AJ1034" s="1" t="str">
        <f t="shared" si="680"/>
        <v>MAN</v>
      </c>
      <c r="AK1034" s="1" t="str">
        <f t="shared" si="694"/>
        <v>PA</v>
      </c>
      <c r="AP1034" s="1" t="str">
        <f t="shared" si="695"/>
        <v>False</v>
      </c>
      <c r="AR1034" s="1" t="str">
        <f t="shared" si="681"/>
        <v>GYNN</v>
      </c>
      <c r="AY1034" s="1" t="str">
        <f t="shared" si="696"/>
        <v>PF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 t="str">
        <f t="shared" si="678"/>
        <v>MMA+CANVAS</v>
      </c>
      <c r="BF1034" s="1" t="str">
        <f t="shared" si="697"/>
        <v>Bonis SpA</v>
      </c>
    </row>
    <row r="1035" spans="2:58" x14ac:dyDescent="0.25">
      <c r="B1035" s="1">
        <v>2464</v>
      </c>
      <c r="C1035" s="1" t="str">
        <f t="shared" si="698"/>
        <v>GYNN4238S7/C1</v>
      </c>
      <c r="E1035" s="1" t="str">
        <f>"40"</f>
        <v>40</v>
      </c>
      <c r="F1035" s="1" t="str">
        <f t="shared" si="686"/>
        <v>BONIS SPA</v>
      </c>
      <c r="G1035" s="1" t="str">
        <f t="shared" si="673"/>
        <v>STOCK SCAFFALE MP</v>
      </c>
      <c r="H1035" s="1" t="str">
        <f>"RED"</f>
        <v>RED</v>
      </c>
      <c r="K1035" s="1">
        <v>2</v>
      </c>
      <c r="L1035" s="1" t="str">
        <f t="shared" si="687"/>
        <v>01</v>
      </c>
      <c r="M1035" s="1" t="str">
        <f t="shared" si="674"/>
        <v>408</v>
      </c>
      <c r="N1035" s="1" t="str">
        <f t="shared" si="684"/>
        <v>003</v>
      </c>
      <c r="O1035" s="1" t="str">
        <f t="shared" si="688"/>
        <v>00</v>
      </c>
      <c r="P1035" s="1" t="str">
        <f t="shared" si="689"/>
        <v>S</v>
      </c>
      <c r="Q1035" s="1" t="str">
        <f t="shared" si="690"/>
        <v>P</v>
      </c>
      <c r="R1035" s="1" t="str">
        <f t="shared" si="691"/>
        <v>01</v>
      </c>
      <c r="S1035" s="1" t="str">
        <f t="shared" si="675"/>
        <v>04</v>
      </c>
      <c r="T1035" s="1" t="str">
        <f t="shared" si="692"/>
        <v>False</v>
      </c>
      <c r="U1035" s="1" t="str">
        <f t="shared" si="693"/>
        <v>True</v>
      </c>
      <c r="V1035" s="1" t="str">
        <f>"U0033327"</f>
        <v>U0033327</v>
      </c>
      <c r="W1035" s="1">
        <v>1</v>
      </c>
      <c r="Y1035" s="1">
        <v>0</v>
      </c>
      <c r="Z1035" s="1">
        <v>0</v>
      </c>
      <c r="AB1035" s="1" t="str">
        <f t="shared" si="679"/>
        <v>SMU</v>
      </c>
      <c r="AI1035" s="1" t="str">
        <f t="shared" si="685"/>
        <v>F11</v>
      </c>
      <c r="AJ1035" s="1" t="str">
        <f t="shared" si="680"/>
        <v>MAN</v>
      </c>
      <c r="AK1035" s="1" t="str">
        <f t="shared" si="694"/>
        <v>PA</v>
      </c>
      <c r="AP1035" s="1" t="str">
        <f t="shared" si="695"/>
        <v>False</v>
      </c>
      <c r="AR1035" s="1" t="str">
        <f t="shared" si="681"/>
        <v>GYNN</v>
      </c>
      <c r="AY1035" s="1" t="str">
        <f t="shared" si="696"/>
        <v>PF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 t="str">
        <f t="shared" si="678"/>
        <v>MMA+CANVAS</v>
      </c>
      <c r="BF1035" s="1" t="str">
        <f t="shared" si="697"/>
        <v>Bonis SpA</v>
      </c>
    </row>
    <row r="1036" spans="2:58" x14ac:dyDescent="0.25">
      <c r="B1036" s="1">
        <v>2464</v>
      </c>
      <c r="C1036" s="1" t="str">
        <f>"GYNNA4240S7/C1"</f>
        <v>GYNNA4240S7/C1</v>
      </c>
      <c r="E1036" s="1" t="str">
        <f>"39"</f>
        <v>39</v>
      </c>
      <c r="F1036" s="1" t="str">
        <f t="shared" si="686"/>
        <v>BONIS SPA</v>
      </c>
      <c r="G1036" s="1" t="str">
        <f t="shared" si="673"/>
        <v>STOCK SCAFFALE MP</v>
      </c>
      <c r="H1036" s="1" t="str">
        <f>"BLK"</f>
        <v>BLK</v>
      </c>
      <c r="K1036" s="1">
        <v>2</v>
      </c>
      <c r="L1036" s="1" t="str">
        <f t="shared" si="687"/>
        <v>01</v>
      </c>
      <c r="M1036" s="1" t="str">
        <f t="shared" si="674"/>
        <v>408</v>
      </c>
      <c r="N1036" s="1" t="str">
        <f t="shared" si="684"/>
        <v>003</v>
      </c>
      <c r="O1036" s="1" t="str">
        <f t="shared" si="688"/>
        <v>00</v>
      </c>
      <c r="P1036" s="1" t="str">
        <f t="shared" si="689"/>
        <v>S</v>
      </c>
      <c r="Q1036" s="1" t="str">
        <f t="shared" si="690"/>
        <v>P</v>
      </c>
      <c r="R1036" s="1" t="str">
        <f t="shared" si="691"/>
        <v>01</v>
      </c>
      <c r="S1036" s="1" t="str">
        <f t="shared" si="675"/>
        <v>04</v>
      </c>
      <c r="T1036" s="1" t="str">
        <f t="shared" si="692"/>
        <v>False</v>
      </c>
      <c r="U1036" s="1" t="str">
        <f t="shared" si="693"/>
        <v>True</v>
      </c>
      <c r="V1036" s="1" t="str">
        <f>"U0033324"</f>
        <v>U0033324</v>
      </c>
      <c r="W1036" s="1">
        <v>1</v>
      </c>
      <c r="Y1036" s="1">
        <v>0</v>
      </c>
      <c r="Z1036" s="1">
        <v>0</v>
      </c>
      <c r="AB1036" s="1" t="str">
        <f t="shared" si="679"/>
        <v>SMU</v>
      </c>
      <c r="AI1036" s="1" t="str">
        <f t="shared" si="685"/>
        <v>F11</v>
      </c>
      <c r="AJ1036" s="1" t="str">
        <f>"WOMAN"</f>
        <v>WOMAN</v>
      </c>
      <c r="AK1036" s="1" t="str">
        <f t="shared" si="694"/>
        <v>PA</v>
      </c>
      <c r="AP1036" s="1" t="str">
        <f t="shared" si="695"/>
        <v>False</v>
      </c>
      <c r="AR1036" s="1" t="str">
        <f>"GYNNA"</f>
        <v>GYNNA</v>
      </c>
      <c r="AY1036" s="1" t="str">
        <f t="shared" si="696"/>
        <v>PF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 t="str">
        <f>"SOLA RUBBER CANVAS"</f>
        <v>SOLA RUBBER CANVAS</v>
      </c>
      <c r="BF1036" s="1" t="str">
        <f t="shared" si="697"/>
        <v>Bonis SpA</v>
      </c>
    </row>
    <row r="1037" spans="2:58" x14ac:dyDescent="0.25">
      <c r="B1037" s="1">
        <v>2464</v>
      </c>
      <c r="C1037" s="1" t="str">
        <f>"GYNN4239S7/C1"</f>
        <v>GYNN4239S7/C1</v>
      </c>
      <c r="E1037" s="1" t="str">
        <f>"41"</f>
        <v>41</v>
      </c>
      <c r="F1037" s="1" t="str">
        <f t="shared" si="686"/>
        <v>BONIS SPA</v>
      </c>
      <c r="G1037" s="1" t="str">
        <f t="shared" si="673"/>
        <v>STOCK SCAFFALE MP</v>
      </c>
      <c r="H1037" s="1" t="str">
        <f>"RED"</f>
        <v>RED</v>
      </c>
      <c r="K1037" s="1">
        <v>5</v>
      </c>
      <c r="L1037" s="1" t="str">
        <f t="shared" si="687"/>
        <v>01</v>
      </c>
      <c r="M1037" s="1" t="str">
        <f t="shared" si="674"/>
        <v>408</v>
      </c>
      <c r="N1037" s="1" t="str">
        <f t="shared" si="684"/>
        <v>003</v>
      </c>
      <c r="O1037" s="1" t="str">
        <f t="shared" si="688"/>
        <v>00</v>
      </c>
      <c r="P1037" s="1" t="str">
        <f t="shared" si="689"/>
        <v>S</v>
      </c>
      <c r="Q1037" s="1" t="str">
        <f t="shared" si="690"/>
        <v>P</v>
      </c>
      <c r="R1037" s="1" t="str">
        <f t="shared" si="691"/>
        <v>01</v>
      </c>
      <c r="S1037" s="1" t="str">
        <f t="shared" si="675"/>
        <v>04</v>
      </c>
      <c r="T1037" s="1" t="str">
        <f t="shared" si="692"/>
        <v>False</v>
      </c>
      <c r="U1037" s="1" t="str">
        <f t="shared" si="693"/>
        <v>True</v>
      </c>
      <c r="V1037" s="1" t="str">
        <f>"U0033324"</f>
        <v>U0033324</v>
      </c>
      <c r="W1037" s="1">
        <v>1</v>
      </c>
      <c r="Y1037" s="1">
        <v>0</v>
      </c>
      <c r="Z1037" s="1">
        <v>0</v>
      </c>
      <c r="AB1037" s="1" t="str">
        <f t="shared" si="679"/>
        <v>SMU</v>
      </c>
      <c r="AI1037" s="1" t="str">
        <f t="shared" si="685"/>
        <v>F11</v>
      </c>
      <c r="AJ1037" s="1" t="str">
        <f>"MAN"</f>
        <v>MAN</v>
      </c>
      <c r="AK1037" s="1" t="str">
        <f t="shared" si="694"/>
        <v>PA</v>
      </c>
      <c r="AP1037" s="1" t="str">
        <f t="shared" si="695"/>
        <v>False</v>
      </c>
      <c r="AR1037" s="1" t="str">
        <f>"GYNN"</f>
        <v>GYNN</v>
      </c>
      <c r="AY1037" s="1" t="str">
        <f t="shared" si="696"/>
        <v>PF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 t="str">
        <f>"MMA+CANVAS"</f>
        <v>MMA+CANVAS</v>
      </c>
      <c r="BF1037" s="1" t="str">
        <f t="shared" si="697"/>
        <v>Bonis SpA</v>
      </c>
    </row>
    <row r="1038" spans="2:58" x14ac:dyDescent="0.25">
      <c r="B1038" s="1">
        <v>2464</v>
      </c>
      <c r="C1038" s="1" t="str">
        <f>"GYNN4239S7/C1"</f>
        <v>GYNN4239S7/C1</v>
      </c>
      <c r="E1038" s="1" t="str">
        <f>"42"</f>
        <v>42</v>
      </c>
      <c r="F1038" s="1" t="str">
        <f t="shared" si="686"/>
        <v>BONIS SPA</v>
      </c>
      <c r="G1038" s="1" t="str">
        <f t="shared" si="673"/>
        <v>STOCK SCAFFALE MP</v>
      </c>
      <c r="H1038" s="1" t="str">
        <f>"RED"</f>
        <v>RED</v>
      </c>
      <c r="K1038" s="1">
        <v>3</v>
      </c>
      <c r="L1038" s="1" t="str">
        <f t="shared" si="687"/>
        <v>01</v>
      </c>
      <c r="M1038" s="1" t="str">
        <f t="shared" si="674"/>
        <v>408</v>
      </c>
      <c r="N1038" s="1" t="str">
        <f t="shared" si="684"/>
        <v>003</v>
      </c>
      <c r="O1038" s="1" t="str">
        <f t="shared" si="688"/>
        <v>00</v>
      </c>
      <c r="P1038" s="1" t="str">
        <f t="shared" si="689"/>
        <v>S</v>
      </c>
      <c r="Q1038" s="1" t="str">
        <f t="shared" si="690"/>
        <v>P</v>
      </c>
      <c r="R1038" s="1" t="str">
        <f t="shared" si="691"/>
        <v>01</v>
      </c>
      <c r="S1038" s="1" t="str">
        <f t="shared" si="675"/>
        <v>04</v>
      </c>
      <c r="T1038" s="1" t="str">
        <f t="shared" si="692"/>
        <v>False</v>
      </c>
      <c r="U1038" s="1" t="str">
        <f t="shared" si="693"/>
        <v>True</v>
      </c>
      <c r="V1038" s="1" t="str">
        <f>"U0033324"</f>
        <v>U0033324</v>
      </c>
      <c r="W1038" s="1">
        <v>1</v>
      </c>
      <c r="Y1038" s="1">
        <v>0</v>
      </c>
      <c r="Z1038" s="1">
        <v>0</v>
      </c>
      <c r="AB1038" s="1" t="str">
        <f t="shared" si="679"/>
        <v>SMU</v>
      </c>
      <c r="AI1038" s="1" t="str">
        <f>"106"</f>
        <v>106</v>
      </c>
      <c r="AJ1038" s="1" t="str">
        <f>"MAN"</f>
        <v>MAN</v>
      </c>
      <c r="AK1038" s="1" t="str">
        <f t="shared" si="694"/>
        <v>PA</v>
      </c>
      <c r="AP1038" s="1" t="str">
        <f t="shared" si="695"/>
        <v>False</v>
      </c>
      <c r="AR1038" s="1" t="str">
        <f>"GYNN"</f>
        <v>GYNN</v>
      </c>
      <c r="AY1038" s="1" t="str">
        <f t="shared" si="696"/>
        <v>PF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 t="str">
        <f>"MMA+CANVAS"</f>
        <v>MMA+CANVAS</v>
      </c>
      <c r="BF1038" s="1" t="str">
        <f t="shared" si="697"/>
        <v>Bonis SpA</v>
      </c>
    </row>
    <row r="1039" spans="2:58" x14ac:dyDescent="0.25">
      <c r="B1039" s="1">
        <v>2464</v>
      </c>
      <c r="C1039" s="1" t="str">
        <f t="shared" ref="C1039:C1063" si="699">"GYNNA4240S7/C1"</f>
        <v>GYNNA4240S7/C1</v>
      </c>
      <c r="E1039" s="1" t="str">
        <f>"38"</f>
        <v>38</v>
      </c>
      <c r="F1039" s="1" t="str">
        <f t="shared" si="686"/>
        <v>BONIS SPA</v>
      </c>
      <c r="G1039" s="1" t="str">
        <f t="shared" si="673"/>
        <v>STOCK SCAFFALE MP</v>
      </c>
      <c r="H1039" s="1" t="str">
        <f>"PINK"</f>
        <v>PINK</v>
      </c>
      <c r="K1039" s="1">
        <v>1</v>
      </c>
      <c r="L1039" s="1" t="str">
        <f t="shared" si="687"/>
        <v>01</v>
      </c>
      <c r="M1039" s="1" t="str">
        <f t="shared" si="674"/>
        <v>408</v>
      </c>
      <c r="N1039" s="1" t="str">
        <f t="shared" si="684"/>
        <v>003</v>
      </c>
      <c r="O1039" s="1" t="str">
        <f t="shared" si="688"/>
        <v>00</v>
      </c>
      <c r="P1039" s="1" t="str">
        <f t="shared" si="689"/>
        <v>S</v>
      </c>
      <c r="Q1039" s="1" t="str">
        <f t="shared" si="690"/>
        <v>P</v>
      </c>
      <c r="R1039" s="1" t="str">
        <f t="shared" si="691"/>
        <v>01</v>
      </c>
      <c r="S1039" s="1" t="str">
        <f t="shared" si="675"/>
        <v>04</v>
      </c>
      <c r="T1039" s="1" t="str">
        <f t="shared" si="692"/>
        <v>False</v>
      </c>
      <c r="U1039" s="1" t="str">
        <f t="shared" si="693"/>
        <v>True</v>
      </c>
      <c r="V1039" s="1" t="str">
        <f>"U0033327"</f>
        <v>U0033327</v>
      </c>
      <c r="W1039" s="1">
        <v>1</v>
      </c>
      <c r="Y1039" s="1">
        <v>0</v>
      </c>
      <c r="Z1039" s="1">
        <v>0</v>
      </c>
      <c r="AB1039" s="1" t="str">
        <f t="shared" si="679"/>
        <v>SMU</v>
      </c>
      <c r="AI1039" s="1" t="str">
        <f>"106"</f>
        <v>106</v>
      </c>
      <c r="AJ1039" s="1" t="str">
        <f t="shared" ref="AJ1039:AJ1070" si="700">"WOMAN"</f>
        <v>WOMAN</v>
      </c>
      <c r="AK1039" s="1" t="str">
        <f t="shared" si="694"/>
        <v>PA</v>
      </c>
      <c r="AP1039" s="1" t="str">
        <f t="shared" si="695"/>
        <v>False</v>
      </c>
      <c r="AR1039" s="1" t="str">
        <f t="shared" ref="AR1039:AR1070" si="701">"GYNNA"</f>
        <v>GYNNA</v>
      </c>
      <c r="AY1039" s="1" t="str">
        <f t="shared" si="696"/>
        <v>PF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 t="str">
        <f t="shared" ref="BE1039:BE1063" si="702">"SOLA RUBBER CANVAS"</f>
        <v>SOLA RUBBER CANVAS</v>
      </c>
      <c r="BF1039" s="1" t="str">
        <f t="shared" si="697"/>
        <v>Bonis SpA</v>
      </c>
    </row>
    <row r="1040" spans="2:58" x14ac:dyDescent="0.25">
      <c r="B1040" s="1">
        <v>2464</v>
      </c>
      <c r="C1040" s="1" t="str">
        <f t="shared" si="699"/>
        <v>GYNNA4240S7/C1</v>
      </c>
      <c r="E1040" s="1" t="str">
        <f>"39"</f>
        <v>39</v>
      </c>
      <c r="F1040" s="1" t="str">
        <f t="shared" si="686"/>
        <v>BONIS SPA</v>
      </c>
      <c r="G1040" s="1" t="str">
        <f t="shared" si="673"/>
        <v>STOCK SCAFFALE MP</v>
      </c>
      <c r="H1040" s="1" t="str">
        <f>"PINK"</f>
        <v>PINK</v>
      </c>
      <c r="K1040" s="1">
        <v>1</v>
      </c>
      <c r="L1040" s="1" t="str">
        <f t="shared" si="687"/>
        <v>01</v>
      </c>
      <c r="M1040" s="1" t="str">
        <f t="shared" si="674"/>
        <v>408</v>
      </c>
      <c r="N1040" s="1" t="str">
        <f t="shared" si="684"/>
        <v>003</v>
      </c>
      <c r="O1040" s="1" t="str">
        <f t="shared" si="688"/>
        <v>00</v>
      </c>
      <c r="P1040" s="1" t="str">
        <f t="shared" si="689"/>
        <v>S</v>
      </c>
      <c r="Q1040" s="1" t="str">
        <f t="shared" si="690"/>
        <v>P</v>
      </c>
      <c r="R1040" s="1" t="str">
        <f t="shared" si="691"/>
        <v>01</v>
      </c>
      <c r="S1040" s="1" t="str">
        <f t="shared" si="675"/>
        <v>04</v>
      </c>
      <c r="T1040" s="1" t="str">
        <f t="shared" si="692"/>
        <v>False</v>
      </c>
      <c r="U1040" s="1" t="str">
        <f t="shared" si="693"/>
        <v>True</v>
      </c>
      <c r="V1040" s="1" t="str">
        <f>"U0033327"</f>
        <v>U0033327</v>
      </c>
      <c r="W1040" s="1">
        <v>1</v>
      </c>
      <c r="Y1040" s="1">
        <v>0</v>
      </c>
      <c r="Z1040" s="1">
        <v>0</v>
      </c>
      <c r="AB1040" s="1" t="str">
        <f t="shared" si="679"/>
        <v>SMU</v>
      </c>
      <c r="AI1040" s="1" t="str">
        <f>"106"</f>
        <v>106</v>
      </c>
      <c r="AJ1040" s="1" t="str">
        <f t="shared" si="700"/>
        <v>WOMAN</v>
      </c>
      <c r="AK1040" s="1" t="str">
        <f t="shared" si="694"/>
        <v>PA</v>
      </c>
      <c r="AP1040" s="1" t="str">
        <f t="shared" si="695"/>
        <v>False</v>
      </c>
      <c r="AR1040" s="1" t="str">
        <f t="shared" si="701"/>
        <v>GYNNA</v>
      </c>
      <c r="AY1040" s="1" t="str">
        <f t="shared" si="696"/>
        <v>PF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 t="str">
        <f t="shared" si="702"/>
        <v>SOLA RUBBER CANVAS</v>
      </c>
      <c r="BF1040" s="1" t="str">
        <f t="shared" si="697"/>
        <v>Bonis SpA</v>
      </c>
    </row>
    <row r="1041" spans="2:58" x14ac:dyDescent="0.25">
      <c r="B1041" s="1">
        <v>2464</v>
      </c>
      <c r="C1041" s="1" t="str">
        <f t="shared" si="699"/>
        <v>GYNNA4240S7/C1</v>
      </c>
      <c r="E1041" s="1" t="str">
        <f>"39"</f>
        <v>39</v>
      </c>
      <c r="F1041" s="1" t="str">
        <f t="shared" si="686"/>
        <v>BONIS SPA</v>
      </c>
      <c r="G1041" s="1" t="str">
        <f t="shared" si="673"/>
        <v>STOCK SCAFFALE MP</v>
      </c>
      <c r="H1041" s="1" t="str">
        <f>"RED"</f>
        <v>RED</v>
      </c>
      <c r="K1041" s="1">
        <v>5</v>
      </c>
      <c r="L1041" s="1" t="str">
        <f t="shared" si="687"/>
        <v>01</v>
      </c>
      <c r="M1041" s="1" t="str">
        <f t="shared" si="674"/>
        <v>408</v>
      </c>
      <c r="N1041" s="1" t="str">
        <f t="shared" si="684"/>
        <v>003</v>
      </c>
      <c r="O1041" s="1" t="str">
        <f t="shared" si="688"/>
        <v>00</v>
      </c>
      <c r="P1041" s="1" t="str">
        <f t="shared" si="689"/>
        <v>S</v>
      </c>
      <c r="Q1041" s="1" t="str">
        <f t="shared" si="690"/>
        <v>P</v>
      </c>
      <c r="R1041" s="1" t="str">
        <f t="shared" si="691"/>
        <v>01</v>
      </c>
      <c r="S1041" s="1" t="str">
        <f t="shared" si="675"/>
        <v>04</v>
      </c>
      <c r="T1041" s="1" t="str">
        <f t="shared" si="692"/>
        <v>False</v>
      </c>
      <c r="U1041" s="1" t="str">
        <f t="shared" si="693"/>
        <v>True</v>
      </c>
      <c r="V1041" s="1" t="str">
        <f>"U0033320"</f>
        <v>U0033320</v>
      </c>
      <c r="W1041" s="1">
        <v>1</v>
      </c>
      <c r="Y1041" s="1">
        <v>0</v>
      </c>
      <c r="Z1041" s="1">
        <v>0</v>
      </c>
      <c r="AB1041" s="1" t="str">
        <f t="shared" si="679"/>
        <v>SMU</v>
      </c>
      <c r="AI1041" s="1" t="str">
        <f t="shared" ref="AI1041:AI1062" si="703">"F11"</f>
        <v>F11</v>
      </c>
      <c r="AJ1041" s="1" t="str">
        <f t="shared" si="700"/>
        <v>WOMAN</v>
      </c>
      <c r="AK1041" s="1" t="str">
        <f t="shared" si="694"/>
        <v>PA</v>
      </c>
      <c r="AP1041" s="1" t="str">
        <f t="shared" si="695"/>
        <v>False</v>
      </c>
      <c r="AR1041" s="1" t="str">
        <f t="shared" si="701"/>
        <v>GYNNA</v>
      </c>
      <c r="AY1041" s="1" t="str">
        <f t="shared" si="696"/>
        <v>PF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 t="str">
        <f t="shared" si="702"/>
        <v>SOLA RUBBER CANVAS</v>
      </c>
      <c r="BF1041" s="1" t="str">
        <f t="shared" si="697"/>
        <v>Bonis SpA</v>
      </c>
    </row>
    <row r="1042" spans="2:58" x14ac:dyDescent="0.25">
      <c r="B1042" s="1">
        <v>2464</v>
      </c>
      <c r="C1042" s="1" t="str">
        <f t="shared" si="699"/>
        <v>GYNNA4240S7/C1</v>
      </c>
      <c r="E1042" s="1" t="str">
        <f>"38"</f>
        <v>38</v>
      </c>
      <c r="F1042" s="1" t="str">
        <f t="shared" si="686"/>
        <v>BONIS SPA</v>
      </c>
      <c r="G1042" s="1" t="str">
        <f t="shared" si="673"/>
        <v>STOCK SCAFFALE MP</v>
      </c>
      <c r="H1042" s="1" t="str">
        <f>"RED"</f>
        <v>RED</v>
      </c>
      <c r="K1042" s="1">
        <v>2</v>
      </c>
      <c r="L1042" s="1" t="str">
        <f t="shared" si="687"/>
        <v>01</v>
      </c>
      <c r="M1042" s="1" t="str">
        <f t="shared" si="674"/>
        <v>408</v>
      </c>
      <c r="N1042" s="1" t="str">
        <f t="shared" si="684"/>
        <v>003</v>
      </c>
      <c r="O1042" s="1" t="str">
        <f t="shared" si="688"/>
        <v>00</v>
      </c>
      <c r="P1042" s="1" t="str">
        <f t="shared" si="689"/>
        <v>S</v>
      </c>
      <c r="Q1042" s="1" t="str">
        <f t="shared" si="690"/>
        <v>P</v>
      </c>
      <c r="R1042" s="1" t="str">
        <f t="shared" si="691"/>
        <v>01</v>
      </c>
      <c r="S1042" s="1" t="str">
        <f t="shared" si="675"/>
        <v>04</v>
      </c>
      <c r="T1042" s="1" t="str">
        <f t="shared" si="692"/>
        <v>False</v>
      </c>
      <c r="U1042" s="1" t="str">
        <f t="shared" si="693"/>
        <v>True</v>
      </c>
      <c r="V1042" s="1" t="str">
        <f>"U0033320"</f>
        <v>U0033320</v>
      </c>
      <c r="W1042" s="1">
        <v>1</v>
      </c>
      <c r="Y1042" s="1">
        <v>0</v>
      </c>
      <c r="Z1042" s="1">
        <v>0</v>
      </c>
      <c r="AB1042" s="1" t="str">
        <f t="shared" si="679"/>
        <v>SMU</v>
      </c>
      <c r="AI1042" s="1" t="str">
        <f t="shared" si="703"/>
        <v>F11</v>
      </c>
      <c r="AJ1042" s="1" t="str">
        <f t="shared" si="700"/>
        <v>WOMAN</v>
      </c>
      <c r="AK1042" s="1" t="str">
        <f t="shared" si="694"/>
        <v>PA</v>
      </c>
      <c r="AP1042" s="1" t="str">
        <f t="shared" si="695"/>
        <v>False</v>
      </c>
      <c r="AR1042" s="1" t="str">
        <f t="shared" si="701"/>
        <v>GYNNA</v>
      </c>
      <c r="AY1042" s="1" t="str">
        <f t="shared" si="696"/>
        <v>PF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 t="str">
        <f t="shared" si="702"/>
        <v>SOLA RUBBER CANVAS</v>
      </c>
      <c r="BF1042" s="1" t="str">
        <f t="shared" si="697"/>
        <v>Bonis SpA</v>
      </c>
    </row>
    <row r="1043" spans="2:58" x14ac:dyDescent="0.25">
      <c r="B1043" s="1">
        <v>2464</v>
      </c>
      <c r="C1043" s="1" t="str">
        <f t="shared" si="699"/>
        <v>GYNNA4240S7/C1</v>
      </c>
      <c r="E1043" s="1" t="str">
        <f>"36"</f>
        <v>36</v>
      </c>
      <c r="F1043" s="1" t="str">
        <f t="shared" si="686"/>
        <v>BONIS SPA</v>
      </c>
      <c r="G1043" s="1" t="str">
        <f t="shared" si="673"/>
        <v>STOCK SCAFFALE MP</v>
      </c>
      <c r="H1043" s="1" t="str">
        <f>"RED"</f>
        <v>RED</v>
      </c>
      <c r="K1043" s="1">
        <v>1</v>
      </c>
      <c r="L1043" s="1" t="str">
        <f t="shared" si="687"/>
        <v>01</v>
      </c>
      <c r="M1043" s="1" t="str">
        <f t="shared" si="674"/>
        <v>408</v>
      </c>
      <c r="N1043" s="1" t="str">
        <f t="shared" si="684"/>
        <v>003</v>
      </c>
      <c r="O1043" s="1" t="str">
        <f t="shared" si="688"/>
        <v>00</v>
      </c>
      <c r="P1043" s="1" t="str">
        <f t="shared" si="689"/>
        <v>S</v>
      </c>
      <c r="Q1043" s="1" t="str">
        <f t="shared" si="690"/>
        <v>P</v>
      </c>
      <c r="R1043" s="1" t="str">
        <f t="shared" si="691"/>
        <v>01</v>
      </c>
      <c r="S1043" s="1" t="str">
        <f t="shared" si="675"/>
        <v>04</v>
      </c>
      <c r="T1043" s="1" t="str">
        <f t="shared" si="692"/>
        <v>False</v>
      </c>
      <c r="U1043" s="1" t="str">
        <f t="shared" si="693"/>
        <v>True</v>
      </c>
      <c r="V1043" s="1" t="str">
        <f>"U0033320"</f>
        <v>U0033320</v>
      </c>
      <c r="W1043" s="1">
        <v>1</v>
      </c>
      <c r="Y1043" s="1">
        <v>0</v>
      </c>
      <c r="Z1043" s="1">
        <v>0</v>
      </c>
      <c r="AB1043" s="1" t="str">
        <f t="shared" si="679"/>
        <v>SMU</v>
      </c>
      <c r="AI1043" s="1" t="str">
        <f t="shared" si="703"/>
        <v>F11</v>
      </c>
      <c r="AJ1043" s="1" t="str">
        <f t="shared" si="700"/>
        <v>WOMAN</v>
      </c>
      <c r="AK1043" s="1" t="str">
        <f t="shared" si="694"/>
        <v>PA</v>
      </c>
      <c r="AP1043" s="1" t="str">
        <f t="shared" si="695"/>
        <v>False</v>
      </c>
      <c r="AR1043" s="1" t="str">
        <f t="shared" si="701"/>
        <v>GYNNA</v>
      </c>
      <c r="AY1043" s="1" t="str">
        <f t="shared" si="696"/>
        <v>PF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 t="str">
        <f t="shared" si="702"/>
        <v>SOLA RUBBER CANVAS</v>
      </c>
      <c r="BF1043" s="1" t="str">
        <f t="shared" si="697"/>
        <v>Bonis SpA</v>
      </c>
    </row>
    <row r="1044" spans="2:58" x14ac:dyDescent="0.25">
      <c r="B1044" s="1">
        <v>2464</v>
      </c>
      <c r="C1044" s="1" t="str">
        <f t="shared" si="699"/>
        <v>GYNNA4240S7/C1</v>
      </c>
      <c r="E1044" s="1" t="str">
        <f>"40"</f>
        <v>40</v>
      </c>
      <c r="F1044" s="1" t="str">
        <f t="shared" si="686"/>
        <v>BONIS SPA</v>
      </c>
      <c r="G1044" s="1" t="str">
        <f t="shared" si="673"/>
        <v>STOCK SCAFFALE MP</v>
      </c>
      <c r="H1044" s="1" t="str">
        <f>"RED"</f>
        <v>RED</v>
      </c>
      <c r="K1044" s="1">
        <v>2</v>
      </c>
      <c r="L1044" s="1" t="str">
        <f t="shared" si="687"/>
        <v>01</v>
      </c>
      <c r="M1044" s="1" t="str">
        <f t="shared" si="674"/>
        <v>408</v>
      </c>
      <c r="N1044" s="1" t="str">
        <f t="shared" si="684"/>
        <v>003</v>
      </c>
      <c r="O1044" s="1" t="str">
        <f t="shared" si="688"/>
        <v>00</v>
      </c>
      <c r="P1044" s="1" t="str">
        <f t="shared" si="689"/>
        <v>S</v>
      </c>
      <c r="Q1044" s="1" t="str">
        <f t="shared" si="690"/>
        <v>P</v>
      </c>
      <c r="R1044" s="1" t="str">
        <f t="shared" si="691"/>
        <v>01</v>
      </c>
      <c r="S1044" s="1" t="str">
        <f t="shared" si="675"/>
        <v>04</v>
      </c>
      <c r="T1044" s="1" t="str">
        <f t="shared" si="692"/>
        <v>False</v>
      </c>
      <c r="U1044" s="1" t="str">
        <f t="shared" si="693"/>
        <v>True</v>
      </c>
      <c r="V1044" s="1" t="str">
        <f>"U0033320"</f>
        <v>U0033320</v>
      </c>
      <c r="W1044" s="1">
        <v>1</v>
      </c>
      <c r="Y1044" s="1">
        <v>0</v>
      </c>
      <c r="Z1044" s="1">
        <v>0</v>
      </c>
      <c r="AB1044" s="1" t="str">
        <f t="shared" si="679"/>
        <v>SMU</v>
      </c>
      <c r="AI1044" s="1" t="str">
        <f t="shared" si="703"/>
        <v>F11</v>
      </c>
      <c r="AJ1044" s="1" t="str">
        <f t="shared" si="700"/>
        <v>WOMAN</v>
      </c>
      <c r="AK1044" s="1" t="str">
        <f t="shared" si="694"/>
        <v>PA</v>
      </c>
      <c r="AP1044" s="1" t="str">
        <f t="shared" si="695"/>
        <v>False</v>
      </c>
      <c r="AR1044" s="1" t="str">
        <f t="shared" si="701"/>
        <v>GYNNA</v>
      </c>
      <c r="AY1044" s="1" t="str">
        <f t="shared" si="696"/>
        <v>PF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 t="str">
        <f t="shared" si="702"/>
        <v>SOLA RUBBER CANVAS</v>
      </c>
      <c r="BF1044" s="1" t="str">
        <f t="shared" si="697"/>
        <v>Bonis SpA</v>
      </c>
    </row>
    <row r="1045" spans="2:58" x14ac:dyDescent="0.25">
      <c r="B1045" s="1">
        <v>2464</v>
      </c>
      <c r="C1045" s="1" t="str">
        <f t="shared" si="699"/>
        <v>GYNNA4240S7/C1</v>
      </c>
      <c r="E1045" s="1" t="str">
        <f>"37"</f>
        <v>37</v>
      </c>
      <c r="F1045" s="1" t="str">
        <f t="shared" si="686"/>
        <v>BONIS SPA</v>
      </c>
      <c r="G1045" s="1" t="str">
        <f t="shared" si="673"/>
        <v>STOCK SCAFFALE MP</v>
      </c>
      <c r="H1045" s="1" t="str">
        <f>"RED"</f>
        <v>RED</v>
      </c>
      <c r="K1045" s="1">
        <v>2</v>
      </c>
      <c r="L1045" s="1" t="str">
        <f t="shared" si="687"/>
        <v>01</v>
      </c>
      <c r="M1045" s="1" t="str">
        <f t="shared" si="674"/>
        <v>408</v>
      </c>
      <c r="N1045" s="1" t="str">
        <f t="shared" si="684"/>
        <v>003</v>
      </c>
      <c r="O1045" s="1" t="str">
        <f t="shared" si="688"/>
        <v>00</v>
      </c>
      <c r="P1045" s="1" t="str">
        <f t="shared" si="689"/>
        <v>S</v>
      </c>
      <c r="Q1045" s="1" t="str">
        <f t="shared" si="690"/>
        <v>P</v>
      </c>
      <c r="R1045" s="1" t="str">
        <f t="shared" si="691"/>
        <v>01</v>
      </c>
      <c r="S1045" s="1" t="str">
        <f t="shared" si="675"/>
        <v>04</v>
      </c>
      <c r="T1045" s="1" t="str">
        <f t="shared" si="692"/>
        <v>False</v>
      </c>
      <c r="U1045" s="1" t="str">
        <f t="shared" si="693"/>
        <v>True</v>
      </c>
      <c r="V1045" s="1" t="str">
        <f>"U0033320"</f>
        <v>U0033320</v>
      </c>
      <c r="W1045" s="1">
        <v>1</v>
      </c>
      <c r="Y1045" s="1">
        <v>0</v>
      </c>
      <c r="Z1045" s="1">
        <v>0</v>
      </c>
      <c r="AB1045" s="1" t="str">
        <f t="shared" si="679"/>
        <v>SMU</v>
      </c>
      <c r="AI1045" s="1" t="str">
        <f t="shared" si="703"/>
        <v>F11</v>
      </c>
      <c r="AJ1045" s="1" t="str">
        <f t="shared" si="700"/>
        <v>WOMAN</v>
      </c>
      <c r="AK1045" s="1" t="str">
        <f t="shared" si="694"/>
        <v>PA</v>
      </c>
      <c r="AP1045" s="1" t="str">
        <f t="shared" si="695"/>
        <v>False</v>
      </c>
      <c r="AR1045" s="1" t="str">
        <f t="shared" si="701"/>
        <v>GYNNA</v>
      </c>
      <c r="AY1045" s="1" t="str">
        <f t="shared" si="696"/>
        <v>PF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 t="str">
        <f t="shared" si="702"/>
        <v>SOLA RUBBER CANVAS</v>
      </c>
      <c r="BF1045" s="1" t="str">
        <f t="shared" si="697"/>
        <v>Bonis SpA</v>
      </c>
    </row>
    <row r="1046" spans="2:58" x14ac:dyDescent="0.25">
      <c r="B1046" s="1">
        <v>2464</v>
      </c>
      <c r="C1046" s="1" t="str">
        <f t="shared" si="699"/>
        <v>GYNNA4240S7/C1</v>
      </c>
      <c r="E1046" s="1" t="str">
        <f>"39"</f>
        <v>39</v>
      </c>
      <c r="F1046" s="1" t="str">
        <f t="shared" si="686"/>
        <v>BONIS SPA</v>
      </c>
      <c r="G1046" s="1" t="str">
        <f t="shared" si="673"/>
        <v>STOCK SCAFFALE MP</v>
      </c>
      <c r="H1046" s="1" t="str">
        <f t="shared" ref="H1046:H1057" si="704">"PINK"</f>
        <v>PINK</v>
      </c>
      <c r="K1046" s="1">
        <v>3</v>
      </c>
      <c r="L1046" s="1" t="str">
        <f t="shared" si="687"/>
        <v>01</v>
      </c>
      <c r="M1046" s="1" t="str">
        <f t="shared" si="674"/>
        <v>408</v>
      </c>
      <c r="N1046" s="1" t="str">
        <f t="shared" si="684"/>
        <v>003</v>
      </c>
      <c r="O1046" s="1" t="str">
        <f t="shared" si="688"/>
        <v>00</v>
      </c>
      <c r="P1046" s="1" t="str">
        <f t="shared" si="689"/>
        <v>S</v>
      </c>
      <c r="Q1046" s="1" t="str">
        <f t="shared" si="690"/>
        <v>P</v>
      </c>
      <c r="R1046" s="1" t="str">
        <f t="shared" si="691"/>
        <v>01</v>
      </c>
      <c r="S1046" s="1" t="str">
        <f t="shared" si="675"/>
        <v>04</v>
      </c>
      <c r="T1046" s="1" t="str">
        <f t="shared" si="692"/>
        <v>False</v>
      </c>
      <c r="U1046" s="1" t="str">
        <f t="shared" si="693"/>
        <v>True</v>
      </c>
      <c r="V1046" s="1" t="str">
        <f t="shared" ref="V1046:V1051" si="705">"U0033319"</f>
        <v>U0033319</v>
      </c>
      <c r="W1046" s="1">
        <v>1</v>
      </c>
      <c r="Y1046" s="1">
        <v>0</v>
      </c>
      <c r="Z1046" s="1">
        <v>0</v>
      </c>
      <c r="AB1046" s="1" t="str">
        <f t="shared" si="679"/>
        <v>SMU</v>
      </c>
      <c r="AI1046" s="1" t="str">
        <f t="shared" si="703"/>
        <v>F11</v>
      </c>
      <c r="AJ1046" s="1" t="str">
        <f t="shared" si="700"/>
        <v>WOMAN</v>
      </c>
      <c r="AK1046" s="1" t="str">
        <f t="shared" si="694"/>
        <v>PA</v>
      </c>
      <c r="AP1046" s="1" t="str">
        <f t="shared" si="695"/>
        <v>False</v>
      </c>
      <c r="AR1046" s="1" t="str">
        <f t="shared" si="701"/>
        <v>GYNNA</v>
      </c>
      <c r="AY1046" s="1" t="str">
        <f t="shared" si="696"/>
        <v>PF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 t="str">
        <f t="shared" si="702"/>
        <v>SOLA RUBBER CANVAS</v>
      </c>
      <c r="BF1046" s="1" t="str">
        <f t="shared" si="697"/>
        <v>Bonis SpA</v>
      </c>
    </row>
    <row r="1047" spans="2:58" x14ac:dyDescent="0.25">
      <c r="B1047" s="1">
        <v>2464</v>
      </c>
      <c r="C1047" s="1" t="str">
        <f t="shared" si="699"/>
        <v>GYNNA4240S7/C1</v>
      </c>
      <c r="E1047" s="1" t="str">
        <f>"41"</f>
        <v>41</v>
      </c>
      <c r="F1047" s="1" t="str">
        <f t="shared" si="686"/>
        <v>BONIS SPA</v>
      </c>
      <c r="G1047" s="1" t="str">
        <f t="shared" si="673"/>
        <v>STOCK SCAFFALE MP</v>
      </c>
      <c r="H1047" s="1" t="str">
        <f t="shared" si="704"/>
        <v>PINK</v>
      </c>
      <c r="K1047" s="1">
        <v>1</v>
      </c>
      <c r="L1047" s="1" t="str">
        <f t="shared" si="687"/>
        <v>01</v>
      </c>
      <c r="M1047" s="1" t="str">
        <f t="shared" si="674"/>
        <v>408</v>
      </c>
      <c r="N1047" s="1" t="str">
        <f t="shared" si="684"/>
        <v>003</v>
      </c>
      <c r="O1047" s="1" t="str">
        <f t="shared" si="688"/>
        <v>00</v>
      </c>
      <c r="P1047" s="1" t="str">
        <f t="shared" si="689"/>
        <v>S</v>
      </c>
      <c r="Q1047" s="1" t="str">
        <f t="shared" si="690"/>
        <v>P</v>
      </c>
      <c r="R1047" s="1" t="str">
        <f t="shared" si="691"/>
        <v>01</v>
      </c>
      <c r="S1047" s="1" t="str">
        <f t="shared" si="675"/>
        <v>04</v>
      </c>
      <c r="T1047" s="1" t="str">
        <f t="shared" si="692"/>
        <v>False</v>
      </c>
      <c r="U1047" s="1" t="str">
        <f t="shared" si="693"/>
        <v>True</v>
      </c>
      <c r="V1047" s="1" t="str">
        <f t="shared" si="705"/>
        <v>U0033319</v>
      </c>
      <c r="W1047" s="1">
        <v>1</v>
      </c>
      <c r="Y1047" s="1">
        <v>0</v>
      </c>
      <c r="Z1047" s="1">
        <v>0</v>
      </c>
      <c r="AB1047" s="1" t="str">
        <f t="shared" si="679"/>
        <v>SMU</v>
      </c>
      <c r="AI1047" s="1" t="str">
        <f t="shared" si="703"/>
        <v>F11</v>
      </c>
      <c r="AJ1047" s="1" t="str">
        <f t="shared" si="700"/>
        <v>WOMAN</v>
      </c>
      <c r="AK1047" s="1" t="str">
        <f t="shared" si="694"/>
        <v>PA</v>
      </c>
      <c r="AP1047" s="1" t="str">
        <f t="shared" si="695"/>
        <v>False</v>
      </c>
      <c r="AR1047" s="1" t="str">
        <f t="shared" si="701"/>
        <v>GYNNA</v>
      </c>
      <c r="AY1047" s="1" t="str">
        <f t="shared" si="696"/>
        <v>PF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 t="str">
        <f t="shared" si="702"/>
        <v>SOLA RUBBER CANVAS</v>
      </c>
      <c r="BF1047" s="1" t="str">
        <f t="shared" si="697"/>
        <v>Bonis SpA</v>
      </c>
    </row>
    <row r="1048" spans="2:58" x14ac:dyDescent="0.25">
      <c r="B1048" s="1">
        <v>2464</v>
      </c>
      <c r="C1048" s="1" t="str">
        <f t="shared" si="699"/>
        <v>GYNNA4240S7/C1</v>
      </c>
      <c r="E1048" s="1" t="str">
        <f>"36"</f>
        <v>36</v>
      </c>
      <c r="F1048" s="1" t="str">
        <f t="shared" si="686"/>
        <v>BONIS SPA</v>
      </c>
      <c r="G1048" s="1" t="str">
        <f t="shared" si="673"/>
        <v>STOCK SCAFFALE MP</v>
      </c>
      <c r="H1048" s="1" t="str">
        <f t="shared" si="704"/>
        <v>PINK</v>
      </c>
      <c r="K1048" s="1">
        <v>1</v>
      </c>
      <c r="L1048" s="1" t="str">
        <f t="shared" si="687"/>
        <v>01</v>
      </c>
      <c r="M1048" s="1" t="str">
        <f t="shared" si="674"/>
        <v>408</v>
      </c>
      <c r="N1048" s="1" t="str">
        <f t="shared" si="684"/>
        <v>003</v>
      </c>
      <c r="O1048" s="1" t="str">
        <f t="shared" si="688"/>
        <v>00</v>
      </c>
      <c r="P1048" s="1" t="str">
        <f t="shared" si="689"/>
        <v>S</v>
      </c>
      <c r="Q1048" s="1" t="str">
        <f t="shared" si="690"/>
        <v>P</v>
      </c>
      <c r="R1048" s="1" t="str">
        <f t="shared" si="691"/>
        <v>01</v>
      </c>
      <c r="S1048" s="1" t="str">
        <f t="shared" si="675"/>
        <v>04</v>
      </c>
      <c r="T1048" s="1" t="str">
        <f t="shared" si="692"/>
        <v>False</v>
      </c>
      <c r="U1048" s="1" t="str">
        <f t="shared" si="693"/>
        <v>True</v>
      </c>
      <c r="V1048" s="1" t="str">
        <f t="shared" si="705"/>
        <v>U0033319</v>
      </c>
      <c r="W1048" s="1">
        <v>1</v>
      </c>
      <c r="Y1048" s="1">
        <v>0</v>
      </c>
      <c r="Z1048" s="1">
        <v>0</v>
      </c>
      <c r="AB1048" s="1" t="str">
        <f t="shared" si="679"/>
        <v>SMU</v>
      </c>
      <c r="AI1048" s="1" t="str">
        <f t="shared" si="703"/>
        <v>F11</v>
      </c>
      <c r="AJ1048" s="1" t="str">
        <f t="shared" si="700"/>
        <v>WOMAN</v>
      </c>
      <c r="AK1048" s="1" t="str">
        <f t="shared" si="694"/>
        <v>PA</v>
      </c>
      <c r="AP1048" s="1" t="str">
        <f t="shared" si="695"/>
        <v>False</v>
      </c>
      <c r="AR1048" s="1" t="str">
        <f t="shared" si="701"/>
        <v>GYNNA</v>
      </c>
      <c r="AY1048" s="1" t="str">
        <f t="shared" si="696"/>
        <v>PF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 t="str">
        <f t="shared" si="702"/>
        <v>SOLA RUBBER CANVAS</v>
      </c>
      <c r="BF1048" s="1" t="str">
        <f t="shared" si="697"/>
        <v>Bonis SpA</v>
      </c>
    </row>
    <row r="1049" spans="2:58" x14ac:dyDescent="0.25">
      <c r="B1049" s="1">
        <v>2464</v>
      </c>
      <c r="C1049" s="1" t="str">
        <f t="shared" si="699"/>
        <v>GYNNA4240S7/C1</v>
      </c>
      <c r="E1049" s="1" t="str">
        <f>"38"</f>
        <v>38</v>
      </c>
      <c r="F1049" s="1" t="str">
        <f t="shared" si="686"/>
        <v>BONIS SPA</v>
      </c>
      <c r="G1049" s="1" t="str">
        <f t="shared" si="673"/>
        <v>STOCK SCAFFALE MP</v>
      </c>
      <c r="H1049" s="1" t="str">
        <f t="shared" si="704"/>
        <v>PINK</v>
      </c>
      <c r="K1049" s="1">
        <v>3</v>
      </c>
      <c r="L1049" s="1" t="str">
        <f t="shared" si="687"/>
        <v>01</v>
      </c>
      <c r="M1049" s="1" t="str">
        <f t="shared" si="674"/>
        <v>408</v>
      </c>
      <c r="N1049" s="1" t="str">
        <f t="shared" ref="N1049:N1075" si="706">"003"</f>
        <v>003</v>
      </c>
      <c r="O1049" s="1" t="str">
        <f t="shared" si="688"/>
        <v>00</v>
      </c>
      <c r="P1049" s="1" t="str">
        <f t="shared" si="689"/>
        <v>S</v>
      </c>
      <c r="Q1049" s="1" t="str">
        <f t="shared" si="690"/>
        <v>P</v>
      </c>
      <c r="R1049" s="1" t="str">
        <f t="shared" si="691"/>
        <v>01</v>
      </c>
      <c r="S1049" s="1" t="str">
        <f t="shared" si="675"/>
        <v>04</v>
      </c>
      <c r="T1049" s="1" t="str">
        <f t="shared" si="692"/>
        <v>False</v>
      </c>
      <c r="U1049" s="1" t="str">
        <f t="shared" si="693"/>
        <v>True</v>
      </c>
      <c r="V1049" s="1" t="str">
        <f t="shared" si="705"/>
        <v>U0033319</v>
      </c>
      <c r="W1049" s="1">
        <v>1</v>
      </c>
      <c r="Y1049" s="1">
        <v>0</v>
      </c>
      <c r="Z1049" s="1">
        <v>0</v>
      </c>
      <c r="AB1049" s="1" t="str">
        <f t="shared" si="679"/>
        <v>SMU</v>
      </c>
      <c r="AI1049" s="1" t="str">
        <f t="shared" si="703"/>
        <v>F11</v>
      </c>
      <c r="AJ1049" s="1" t="str">
        <f t="shared" si="700"/>
        <v>WOMAN</v>
      </c>
      <c r="AK1049" s="1" t="str">
        <f t="shared" si="694"/>
        <v>PA</v>
      </c>
      <c r="AP1049" s="1" t="str">
        <f t="shared" si="695"/>
        <v>False</v>
      </c>
      <c r="AR1049" s="1" t="str">
        <f t="shared" si="701"/>
        <v>GYNNA</v>
      </c>
      <c r="AY1049" s="1" t="str">
        <f t="shared" si="696"/>
        <v>PF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 t="str">
        <f t="shared" si="702"/>
        <v>SOLA RUBBER CANVAS</v>
      </c>
      <c r="BF1049" s="1" t="str">
        <f t="shared" si="697"/>
        <v>Bonis SpA</v>
      </c>
    </row>
    <row r="1050" spans="2:58" x14ac:dyDescent="0.25">
      <c r="B1050" s="1">
        <v>2464</v>
      </c>
      <c r="C1050" s="1" t="str">
        <f t="shared" si="699"/>
        <v>GYNNA4240S7/C1</v>
      </c>
      <c r="E1050" s="1" t="str">
        <f>"37"</f>
        <v>37</v>
      </c>
      <c r="F1050" s="1" t="str">
        <f t="shared" si="686"/>
        <v>BONIS SPA</v>
      </c>
      <c r="G1050" s="1" t="str">
        <f t="shared" si="673"/>
        <v>STOCK SCAFFALE MP</v>
      </c>
      <c r="H1050" s="1" t="str">
        <f t="shared" si="704"/>
        <v>PINK</v>
      </c>
      <c r="K1050" s="1">
        <v>2</v>
      </c>
      <c r="L1050" s="1" t="str">
        <f t="shared" si="687"/>
        <v>01</v>
      </c>
      <c r="M1050" s="1" t="str">
        <f t="shared" si="674"/>
        <v>408</v>
      </c>
      <c r="N1050" s="1" t="str">
        <f t="shared" si="706"/>
        <v>003</v>
      </c>
      <c r="O1050" s="1" t="str">
        <f t="shared" si="688"/>
        <v>00</v>
      </c>
      <c r="P1050" s="1" t="str">
        <f t="shared" si="689"/>
        <v>S</v>
      </c>
      <c r="Q1050" s="1" t="str">
        <f t="shared" si="690"/>
        <v>P</v>
      </c>
      <c r="R1050" s="1" t="str">
        <f t="shared" si="691"/>
        <v>01</v>
      </c>
      <c r="S1050" s="1" t="str">
        <f t="shared" si="675"/>
        <v>04</v>
      </c>
      <c r="T1050" s="1" t="str">
        <f t="shared" si="692"/>
        <v>False</v>
      </c>
      <c r="U1050" s="1" t="str">
        <f t="shared" si="693"/>
        <v>True</v>
      </c>
      <c r="V1050" s="1" t="str">
        <f t="shared" si="705"/>
        <v>U0033319</v>
      </c>
      <c r="W1050" s="1">
        <v>1</v>
      </c>
      <c r="Y1050" s="1">
        <v>0</v>
      </c>
      <c r="Z1050" s="1">
        <v>0</v>
      </c>
      <c r="AB1050" s="1" t="str">
        <f t="shared" si="679"/>
        <v>SMU</v>
      </c>
      <c r="AI1050" s="1" t="str">
        <f t="shared" si="703"/>
        <v>F11</v>
      </c>
      <c r="AJ1050" s="1" t="str">
        <f t="shared" si="700"/>
        <v>WOMAN</v>
      </c>
      <c r="AK1050" s="1" t="str">
        <f t="shared" si="694"/>
        <v>PA</v>
      </c>
      <c r="AP1050" s="1" t="str">
        <f t="shared" si="695"/>
        <v>False</v>
      </c>
      <c r="AR1050" s="1" t="str">
        <f t="shared" si="701"/>
        <v>GYNNA</v>
      </c>
      <c r="AY1050" s="1" t="str">
        <f t="shared" si="696"/>
        <v>PF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 t="str">
        <f t="shared" si="702"/>
        <v>SOLA RUBBER CANVAS</v>
      </c>
      <c r="BF1050" s="1" t="str">
        <f t="shared" si="697"/>
        <v>Bonis SpA</v>
      </c>
    </row>
    <row r="1051" spans="2:58" x14ac:dyDescent="0.25">
      <c r="B1051" s="1">
        <v>2464</v>
      </c>
      <c r="C1051" s="1" t="str">
        <f t="shared" si="699"/>
        <v>GYNNA4240S7/C1</v>
      </c>
      <c r="E1051" s="1" t="str">
        <f>"40"</f>
        <v>40</v>
      </c>
      <c r="F1051" s="1" t="str">
        <f t="shared" si="686"/>
        <v>BONIS SPA</v>
      </c>
      <c r="G1051" s="1" t="str">
        <f t="shared" si="673"/>
        <v>STOCK SCAFFALE MP</v>
      </c>
      <c r="H1051" s="1" t="str">
        <f t="shared" si="704"/>
        <v>PINK</v>
      </c>
      <c r="K1051" s="1">
        <v>2</v>
      </c>
      <c r="L1051" s="1" t="str">
        <f t="shared" si="687"/>
        <v>01</v>
      </c>
      <c r="M1051" s="1" t="str">
        <f t="shared" si="674"/>
        <v>408</v>
      </c>
      <c r="N1051" s="1" t="str">
        <f t="shared" si="706"/>
        <v>003</v>
      </c>
      <c r="O1051" s="1" t="str">
        <f t="shared" si="688"/>
        <v>00</v>
      </c>
      <c r="P1051" s="1" t="str">
        <f t="shared" si="689"/>
        <v>S</v>
      </c>
      <c r="Q1051" s="1" t="str">
        <f t="shared" si="690"/>
        <v>P</v>
      </c>
      <c r="R1051" s="1" t="str">
        <f t="shared" si="691"/>
        <v>01</v>
      </c>
      <c r="S1051" s="1" t="str">
        <f t="shared" si="675"/>
        <v>04</v>
      </c>
      <c r="T1051" s="1" t="str">
        <f t="shared" si="692"/>
        <v>False</v>
      </c>
      <c r="U1051" s="1" t="str">
        <f t="shared" si="693"/>
        <v>True</v>
      </c>
      <c r="V1051" s="1" t="str">
        <f t="shared" si="705"/>
        <v>U0033319</v>
      </c>
      <c r="W1051" s="1">
        <v>1</v>
      </c>
      <c r="Y1051" s="1">
        <v>0</v>
      </c>
      <c r="Z1051" s="1">
        <v>0</v>
      </c>
      <c r="AB1051" s="1" t="str">
        <f t="shared" si="679"/>
        <v>SMU</v>
      </c>
      <c r="AI1051" s="1" t="str">
        <f t="shared" si="703"/>
        <v>F11</v>
      </c>
      <c r="AJ1051" s="1" t="str">
        <f t="shared" si="700"/>
        <v>WOMAN</v>
      </c>
      <c r="AK1051" s="1" t="str">
        <f t="shared" si="694"/>
        <v>PA</v>
      </c>
      <c r="AP1051" s="1" t="str">
        <f t="shared" si="695"/>
        <v>False</v>
      </c>
      <c r="AR1051" s="1" t="str">
        <f t="shared" si="701"/>
        <v>GYNNA</v>
      </c>
      <c r="AY1051" s="1" t="str">
        <f t="shared" si="696"/>
        <v>PF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 t="str">
        <f t="shared" si="702"/>
        <v>SOLA RUBBER CANVAS</v>
      </c>
      <c r="BF1051" s="1" t="str">
        <f t="shared" si="697"/>
        <v>Bonis SpA</v>
      </c>
    </row>
    <row r="1052" spans="2:58" x14ac:dyDescent="0.25">
      <c r="B1052" s="1">
        <v>2464</v>
      </c>
      <c r="C1052" s="1" t="str">
        <f t="shared" si="699"/>
        <v>GYNNA4240S7/C1</v>
      </c>
      <c r="E1052" s="1" t="str">
        <f>"39"</f>
        <v>39</v>
      </c>
      <c r="F1052" s="1" t="str">
        <f t="shared" si="686"/>
        <v>BONIS SPA</v>
      </c>
      <c r="G1052" s="1" t="str">
        <f t="shared" si="673"/>
        <v>STOCK SCAFFALE MP</v>
      </c>
      <c r="H1052" s="1" t="str">
        <f t="shared" si="704"/>
        <v>PINK</v>
      </c>
      <c r="K1052" s="1">
        <v>2</v>
      </c>
      <c r="L1052" s="1" t="str">
        <f t="shared" si="687"/>
        <v>01</v>
      </c>
      <c r="M1052" s="1" t="str">
        <f t="shared" si="674"/>
        <v>408</v>
      </c>
      <c r="N1052" s="1" t="str">
        <f t="shared" si="706"/>
        <v>003</v>
      </c>
      <c r="O1052" s="1" t="str">
        <f t="shared" si="688"/>
        <v>00</v>
      </c>
      <c r="P1052" s="1" t="str">
        <f t="shared" si="689"/>
        <v>S</v>
      </c>
      <c r="Q1052" s="1" t="str">
        <f t="shared" si="690"/>
        <v>P</v>
      </c>
      <c r="R1052" s="1" t="str">
        <f t="shared" si="691"/>
        <v>01</v>
      </c>
      <c r="S1052" s="1" t="str">
        <f t="shared" si="675"/>
        <v>04</v>
      </c>
      <c r="T1052" s="1" t="str">
        <f t="shared" si="692"/>
        <v>False</v>
      </c>
      <c r="U1052" s="1" t="str">
        <f t="shared" si="693"/>
        <v>True</v>
      </c>
      <c r="V1052" s="1" t="str">
        <f t="shared" ref="V1052:V1057" si="707">"U0033318"</f>
        <v>U0033318</v>
      </c>
      <c r="W1052" s="1">
        <v>1</v>
      </c>
      <c r="Y1052" s="1">
        <v>0</v>
      </c>
      <c r="Z1052" s="1">
        <v>0</v>
      </c>
      <c r="AB1052" s="1" t="str">
        <f t="shared" si="679"/>
        <v>SMU</v>
      </c>
      <c r="AI1052" s="1" t="str">
        <f t="shared" si="703"/>
        <v>F11</v>
      </c>
      <c r="AJ1052" s="1" t="str">
        <f t="shared" si="700"/>
        <v>WOMAN</v>
      </c>
      <c r="AK1052" s="1" t="str">
        <f t="shared" si="694"/>
        <v>PA</v>
      </c>
      <c r="AP1052" s="1" t="str">
        <f t="shared" si="695"/>
        <v>False</v>
      </c>
      <c r="AR1052" s="1" t="str">
        <f t="shared" si="701"/>
        <v>GYNNA</v>
      </c>
      <c r="AY1052" s="1" t="str">
        <f t="shared" si="696"/>
        <v>PF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 t="str">
        <f t="shared" si="702"/>
        <v>SOLA RUBBER CANVAS</v>
      </c>
      <c r="BF1052" s="1" t="str">
        <f t="shared" si="697"/>
        <v>Bonis SpA</v>
      </c>
    </row>
    <row r="1053" spans="2:58" x14ac:dyDescent="0.25">
      <c r="B1053" s="1">
        <v>2464</v>
      </c>
      <c r="C1053" s="1" t="str">
        <f t="shared" si="699"/>
        <v>GYNNA4240S7/C1</v>
      </c>
      <c r="E1053" s="1" t="str">
        <f>"41"</f>
        <v>41</v>
      </c>
      <c r="F1053" s="1" t="str">
        <f t="shared" si="686"/>
        <v>BONIS SPA</v>
      </c>
      <c r="G1053" s="1" t="str">
        <f t="shared" si="673"/>
        <v>STOCK SCAFFALE MP</v>
      </c>
      <c r="H1053" s="1" t="str">
        <f t="shared" si="704"/>
        <v>PINK</v>
      </c>
      <c r="K1053" s="1">
        <v>1</v>
      </c>
      <c r="L1053" s="1" t="str">
        <f t="shared" si="687"/>
        <v>01</v>
      </c>
      <c r="M1053" s="1" t="str">
        <f t="shared" si="674"/>
        <v>408</v>
      </c>
      <c r="N1053" s="1" t="str">
        <f t="shared" si="706"/>
        <v>003</v>
      </c>
      <c r="O1053" s="1" t="str">
        <f t="shared" si="688"/>
        <v>00</v>
      </c>
      <c r="P1053" s="1" t="str">
        <f t="shared" si="689"/>
        <v>S</v>
      </c>
      <c r="Q1053" s="1" t="str">
        <f t="shared" si="690"/>
        <v>P</v>
      </c>
      <c r="R1053" s="1" t="str">
        <f t="shared" si="691"/>
        <v>01</v>
      </c>
      <c r="S1053" s="1" t="str">
        <f t="shared" si="675"/>
        <v>04</v>
      </c>
      <c r="T1053" s="1" t="str">
        <f t="shared" si="692"/>
        <v>False</v>
      </c>
      <c r="U1053" s="1" t="str">
        <f t="shared" si="693"/>
        <v>True</v>
      </c>
      <c r="V1053" s="1" t="str">
        <f t="shared" si="707"/>
        <v>U0033318</v>
      </c>
      <c r="W1053" s="1">
        <v>1</v>
      </c>
      <c r="Y1053" s="1">
        <v>0</v>
      </c>
      <c r="Z1053" s="1">
        <v>0</v>
      </c>
      <c r="AB1053" s="1" t="str">
        <f t="shared" si="679"/>
        <v>SMU</v>
      </c>
      <c r="AI1053" s="1" t="str">
        <f t="shared" si="703"/>
        <v>F11</v>
      </c>
      <c r="AJ1053" s="1" t="str">
        <f t="shared" si="700"/>
        <v>WOMAN</v>
      </c>
      <c r="AK1053" s="1" t="str">
        <f t="shared" si="694"/>
        <v>PA</v>
      </c>
      <c r="AP1053" s="1" t="str">
        <f t="shared" si="695"/>
        <v>False</v>
      </c>
      <c r="AR1053" s="1" t="str">
        <f t="shared" si="701"/>
        <v>GYNNA</v>
      </c>
      <c r="AY1053" s="1" t="str">
        <f t="shared" si="696"/>
        <v>PF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 t="str">
        <f t="shared" si="702"/>
        <v>SOLA RUBBER CANVAS</v>
      </c>
      <c r="BF1053" s="1" t="str">
        <f t="shared" si="697"/>
        <v>Bonis SpA</v>
      </c>
    </row>
    <row r="1054" spans="2:58" x14ac:dyDescent="0.25">
      <c r="B1054" s="1">
        <v>2464</v>
      </c>
      <c r="C1054" s="1" t="str">
        <f t="shared" si="699"/>
        <v>GYNNA4240S7/C1</v>
      </c>
      <c r="E1054" s="1" t="str">
        <f>"36"</f>
        <v>36</v>
      </c>
      <c r="F1054" s="1" t="str">
        <f t="shared" si="686"/>
        <v>BONIS SPA</v>
      </c>
      <c r="G1054" s="1" t="str">
        <f t="shared" si="673"/>
        <v>STOCK SCAFFALE MP</v>
      </c>
      <c r="H1054" s="1" t="str">
        <f t="shared" si="704"/>
        <v>PINK</v>
      </c>
      <c r="K1054" s="1">
        <v>1</v>
      </c>
      <c r="L1054" s="1" t="str">
        <f t="shared" si="687"/>
        <v>01</v>
      </c>
      <c r="M1054" s="1" t="str">
        <f t="shared" si="674"/>
        <v>408</v>
      </c>
      <c r="N1054" s="1" t="str">
        <f t="shared" si="706"/>
        <v>003</v>
      </c>
      <c r="O1054" s="1" t="str">
        <f t="shared" si="688"/>
        <v>00</v>
      </c>
      <c r="P1054" s="1" t="str">
        <f t="shared" si="689"/>
        <v>S</v>
      </c>
      <c r="Q1054" s="1" t="str">
        <f t="shared" si="690"/>
        <v>P</v>
      </c>
      <c r="R1054" s="1" t="str">
        <f t="shared" si="691"/>
        <v>01</v>
      </c>
      <c r="S1054" s="1" t="str">
        <f t="shared" si="675"/>
        <v>04</v>
      </c>
      <c r="T1054" s="1" t="str">
        <f t="shared" si="692"/>
        <v>False</v>
      </c>
      <c r="U1054" s="1" t="str">
        <f t="shared" si="693"/>
        <v>True</v>
      </c>
      <c r="V1054" s="1" t="str">
        <f t="shared" si="707"/>
        <v>U0033318</v>
      </c>
      <c r="W1054" s="1">
        <v>1</v>
      </c>
      <c r="Y1054" s="1">
        <v>0</v>
      </c>
      <c r="Z1054" s="1">
        <v>0</v>
      </c>
      <c r="AB1054" s="1" t="str">
        <f t="shared" si="679"/>
        <v>SMU</v>
      </c>
      <c r="AI1054" s="1" t="str">
        <f t="shared" si="703"/>
        <v>F11</v>
      </c>
      <c r="AJ1054" s="1" t="str">
        <f t="shared" si="700"/>
        <v>WOMAN</v>
      </c>
      <c r="AK1054" s="1" t="str">
        <f t="shared" si="694"/>
        <v>PA</v>
      </c>
      <c r="AP1054" s="1" t="str">
        <f t="shared" si="695"/>
        <v>False</v>
      </c>
      <c r="AR1054" s="1" t="str">
        <f t="shared" si="701"/>
        <v>GYNNA</v>
      </c>
      <c r="AY1054" s="1" t="str">
        <f t="shared" si="696"/>
        <v>PF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 t="str">
        <f t="shared" si="702"/>
        <v>SOLA RUBBER CANVAS</v>
      </c>
      <c r="BF1054" s="1" t="str">
        <f t="shared" si="697"/>
        <v>Bonis SpA</v>
      </c>
    </row>
    <row r="1055" spans="2:58" x14ac:dyDescent="0.25">
      <c r="B1055" s="1">
        <v>2464</v>
      </c>
      <c r="C1055" s="1" t="str">
        <f t="shared" si="699"/>
        <v>GYNNA4240S7/C1</v>
      </c>
      <c r="E1055" s="1" t="str">
        <f>"38"</f>
        <v>38</v>
      </c>
      <c r="F1055" s="1" t="str">
        <f t="shared" si="686"/>
        <v>BONIS SPA</v>
      </c>
      <c r="G1055" s="1" t="str">
        <f t="shared" si="673"/>
        <v>STOCK SCAFFALE MP</v>
      </c>
      <c r="H1055" s="1" t="str">
        <f t="shared" si="704"/>
        <v>PINK</v>
      </c>
      <c r="K1055" s="1">
        <v>1</v>
      </c>
      <c r="L1055" s="1" t="str">
        <f t="shared" si="687"/>
        <v>01</v>
      </c>
      <c r="M1055" s="1" t="str">
        <f t="shared" si="674"/>
        <v>408</v>
      </c>
      <c r="N1055" s="1" t="str">
        <f t="shared" si="706"/>
        <v>003</v>
      </c>
      <c r="O1055" s="1" t="str">
        <f t="shared" si="688"/>
        <v>00</v>
      </c>
      <c r="P1055" s="1" t="str">
        <f t="shared" si="689"/>
        <v>S</v>
      </c>
      <c r="Q1055" s="1" t="str">
        <f t="shared" si="690"/>
        <v>P</v>
      </c>
      <c r="R1055" s="1" t="str">
        <f t="shared" si="691"/>
        <v>01</v>
      </c>
      <c r="S1055" s="1" t="str">
        <f t="shared" si="675"/>
        <v>04</v>
      </c>
      <c r="T1055" s="1" t="str">
        <f t="shared" si="692"/>
        <v>False</v>
      </c>
      <c r="U1055" s="1" t="str">
        <f t="shared" si="693"/>
        <v>True</v>
      </c>
      <c r="V1055" s="1" t="str">
        <f t="shared" si="707"/>
        <v>U0033318</v>
      </c>
      <c r="W1055" s="1">
        <v>1</v>
      </c>
      <c r="Y1055" s="1">
        <v>0</v>
      </c>
      <c r="Z1055" s="1">
        <v>0</v>
      </c>
      <c r="AB1055" s="1" t="str">
        <f t="shared" si="679"/>
        <v>SMU</v>
      </c>
      <c r="AI1055" s="1" t="str">
        <f t="shared" si="703"/>
        <v>F11</v>
      </c>
      <c r="AJ1055" s="1" t="str">
        <f t="shared" si="700"/>
        <v>WOMAN</v>
      </c>
      <c r="AK1055" s="1" t="str">
        <f t="shared" si="694"/>
        <v>PA</v>
      </c>
      <c r="AP1055" s="1" t="str">
        <f t="shared" si="695"/>
        <v>False</v>
      </c>
      <c r="AR1055" s="1" t="str">
        <f t="shared" si="701"/>
        <v>GYNNA</v>
      </c>
      <c r="AY1055" s="1" t="str">
        <f t="shared" si="696"/>
        <v>PF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 t="str">
        <f t="shared" si="702"/>
        <v>SOLA RUBBER CANVAS</v>
      </c>
      <c r="BF1055" s="1" t="str">
        <f t="shared" si="697"/>
        <v>Bonis SpA</v>
      </c>
    </row>
    <row r="1056" spans="2:58" x14ac:dyDescent="0.25">
      <c r="B1056" s="1">
        <v>2464</v>
      </c>
      <c r="C1056" s="1" t="str">
        <f t="shared" si="699"/>
        <v>GYNNA4240S7/C1</v>
      </c>
      <c r="E1056" s="1" t="str">
        <f>"40"</f>
        <v>40</v>
      </c>
      <c r="F1056" s="1" t="str">
        <f t="shared" si="686"/>
        <v>BONIS SPA</v>
      </c>
      <c r="G1056" s="1" t="str">
        <f t="shared" si="673"/>
        <v>STOCK SCAFFALE MP</v>
      </c>
      <c r="H1056" s="1" t="str">
        <f t="shared" si="704"/>
        <v>PINK</v>
      </c>
      <c r="K1056" s="1">
        <v>2</v>
      </c>
      <c r="L1056" s="1" t="str">
        <f t="shared" si="687"/>
        <v>01</v>
      </c>
      <c r="M1056" s="1" t="str">
        <f t="shared" si="674"/>
        <v>408</v>
      </c>
      <c r="N1056" s="1" t="str">
        <f t="shared" si="706"/>
        <v>003</v>
      </c>
      <c r="O1056" s="1" t="str">
        <f t="shared" si="688"/>
        <v>00</v>
      </c>
      <c r="P1056" s="1" t="str">
        <f t="shared" si="689"/>
        <v>S</v>
      </c>
      <c r="Q1056" s="1" t="str">
        <f t="shared" si="690"/>
        <v>P</v>
      </c>
      <c r="R1056" s="1" t="str">
        <f t="shared" si="691"/>
        <v>01</v>
      </c>
      <c r="S1056" s="1" t="str">
        <f t="shared" si="675"/>
        <v>04</v>
      </c>
      <c r="T1056" s="1" t="str">
        <f t="shared" si="692"/>
        <v>False</v>
      </c>
      <c r="U1056" s="1" t="str">
        <f t="shared" si="693"/>
        <v>True</v>
      </c>
      <c r="V1056" s="1" t="str">
        <f t="shared" si="707"/>
        <v>U0033318</v>
      </c>
      <c r="W1056" s="1">
        <v>1</v>
      </c>
      <c r="Y1056" s="1">
        <v>0</v>
      </c>
      <c r="Z1056" s="1">
        <v>0</v>
      </c>
      <c r="AB1056" s="1" t="str">
        <f t="shared" si="679"/>
        <v>SMU</v>
      </c>
      <c r="AI1056" s="1" t="str">
        <f t="shared" si="703"/>
        <v>F11</v>
      </c>
      <c r="AJ1056" s="1" t="str">
        <f t="shared" si="700"/>
        <v>WOMAN</v>
      </c>
      <c r="AK1056" s="1" t="str">
        <f t="shared" si="694"/>
        <v>PA</v>
      </c>
      <c r="AP1056" s="1" t="str">
        <f t="shared" si="695"/>
        <v>False</v>
      </c>
      <c r="AR1056" s="1" t="str">
        <f t="shared" si="701"/>
        <v>GYNNA</v>
      </c>
      <c r="AY1056" s="1" t="str">
        <f t="shared" si="696"/>
        <v>PF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 t="str">
        <f t="shared" si="702"/>
        <v>SOLA RUBBER CANVAS</v>
      </c>
      <c r="BF1056" s="1" t="str">
        <f t="shared" si="697"/>
        <v>Bonis SpA</v>
      </c>
    </row>
    <row r="1057" spans="2:58" x14ac:dyDescent="0.25">
      <c r="B1057" s="1">
        <v>2464</v>
      </c>
      <c r="C1057" s="1" t="str">
        <f t="shared" si="699"/>
        <v>GYNNA4240S7/C1</v>
      </c>
      <c r="E1057" s="1" t="str">
        <f>"37"</f>
        <v>37</v>
      </c>
      <c r="F1057" s="1" t="str">
        <f t="shared" si="686"/>
        <v>BONIS SPA</v>
      </c>
      <c r="G1057" s="1" t="str">
        <f t="shared" si="673"/>
        <v>STOCK SCAFFALE MP</v>
      </c>
      <c r="H1057" s="1" t="str">
        <f t="shared" si="704"/>
        <v>PINK</v>
      </c>
      <c r="K1057" s="1">
        <v>2</v>
      </c>
      <c r="L1057" s="1" t="str">
        <f t="shared" si="687"/>
        <v>01</v>
      </c>
      <c r="M1057" s="1" t="str">
        <f t="shared" si="674"/>
        <v>408</v>
      </c>
      <c r="N1057" s="1" t="str">
        <f t="shared" si="706"/>
        <v>003</v>
      </c>
      <c r="O1057" s="1" t="str">
        <f t="shared" si="688"/>
        <v>00</v>
      </c>
      <c r="P1057" s="1" t="str">
        <f t="shared" si="689"/>
        <v>S</v>
      </c>
      <c r="Q1057" s="1" t="str">
        <f t="shared" si="690"/>
        <v>P</v>
      </c>
      <c r="R1057" s="1" t="str">
        <f t="shared" si="691"/>
        <v>01</v>
      </c>
      <c r="S1057" s="1" t="str">
        <f t="shared" si="675"/>
        <v>04</v>
      </c>
      <c r="T1057" s="1" t="str">
        <f t="shared" si="692"/>
        <v>False</v>
      </c>
      <c r="U1057" s="1" t="str">
        <f t="shared" si="693"/>
        <v>True</v>
      </c>
      <c r="V1057" s="1" t="str">
        <f t="shared" si="707"/>
        <v>U0033318</v>
      </c>
      <c r="W1057" s="1">
        <v>1</v>
      </c>
      <c r="Y1057" s="1">
        <v>0</v>
      </c>
      <c r="Z1057" s="1">
        <v>0</v>
      </c>
      <c r="AB1057" s="1" t="str">
        <f t="shared" si="679"/>
        <v>SMU</v>
      </c>
      <c r="AI1057" s="1" t="str">
        <f t="shared" si="703"/>
        <v>F11</v>
      </c>
      <c r="AJ1057" s="1" t="str">
        <f t="shared" si="700"/>
        <v>WOMAN</v>
      </c>
      <c r="AK1057" s="1" t="str">
        <f t="shared" si="694"/>
        <v>PA</v>
      </c>
      <c r="AP1057" s="1" t="str">
        <f t="shared" si="695"/>
        <v>False</v>
      </c>
      <c r="AR1057" s="1" t="str">
        <f t="shared" si="701"/>
        <v>GYNNA</v>
      </c>
      <c r="AY1057" s="1" t="str">
        <f t="shared" si="696"/>
        <v>PF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 t="str">
        <f t="shared" si="702"/>
        <v>SOLA RUBBER CANVAS</v>
      </c>
      <c r="BF1057" s="1" t="str">
        <f t="shared" si="697"/>
        <v>Bonis SpA</v>
      </c>
    </row>
    <row r="1058" spans="2:58" x14ac:dyDescent="0.25">
      <c r="B1058" s="1">
        <v>2464</v>
      </c>
      <c r="C1058" s="1" t="str">
        <f t="shared" si="699"/>
        <v>GYNNA4240S7/C1</v>
      </c>
      <c r="E1058" s="1" t="str">
        <f>"37"</f>
        <v>37</v>
      </c>
      <c r="F1058" s="1" t="str">
        <f t="shared" si="686"/>
        <v>BONIS SPA</v>
      </c>
      <c r="G1058" s="1" t="str">
        <f t="shared" si="673"/>
        <v>STOCK SCAFFALE MP</v>
      </c>
      <c r="H1058" s="1" t="str">
        <f t="shared" ref="H1058:H1063" si="708">"RED"</f>
        <v>RED</v>
      </c>
      <c r="K1058" s="1">
        <v>2</v>
      </c>
      <c r="L1058" s="1" t="str">
        <f t="shared" si="687"/>
        <v>01</v>
      </c>
      <c r="M1058" s="1" t="str">
        <f t="shared" si="674"/>
        <v>408</v>
      </c>
      <c r="N1058" s="1" t="str">
        <f t="shared" si="706"/>
        <v>003</v>
      </c>
      <c r="O1058" s="1" t="str">
        <f t="shared" si="688"/>
        <v>00</v>
      </c>
      <c r="P1058" s="1" t="str">
        <f t="shared" si="689"/>
        <v>S</v>
      </c>
      <c r="Q1058" s="1" t="str">
        <f t="shared" si="690"/>
        <v>P</v>
      </c>
      <c r="R1058" s="1" t="str">
        <f t="shared" si="691"/>
        <v>01</v>
      </c>
      <c r="S1058" s="1" t="str">
        <f t="shared" si="675"/>
        <v>04</v>
      </c>
      <c r="T1058" s="1" t="str">
        <f t="shared" si="692"/>
        <v>False</v>
      </c>
      <c r="U1058" s="1" t="str">
        <f t="shared" si="693"/>
        <v>True</v>
      </c>
      <c r="V1058" s="1" t="str">
        <f>"U0033317"</f>
        <v>U0033317</v>
      </c>
      <c r="W1058" s="1">
        <v>1</v>
      </c>
      <c r="Y1058" s="1">
        <v>0</v>
      </c>
      <c r="Z1058" s="1">
        <v>0</v>
      </c>
      <c r="AB1058" s="1" t="str">
        <f t="shared" si="679"/>
        <v>SMU</v>
      </c>
      <c r="AI1058" s="1" t="str">
        <f t="shared" si="703"/>
        <v>F11</v>
      </c>
      <c r="AJ1058" s="1" t="str">
        <f t="shared" si="700"/>
        <v>WOMAN</v>
      </c>
      <c r="AK1058" s="1" t="str">
        <f t="shared" si="694"/>
        <v>PA</v>
      </c>
      <c r="AP1058" s="1" t="str">
        <f t="shared" si="695"/>
        <v>False</v>
      </c>
      <c r="AR1058" s="1" t="str">
        <f t="shared" si="701"/>
        <v>GYNNA</v>
      </c>
      <c r="AY1058" s="1" t="str">
        <f t="shared" si="696"/>
        <v>PF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 t="str">
        <f t="shared" si="702"/>
        <v>SOLA RUBBER CANVAS</v>
      </c>
      <c r="BF1058" s="1" t="str">
        <f t="shared" si="697"/>
        <v>Bonis SpA</v>
      </c>
    </row>
    <row r="1059" spans="2:58" x14ac:dyDescent="0.25">
      <c r="B1059" s="1">
        <v>2464</v>
      </c>
      <c r="C1059" s="1" t="str">
        <f t="shared" si="699"/>
        <v>GYNNA4240S7/C1</v>
      </c>
      <c r="E1059" s="1" t="str">
        <f>"40"</f>
        <v>40</v>
      </c>
      <c r="F1059" s="1" t="str">
        <f t="shared" si="686"/>
        <v>BONIS SPA</v>
      </c>
      <c r="G1059" s="1" t="str">
        <f t="shared" si="673"/>
        <v>STOCK SCAFFALE MP</v>
      </c>
      <c r="H1059" s="1" t="str">
        <f t="shared" si="708"/>
        <v>RED</v>
      </c>
      <c r="K1059" s="1">
        <v>2</v>
      </c>
      <c r="L1059" s="1" t="str">
        <f t="shared" si="687"/>
        <v>01</v>
      </c>
      <c r="M1059" s="1" t="str">
        <f t="shared" si="674"/>
        <v>408</v>
      </c>
      <c r="N1059" s="1" t="str">
        <f t="shared" si="706"/>
        <v>003</v>
      </c>
      <c r="O1059" s="1" t="str">
        <f t="shared" si="688"/>
        <v>00</v>
      </c>
      <c r="P1059" s="1" t="str">
        <f t="shared" si="689"/>
        <v>S</v>
      </c>
      <c r="Q1059" s="1" t="str">
        <f t="shared" si="690"/>
        <v>P</v>
      </c>
      <c r="R1059" s="1" t="str">
        <f t="shared" si="691"/>
        <v>01</v>
      </c>
      <c r="S1059" s="1" t="str">
        <f t="shared" si="675"/>
        <v>04</v>
      </c>
      <c r="T1059" s="1" t="str">
        <f t="shared" si="692"/>
        <v>False</v>
      </c>
      <c r="U1059" s="1" t="str">
        <f t="shared" si="693"/>
        <v>True</v>
      </c>
      <c r="V1059" s="1" t="str">
        <f>"U0033317"</f>
        <v>U0033317</v>
      </c>
      <c r="W1059" s="1">
        <v>1</v>
      </c>
      <c r="Y1059" s="1">
        <v>0</v>
      </c>
      <c r="Z1059" s="1">
        <v>0</v>
      </c>
      <c r="AB1059" s="1" t="str">
        <f t="shared" si="679"/>
        <v>SMU</v>
      </c>
      <c r="AI1059" s="1" t="str">
        <f t="shared" si="703"/>
        <v>F11</v>
      </c>
      <c r="AJ1059" s="1" t="str">
        <f t="shared" si="700"/>
        <v>WOMAN</v>
      </c>
      <c r="AK1059" s="1" t="str">
        <f t="shared" si="694"/>
        <v>PA</v>
      </c>
      <c r="AP1059" s="1" t="str">
        <f t="shared" si="695"/>
        <v>False</v>
      </c>
      <c r="AR1059" s="1" t="str">
        <f t="shared" si="701"/>
        <v>GYNNA</v>
      </c>
      <c r="AY1059" s="1" t="str">
        <f t="shared" si="696"/>
        <v>PF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 t="str">
        <f t="shared" si="702"/>
        <v>SOLA RUBBER CANVAS</v>
      </c>
      <c r="BF1059" s="1" t="str">
        <f t="shared" si="697"/>
        <v>Bonis SpA</v>
      </c>
    </row>
    <row r="1060" spans="2:58" x14ac:dyDescent="0.25">
      <c r="B1060" s="1">
        <v>2464</v>
      </c>
      <c r="C1060" s="1" t="str">
        <f t="shared" si="699"/>
        <v>GYNNA4240S7/C1</v>
      </c>
      <c r="E1060" s="1" t="str">
        <f>"36"</f>
        <v>36</v>
      </c>
      <c r="F1060" s="1" t="str">
        <f t="shared" si="686"/>
        <v>BONIS SPA</v>
      </c>
      <c r="G1060" s="1" t="str">
        <f t="shared" si="673"/>
        <v>STOCK SCAFFALE MP</v>
      </c>
      <c r="H1060" s="1" t="str">
        <f t="shared" si="708"/>
        <v>RED</v>
      </c>
      <c r="K1060" s="1">
        <v>1</v>
      </c>
      <c r="L1060" s="1" t="str">
        <f t="shared" si="687"/>
        <v>01</v>
      </c>
      <c r="M1060" s="1" t="str">
        <f t="shared" si="674"/>
        <v>408</v>
      </c>
      <c r="N1060" s="1" t="str">
        <f t="shared" si="706"/>
        <v>003</v>
      </c>
      <c r="O1060" s="1" t="str">
        <f t="shared" si="688"/>
        <v>00</v>
      </c>
      <c r="P1060" s="1" t="str">
        <f t="shared" si="689"/>
        <v>S</v>
      </c>
      <c r="Q1060" s="1" t="str">
        <f t="shared" si="690"/>
        <v>P</v>
      </c>
      <c r="R1060" s="1" t="str">
        <f t="shared" si="691"/>
        <v>01</v>
      </c>
      <c r="S1060" s="1" t="str">
        <f t="shared" si="675"/>
        <v>04</v>
      </c>
      <c r="T1060" s="1" t="str">
        <f t="shared" si="692"/>
        <v>False</v>
      </c>
      <c r="U1060" s="1" t="str">
        <f t="shared" si="693"/>
        <v>True</v>
      </c>
      <c r="V1060" s="1" t="str">
        <f>"U0033317"</f>
        <v>U0033317</v>
      </c>
      <c r="W1060" s="1">
        <v>1</v>
      </c>
      <c r="Y1060" s="1">
        <v>0</v>
      </c>
      <c r="Z1060" s="1">
        <v>0</v>
      </c>
      <c r="AB1060" s="1" t="str">
        <f t="shared" si="679"/>
        <v>SMU</v>
      </c>
      <c r="AI1060" s="1" t="str">
        <f t="shared" si="703"/>
        <v>F11</v>
      </c>
      <c r="AJ1060" s="1" t="str">
        <f t="shared" si="700"/>
        <v>WOMAN</v>
      </c>
      <c r="AK1060" s="1" t="str">
        <f t="shared" si="694"/>
        <v>PA</v>
      </c>
      <c r="AP1060" s="1" t="str">
        <f t="shared" si="695"/>
        <v>False</v>
      </c>
      <c r="AR1060" s="1" t="str">
        <f t="shared" si="701"/>
        <v>GYNNA</v>
      </c>
      <c r="AY1060" s="1" t="str">
        <f t="shared" si="696"/>
        <v>PF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 t="str">
        <f t="shared" si="702"/>
        <v>SOLA RUBBER CANVAS</v>
      </c>
      <c r="BF1060" s="1" t="str">
        <f t="shared" si="697"/>
        <v>Bonis SpA</v>
      </c>
    </row>
    <row r="1061" spans="2:58" x14ac:dyDescent="0.25">
      <c r="B1061" s="1">
        <v>2464</v>
      </c>
      <c r="C1061" s="1" t="str">
        <f t="shared" si="699"/>
        <v>GYNNA4240S7/C1</v>
      </c>
      <c r="E1061" s="1" t="str">
        <f>"38"</f>
        <v>38</v>
      </c>
      <c r="F1061" s="1" t="str">
        <f t="shared" si="686"/>
        <v>BONIS SPA</v>
      </c>
      <c r="G1061" s="1" t="str">
        <f t="shared" si="673"/>
        <v>STOCK SCAFFALE MP</v>
      </c>
      <c r="H1061" s="1" t="str">
        <f t="shared" si="708"/>
        <v>RED</v>
      </c>
      <c r="K1061" s="1">
        <v>1</v>
      </c>
      <c r="L1061" s="1" t="str">
        <f t="shared" si="687"/>
        <v>01</v>
      </c>
      <c r="M1061" s="1" t="str">
        <f t="shared" si="674"/>
        <v>408</v>
      </c>
      <c r="N1061" s="1" t="str">
        <f t="shared" si="706"/>
        <v>003</v>
      </c>
      <c r="O1061" s="1" t="str">
        <f t="shared" si="688"/>
        <v>00</v>
      </c>
      <c r="P1061" s="1" t="str">
        <f t="shared" si="689"/>
        <v>S</v>
      </c>
      <c r="Q1061" s="1" t="str">
        <f t="shared" si="690"/>
        <v>P</v>
      </c>
      <c r="R1061" s="1" t="str">
        <f t="shared" si="691"/>
        <v>01</v>
      </c>
      <c r="S1061" s="1" t="str">
        <f t="shared" si="675"/>
        <v>04</v>
      </c>
      <c r="T1061" s="1" t="str">
        <f t="shared" si="692"/>
        <v>False</v>
      </c>
      <c r="U1061" s="1" t="str">
        <f t="shared" si="693"/>
        <v>True</v>
      </c>
      <c r="V1061" s="1" t="str">
        <f>"U0033317"</f>
        <v>U0033317</v>
      </c>
      <c r="W1061" s="1">
        <v>1</v>
      </c>
      <c r="Y1061" s="1">
        <v>0</v>
      </c>
      <c r="Z1061" s="1">
        <v>0</v>
      </c>
      <c r="AB1061" s="1" t="str">
        <f t="shared" si="679"/>
        <v>SMU</v>
      </c>
      <c r="AI1061" s="1" t="str">
        <f t="shared" si="703"/>
        <v>F11</v>
      </c>
      <c r="AJ1061" s="1" t="str">
        <f t="shared" si="700"/>
        <v>WOMAN</v>
      </c>
      <c r="AK1061" s="1" t="str">
        <f t="shared" si="694"/>
        <v>PA</v>
      </c>
      <c r="AP1061" s="1" t="str">
        <f t="shared" si="695"/>
        <v>False</v>
      </c>
      <c r="AR1061" s="1" t="str">
        <f t="shared" si="701"/>
        <v>GYNNA</v>
      </c>
      <c r="AY1061" s="1" t="str">
        <f t="shared" si="696"/>
        <v>PF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 t="str">
        <f t="shared" si="702"/>
        <v>SOLA RUBBER CANVAS</v>
      </c>
      <c r="BF1061" s="1" t="str">
        <f t="shared" si="697"/>
        <v>Bonis SpA</v>
      </c>
    </row>
    <row r="1062" spans="2:58" x14ac:dyDescent="0.25">
      <c r="B1062" s="1">
        <v>2464</v>
      </c>
      <c r="C1062" s="1" t="str">
        <f t="shared" si="699"/>
        <v>GYNNA4240S7/C1</v>
      </c>
      <c r="E1062" s="1" t="str">
        <f>"39"</f>
        <v>39</v>
      </c>
      <c r="F1062" s="1" t="str">
        <f t="shared" si="686"/>
        <v>BONIS SPA</v>
      </c>
      <c r="G1062" s="1" t="str">
        <f t="shared" si="673"/>
        <v>STOCK SCAFFALE MP</v>
      </c>
      <c r="H1062" s="1" t="str">
        <f t="shared" si="708"/>
        <v>RED</v>
      </c>
      <c r="K1062" s="1">
        <v>4</v>
      </c>
      <c r="L1062" s="1" t="str">
        <f t="shared" si="687"/>
        <v>01</v>
      </c>
      <c r="M1062" s="1" t="str">
        <f t="shared" si="674"/>
        <v>408</v>
      </c>
      <c r="N1062" s="1" t="str">
        <f t="shared" si="706"/>
        <v>003</v>
      </c>
      <c r="O1062" s="1" t="str">
        <f t="shared" si="688"/>
        <v>00</v>
      </c>
      <c r="P1062" s="1" t="str">
        <f t="shared" si="689"/>
        <v>S</v>
      </c>
      <c r="Q1062" s="1" t="str">
        <f t="shared" si="690"/>
        <v>P</v>
      </c>
      <c r="R1062" s="1" t="str">
        <f t="shared" si="691"/>
        <v>01</v>
      </c>
      <c r="S1062" s="1" t="str">
        <f t="shared" si="675"/>
        <v>04</v>
      </c>
      <c r="T1062" s="1" t="str">
        <f t="shared" si="692"/>
        <v>False</v>
      </c>
      <c r="U1062" s="1" t="str">
        <f t="shared" si="693"/>
        <v>True</v>
      </c>
      <c r="V1062" s="1" t="str">
        <f>"U0033317"</f>
        <v>U0033317</v>
      </c>
      <c r="W1062" s="1">
        <v>1</v>
      </c>
      <c r="Y1062" s="1">
        <v>0</v>
      </c>
      <c r="Z1062" s="1">
        <v>0</v>
      </c>
      <c r="AB1062" s="1" t="str">
        <f t="shared" si="679"/>
        <v>SMU</v>
      </c>
      <c r="AI1062" s="1" t="str">
        <f t="shared" si="703"/>
        <v>F11</v>
      </c>
      <c r="AJ1062" s="1" t="str">
        <f t="shared" si="700"/>
        <v>WOMAN</v>
      </c>
      <c r="AK1062" s="1" t="str">
        <f t="shared" si="694"/>
        <v>PA</v>
      </c>
      <c r="AP1062" s="1" t="str">
        <f t="shared" si="695"/>
        <v>False</v>
      </c>
      <c r="AR1062" s="1" t="str">
        <f t="shared" si="701"/>
        <v>GYNNA</v>
      </c>
      <c r="AY1062" s="1" t="str">
        <f t="shared" si="696"/>
        <v>PF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 t="str">
        <f t="shared" si="702"/>
        <v>SOLA RUBBER CANVAS</v>
      </c>
      <c r="BF1062" s="1" t="str">
        <f t="shared" si="697"/>
        <v>Bonis SpA</v>
      </c>
    </row>
    <row r="1063" spans="2:58" x14ac:dyDescent="0.25">
      <c r="B1063" s="1">
        <v>2464</v>
      </c>
      <c r="C1063" s="1" t="str">
        <f t="shared" si="699"/>
        <v>GYNNA4240S7/C1</v>
      </c>
      <c r="E1063" s="1" t="str">
        <f>"39"</f>
        <v>39</v>
      </c>
      <c r="F1063" s="1" t="str">
        <f t="shared" si="686"/>
        <v>BONIS SPA</v>
      </c>
      <c r="G1063" s="1" t="str">
        <f t="shared" si="673"/>
        <v>STOCK SCAFFALE MP</v>
      </c>
      <c r="H1063" s="1" t="str">
        <f t="shared" si="708"/>
        <v>RED</v>
      </c>
      <c r="K1063" s="1">
        <v>2</v>
      </c>
      <c r="L1063" s="1" t="str">
        <f t="shared" si="687"/>
        <v>01</v>
      </c>
      <c r="M1063" s="1" t="str">
        <f t="shared" si="674"/>
        <v>408</v>
      </c>
      <c r="N1063" s="1" t="str">
        <f t="shared" si="706"/>
        <v>003</v>
      </c>
      <c r="O1063" s="1" t="str">
        <f t="shared" si="688"/>
        <v>00</v>
      </c>
      <c r="P1063" s="1" t="str">
        <f t="shared" si="689"/>
        <v>S</v>
      </c>
      <c r="Q1063" s="1" t="str">
        <f t="shared" si="690"/>
        <v>P</v>
      </c>
      <c r="R1063" s="1" t="str">
        <f t="shared" si="691"/>
        <v>01</v>
      </c>
      <c r="S1063" s="1" t="str">
        <f t="shared" si="675"/>
        <v>04</v>
      </c>
      <c r="T1063" s="1" t="str">
        <f t="shared" si="692"/>
        <v>False</v>
      </c>
      <c r="U1063" s="1" t="str">
        <f t="shared" si="693"/>
        <v>True</v>
      </c>
      <c r="V1063" s="1" t="str">
        <f>"U0033310"</f>
        <v>U0033310</v>
      </c>
      <c r="W1063" s="1">
        <v>1</v>
      </c>
      <c r="Y1063" s="1">
        <v>0</v>
      </c>
      <c r="Z1063" s="1">
        <v>0</v>
      </c>
      <c r="AB1063" s="1" t="str">
        <f t="shared" si="679"/>
        <v>SMU</v>
      </c>
      <c r="AI1063" s="1" t="str">
        <f>"106"</f>
        <v>106</v>
      </c>
      <c r="AJ1063" s="1" t="str">
        <f t="shared" si="700"/>
        <v>WOMAN</v>
      </c>
      <c r="AK1063" s="1" t="str">
        <f t="shared" si="694"/>
        <v>PA</v>
      </c>
      <c r="AP1063" s="1" t="str">
        <f t="shared" si="695"/>
        <v>False</v>
      </c>
      <c r="AR1063" s="1" t="str">
        <f t="shared" si="701"/>
        <v>GYNNA</v>
      </c>
      <c r="AY1063" s="1" t="str">
        <f t="shared" si="696"/>
        <v>PF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 t="str">
        <f t="shared" si="702"/>
        <v>SOLA RUBBER CANVAS</v>
      </c>
      <c r="BF1063" s="1" t="str">
        <f t="shared" si="697"/>
        <v>Bonis SpA</v>
      </c>
    </row>
    <row r="1064" spans="2:58" x14ac:dyDescent="0.25">
      <c r="B1064" s="1">
        <v>2464</v>
      </c>
      <c r="C1064" s="1" t="str">
        <f>"GYNNA4240S7/T1"</f>
        <v>GYNNA4240S7/T1</v>
      </c>
      <c r="E1064" s="1" t="str">
        <f>"36"</f>
        <v>36</v>
      </c>
      <c r="F1064" s="1" t="str">
        <f t="shared" si="686"/>
        <v>BONIS SPA</v>
      </c>
      <c r="G1064" s="1" t="str">
        <f t="shared" si="673"/>
        <v>STOCK SCAFFALE MP</v>
      </c>
      <c r="H1064" s="1" t="str">
        <f>"DKBL"</f>
        <v>DKBL</v>
      </c>
      <c r="K1064" s="1">
        <v>1</v>
      </c>
      <c r="L1064" s="1" t="str">
        <f t="shared" si="687"/>
        <v>01</v>
      </c>
      <c r="M1064" s="1" t="str">
        <f t="shared" si="674"/>
        <v>408</v>
      </c>
      <c r="N1064" s="1" t="str">
        <f t="shared" si="706"/>
        <v>003</v>
      </c>
      <c r="O1064" s="1" t="str">
        <f t="shared" si="688"/>
        <v>00</v>
      </c>
      <c r="P1064" s="1" t="str">
        <f t="shared" si="689"/>
        <v>S</v>
      </c>
      <c r="Q1064" s="1" t="str">
        <f t="shared" si="690"/>
        <v>P</v>
      </c>
      <c r="R1064" s="1" t="str">
        <f t="shared" si="691"/>
        <v>01</v>
      </c>
      <c r="S1064" s="1" t="str">
        <f t="shared" si="675"/>
        <v>04</v>
      </c>
      <c r="T1064" s="1" t="str">
        <f t="shared" si="692"/>
        <v>False</v>
      </c>
      <c r="U1064" s="1" t="str">
        <f t="shared" si="693"/>
        <v>True</v>
      </c>
      <c r="V1064" s="1" t="str">
        <f>"U0033317"</f>
        <v>U0033317</v>
      </c>
      <c r="W1064" s="1">
        <v>1</v>
      </c>
      <c r="Y1064" s="1">
        <v>0</v>
      </c>
      <c r="Z1064" s="1">
        <v>0</v>
      </c>
      <c r="AB1064" s="1" t="str">
        <f t="shared" si="679"/>
        <v>SMU</v>
      </c>
      <c r="AI1064" s="1" t="str">
        <f>"106"</f>
        <v>106</v>
      </c>
      <c r="AJ1064" s="1" t="str">
        <f t="shared" si="700"/>
        <v>WOMAN</v>
      </c>
      <c r="AK1064" s="1" t="str">
        <f t="shared" si="694"/>
        <v>PA</v>
      </c>
      <c r="AP1064" s="1" t="str">
        <f t="shared" si="695"/>
        <v>False</v>
      </c>
      <c r="AR1064" s="1" t="str">
        <f t="shared" si="701"/>
        <v>GYNNA</v>
      </c>
      <c r="AY1064" s="1" t="str">
        <f t="shared" si="696"/>
        <v>PF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 t="str">
        <f>"SOLA RUBBER TEXTILE JEANS"</f>
        <v>SOLA RUBBER TEXTILE JEANS</v>
      </c>
      <c r="BF1064" s="1" t="str">
        <f t="shared" si="697"/>
        <v>Bonis SpA</v>
      </c>
    </row>
    <row r="1065" spans="2:58" x14ac:dyDescent="0.25">
      <c r="B1065" s="1">
        <v>2464</v>
      </c>
      <c r="C1065" s="1" t="str">
        <f t="shared" ref="C1065:C1075" si="709">"GYNNA4240S7/C1"</f>
        <v>GYNNA4240S7/C1</v>
      </c>
      <c r="E1065" s="1" t="str">
        <f>"39"</f>
        <v>39</v>
      </c>
      <c r="F1065" s="1" t="str">
        <f t="shared" si="686"/>
        <v>BONIS SPA</v>
      </c>
      <c r="G1065" s="1" t="str">
        <f t="shared" si="673"/>
        <v>STOCK SCAFFALE MP</v>
      </c>
      <c r="H1065" s="1" t="str">
        <f>"RED"</f>
        <v>RED</v>
      </c>
      <c r="K1065" s="1">
        <v>3</v>
      </c>
      <c r="L1065" s="1" t="str">
        <f t="shared" si="687"/>
        <v>01</v>
      </c>
      <c r="M1065" s="1" t="str">
        <f t="shared" si="674"/>
        <v>408</v>
      </c>
      <c r="N1065" s="1" t="str">
        <f t="shared" si="706"/>
        <v>003</v>
      </c>
      <c r="O1065" s="1" t="str">
        <f t="shared" si="688"/>
        <v>00</v>
      </c>
      <c r="P1065" s="1" t="str">
        <f t="shared" si="689"/>
        <v>S</v>
      </c>
      <c r="Q1065" s="1" t="str">
        <f t="shared" si="690"/>
        <v>P</v>
      </c>
      <c r="R1065" s="1" t="str">
        <f t="shared" si="691"/>
        <v>01</v>
      </c>
      <c r="S1065" s="1" t="str">
        <f t="shared" si="675"/>
        <v>04</v>
      </c>
      <c r="T1065" s="1" t="str">
        <f t="shared" si="692"/>
        <v>False</v>
      </c>
      <c r="U1065" s="1" t="str">
        <f t="shared" si="693"/>
        <v>True</v>
      </c>
      <c r="V1065" s="1" t="str">
        <f>"U0033313"</f>
        <v>U0033313</v>
      </c>
      <c r="W1065" s="1">
        <v>1</v>
      </c>
      <c r="Y1065" s="1">
        <v>0</v>
      </c>
      <c r="Z1065" s="1">
        <v>0</v>
      </c>
      <c r="AB1065" s="1" t="str">
        <f t="shared" si="679"/>
        <v>SMU</v>
      </c>
      <c r="AI1065" s="1" t="str">
        <f t="shared" ref="AI1065:AI1075" si="710">"F11"</f>
        <v>F11</v>
      </c>
      <c r="AJ1065" s="1" t="str">
        <f t="shared" si="700"/>
        <v>WOMAN</v>
      </c>
      <c r="AK1065" s="1" t="str">
        <f t="shared" si="694"/>
        <v>PA</v>
      </c>
      <c r="AP1065" s="1" t="str">
        <f t="shared" si="695"/>
        <v>False</v>
      </c>
      <c r="AR1065" s="1" t="str">
        <f t="shared" si="701"/>
        <v>GYNNA</v>
      </c>
      <c r="AY1065" s="1" t="str">
        <f t="shared" si="696"/>
        <v>PF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 t="str">
        <f t="shared" ref="BE1065:BE1075" si="711">"SOLA RUBBER CANVAS"</f>
        <v>SOLA RUBBER CANVAS</v>
      </c>
      <c r="BF1065" s="1" t="str">
        <f t="shared" si="697"/>
        <v>Bonis SpA</v>
      </c>
    </row>
    <row r="1066" spans="2:58" x14ac:dyDescent="0.25">
      <c r="B1066" s="1">
        <v>2464</v>
      </c>
      <c r="C1066" s="1" t="str">
        <f t="shared" si="709"/>
        <v>GYNNA4240S7/C1</v>
      </c>
      <c r="E1066" s="1" t="str">
        <f>"36"</f>
        <v>36</v>
      </c>
      <c r="F1066" s="1" t="str">
        <f t="shared" si="686"/>
        <v>BONIS SPA</v>
      </c>
      <c r="G1066" s="1" t="str">
        <f t="shared" si="673"/>
        <v>STOCK SCAFFALE MP</v>
      </c>
      <c r="H1066" s="1" t="str">
        <f>"RED"</f>
        <v>RED</v>
      </c>
      <c r="K1066" s="1">
        <v>1</v>
      </c>
      <c r="L1066" s="1" t="str">
        <f t="shared" si="687"/>
        <v>01</v>
      </c>
      <c r="M1066" s="1" t="str">
        <f t="shared" si="674"/>
        <v>408</v>
      </c>
      <c r="N1066" s="1" t="str">
        <f t="shared" si="706"/>
        <v>003</v>
      </c>
      <c r="O1066" s="1" t="str">
        <f t="shared" si="688"/>
        <v>00</v>
      </c>
      <c r="P1066" s="1" t="str">
        <f t="shared" si="689"/>
        <v>S</v>
      </c>
      <c r="Q1066" s="1" t="str">
        <f t="shared" si="690"/>
        <v>P</v>
      </c>
      <c r="R1066" s="1" t="str">
        <f t="shared" si="691"/>
        <v>01</v>
      </c>
      <c r="S1066" s="1" t="str">
        <f t="shared" si="675"/>
        <v>04</v>
      </c>
      <c r="T1066" s="1" t="str">
        <f t="shared" si="692"/>
        <v>False</v>
      </c>
      <c r="U1066" s="1" t="str">
        <f t="shared" si="693"/>
        <v>True</v>
      </c>
      <c r="V1066" s="1" t="str">
        <f>"U0033313"</f>
        <v>U0033313</v>
      </c>
      <c r="W1066" s="1">
        <v>1</v>
      </c>
      <c r="Y1066" s="1">
        <v>0</v>
      </c>
      <c r="Z1066" s="1">
        <v>0</v>
      </c>
      <c r="AB1066" s="1" t="str">
        <f t="shared" si="679"/>
        <v>SMU</v>
      </c>
      <c r="AI1066" s="1" t="str">
        <f t="shared" si="710"/>
        <v>F11</v>
      </c>
      <c r="AJ1066" s="1" t="str">
        <f t="shared" si="700"/>
        <v>WOMAN</v>
      </c>
      <c r="AK1066" s="1" t="str">
        <f t="shared" si="694"/>
        <v>PA</v>
      </c>
      <c r="AP1066" s="1" t="str">
        <f t="shared" si="695"/>
        <v>False</v>
      </c>
      <c r="AR1066" s="1" t="str">
        <f t="shared" si="701"/>
        <v>GYNNA</v>
      </c>
      <c r="AY1066" s="1" t="str">
        <f t="shared" si="696"/>
        <v>PF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 t="str">
        <f t="shared" si="711"/>
        <v>SOLA RUBBER CANVAS</v>
      </c>
      <c r="BF1066" s="1" t="str">
        <f t="shared" si="697"/>
        <v>Bonis SpA</v>
      </c>
    </row>
    <row r="1067" spans="2:58" x14ac:dyDescent="0.25">
      <c r="B1067" s="1">
        <v>2464</v>
      </c>
      <c r="C1067" s="1" t="str">
        <f t="shared" si="709"/>
        <v>GYNNA4240S7/C1</v>
      </c>
      <c r="E1067" s="1" t="str">
        <f>"38"</f>
        <v>38</v>
      </c>
      <c r="F1067" s="1" t="str">
        <f t="shared" si="686"/>
        <v>BONIS SPA</v>
      </c>
      <c r="G1067" s="1" t="str">
        <f t="shared" si="673"/>
        <v>STOCK SCAFFALE MP</v>
      </c>
      <c r="H1067" s="1" t="str">
        <f>"RED"</f>
        <v>RED</v>
      </c>
      <c r="K1067" s="1">
        <v>3</v>
      </c>
      <c r="L1067" s="1" t="str">
        <f t="shared" si="687"/>
        <v>01</v>
      </c>
      <c r="M1067" s="1" t="str">
        <f t="shared" si="674"/>
        <v>408</v>
      </c>
      <c r="N1067" s="1" t="str">
        <f t="shared" si="706"/>
        <v>003</v>
      </c>
      <c r="O1067" s="1" t="str">
        <f t="shared" si="688"/>
        <v>00</v>
      </c>
      <c r="P1067" s="1" t="str">
        <f t="shared" si="689"/>
        <v>S</v>
      </c>
      <c r="Q1067" s="1" t="str">
        <f t="shared" si="690"/>
        <v>P</v>
      </c>
      <c r="R1067" s="1" t="str">
        <f t="shared" si="691"/>
        <v>01</v>
      </c>
      <c r="S1067" s="1" t="str">
        <f t="shared" si="675"/>
        <v>04</v>
      </c>
      <c r="T1067" s="1" t="str">
        <f t="shared" si="692"/>
        <v>False</v>
      </c>
      <c r="U1067" s="1" t="str">
        <f t="shared" si="693"/>
        <v>True</v>
      </c>
      <c r="V1067" s="1" t="str">
        <f>"U0033313"</f>
        <v>U0033313</v>
      </c>
      <c r="W1067" s="1">
        <v>1</v>
      </c>
      <c r="Y1067" s="1">
        <v>0</v>
      </c>
      <c r="Z1067" s="1">
        <v>0</v>
      </c>
      <c r="AB1067" s="1" t="str">
        <f t="shared" si="679"/>
        <v>SMU</v>
      </c>
      <c r="AI1067" s="1" t="str">
        <f t="shared" si="710"/>
        <v>F11</v>
      </c>
      <c r="AJ1067" s="1" t="str">
        <f t="shared" si="700"/>
        <v>WOMAN</v>
      </c>
      <c r="AK1067" s="1" t="str">
        <f t="shared" si="694"/>
        <v>PA</v>
      </c>
      <c r="AP1067" s="1" t="str">
        <f t="shared" si="695"/>
        <v>False</v>
      </c>
      <c r="AR1067" s="1" t="str">
        <f t="shared" si="701"/>
        <v>GYNNA</v>
      </c>
      <c r="AY1067" s="1" t="str">
        <f t="shared" si="696"/>
        <v>PF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 t="str">
        <f t="shared" si="711"/>
        <v>SOLA RUBBER CANVAS</v>
      </c>
      <c r="BF1067" s="1" t="str">
        <f t="shared" si="697"/>
        <v>Bonis SpA</v>
      </c>
    </row>
    <row r="1068" spans="2:58" x14ac:dyDescent="0.25">
      <c r="B1068" s="1">
        <v>2464</v>
      </c>
      <c r="C1068" s="1" t="str">
        <f t="shared" si="709"/>
        <v>GYNNA4240S7/C1</v>
      </c>
      <c r="E1068" s="1" t="str">
        <f>"37"</f>
        <v>37</v>
      </c>
      <c r="F1068" s="1" t="str">
        <f t="shared" si="686"/>
        <v>BONIS SPA</v>
      </c>
      <c r="G1068" s="1" t="str">
        <f t="shared" si="673"/>
        <v>STOCK SCAFFALE MP</v>
      </c>
      <c r="H1068" s="1" t="str">
        <f>"RED"</f>
        <v>RED</v>
      </c>
      <c r="K1068" s="1">
        <v>2</v>
      </c>
      <c r="L1068" s="1" t="str">
        <f t="shared" si="687"/>
        <v>01</v>
      </c>
      <c r="M1068" s="1" t="str">
        <f t="shared" si="674"/>
        <v>408</v>
      </c>
      <c r="N1068" s="1" t="str">
        <f t="shared" si="706"/>
        <v>003</v>
      </c>
      <c r="O1068" s="1" t="str">
        <f t="shared" si="688"/>
        <v>00</v>
      </c>
      <c r="P1068" s="1" t="str">
        <f t="shared" si="689"/>
        <v>S</v>
      </c>
      <c r="Q1068" s="1" t="str">
        <f t="shared" si="690"/>
        <v>P</v>
      </c>
      <c r="R1068" s="1" t="str">
        <f t="shared" si="691"/>
        <v>01</v>
      </c>
      <c r="S1068" s="1" t="str">
        <f t="shared" si="675"/>
        <v>04</v>
      </c>
      <c r="T1068" s="1" t="str">
        <f t="shared" si="692"/>
        <v>False</v>
      </c>
      <c r="U1068" s="1" t="str">
        <f t="shared" si="693"/>
        <v>True</v>
      </c>
      <c r="V1068" s="1" t="str">
        <f>"U0033313"</f>
        <v>U0033313</v>
      </c>
      <c r="W1068" s="1">
        <v>1</v>
      </c>
      <c r="Y1068" s="1">
        <v>0</v>
      </c>
      <c r="Z1068" s="1">
        <v>0</v>
      </c>
      <c r="AB1068" s="1" t="str">
        <f t="shared" si="679"/>
        <v>SMU</v>
      </c>
      <c r="AI1068" s="1" t="str">
        <f t="shared" si="710"/>
        <v>F11</v>
      </c>
      <c r="AJ1068" s="1" t="str">
        <f t="shared" si="700"/>
        <v>WOMAN</v>
      </c>
      <c r="AK1068" s="1" t="str">
        <f t="shared" si="694"/>
        <v>PA</v>
      </c>
      <c r="AP1068" s="1" t="str">
        <f t="shared" si="695"/>
        <v>False</v>
      </c>
      <c r="AR1068" s="1" t="str">
        <f t="shared" si="701"/>
        <v>GYNNA</v>
      </c>
      <c r="AY1068" s="1" t="str">
        <f t="shared" si="696"/>
        <v>PF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 t="str">
        <f t="shared" si="711"/>
        <v>SOLA RUBBER CANVAS</v>
      </c>
      <c r="BF1068" s="1" t="str">
        <f t="shared" si="697"/>
        <v>Bonis SpA</v>
      </c>
    </row>
    <row r="1069" spans="2:58" x14ac:dyDescent="0.25">
      <c r="B1069" s="1">
        <v>2464</v>
      </c>
      <c r="C1069" s="1" t="str">
        <f t="shared" si="709"/>
        <v>GYNNA4240S7/C1</v>
      </c>
      <c r="E1069" s="1" t="str">
        <f>"40"</f>
        <v>40</v>
      </c>
      <c r="F1069" s="1" t="str">
        <f t="shared" si="686"/>
        <v>BONIS SPA</v>
      </c>
      <c r="G1069" s="1" t="str">
        <f t="shared" si="673"/>
        <v>STOCK SCAFFALE MP</v>
      </c>
      <c r="H1069" s="1" t="str">
        <f>"RED"</f>
        <v>RED</v>
      </c>
      <c r="K1069" s="1">
        <v>2</v>
      </c>
      <c r="L1069" s="1" t="str">
        <f t="shared" si="687"/>
        <v>01</v>
      </c>
      <c r="M1069" s="1" t="str">
        <f t="shared" si="674"/>
        <v>408</v>
      </c>
      <c r="N1069" s="1" t="str">
        <f t="shared" si="706"/>
        <v>003</v>
      </c>
      <c r="O1069" s="1" t="str">
        <f t="shared" si="688"/>
        <v>00</v>
      </c>
      <c r="P1069" s="1" t="str">
        <f t="shared" si="689"/>
        <v>S</v>
      </c>
      <c r="Q1069" s="1" t="str">
        <f t="shared" si="690"/>
        <v>P</v>
      </c>
      <c r="R1069" s="1" t="str">
        <f t="shared" si="691"/>
        <v>01</v>
      </c>
      <c r="S1069" s="1" t="str">
        <f t="shared" si="675"/>
        <v>04</v>
      </c>
      <c r="T1069" s="1" t="str">
        <f t="shared" si="692"/>
        <v>False</v>
      </c>
      <c r="U1069" s="1" t="str">
        <f t="shared" si="693"/>
        <v>True</v>
      </c>
      <c r="V1069" s="1" t="str">
        <f>"U0033313"</f>
        <v>U0033313</v>
      </c>
      <c r="W1069" s="1">
        <v>1</v>
      </c>
      <c r="Y1069" s="1">
        <v>0</v>
      </c>
      <c r="Z1069" s="1">
        <v>0</v>
      </c>
      <c r="AB1069" s="1" t="str">
        <f t="shared" si="679"/>
        <v>SMU</v>
      </c>
      <c r="AI1069" s="1" t="str">
        <f t="shared" si="710"/>
        <v>F11</v>
      </c>
      <c r="AJ1069" s="1" t="str">
        <f t="shared" si="700"/>
        <v>WOMAN</v>
      </c>
      <c r="AK1069" s="1" t="str">
        <f t="shared" si="694"/>
        <v>PA</v>
      </c>
      <c r="AP1069" s="1" t="str">
        <f t="shared" si="695"/>
        <v>False</v>
      </c>
      <c r="AR1069" s="1" t="str">
        <f t="shared" si="701"/>
        <v>GYNNA</v>
      </c>
      <c r="AY1069" s="1" t="str">
        <f t="shared" si="696"/>
        <v>PF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 t="str">
        <f t="shared" si="711"/>
        <v>SOLA RUBBER CANVAS</v>
      </c>
      <c r="BF1069" s="1" t="str">
        <f t="shared" si="697"/>
        <v>Bonis SpA</v>
      </c>
    </row>
    <row r="1070" spans="2:58" x14ac:dyDescent="0.25">
      <c r="B1070" s="1">
        <v>2464</v>
      </c>
      <c r="C1070" s="1" t="str">
        <f t="shared" si="709"/>
        <v>GYNNA4240S7/C1</v>
      </c>
      <c r="E1070" s="1" t="str">
        <f>"40"</f>
        <v>40</v>
      </c>
      <c r="F1070" s="1" t="str">
        <f t="shared" si="686"/>
        <v>BONIS SPA</v>
      </c>
      <c r="G1070" s="1" t="str">
        <f t="shared" si="673"/>
        <v>STOCK SCAFFALE MP</v>
      </c>
      <c r="H1070" s="1" t="str">
        <f t="shared" ref="H1070:H1075" si="712">"PINK"</f>
        <v>PINK</v>
      </c>
      <c r="K1070" s="1">
        <v>2</v>
      </c>
      <c r="L1070" s="1" t="str">
        <f t="shared" si="687"/>
        <v>01</v>
      </c>
      <c r="M1070" s="1" t="str">
        <f t="shared" si="674"/>
        <v>408</v>
      </c>
      <c r="N1070" s="1" t="str">
        <f t="shared" si="706"/>
        <v>003</v>
      </c>
      <c r="O1070" s="1" t="str">
        <f t="shared" si="688"/>
        <v>00</v>
      </c>
      <c r="P1070" s="1" t="str">
        <f t="shared" si="689"/>
        <v>S</v>
      </c>
      <c r="Q1070" s="1" t="str">
        <f t="shared" si="690"/>
        <v>P</v>
      </c>
      <c r="R1070" s="1" t="str">
        <f t="shared" si="691"/>
        <v>01</v>
      </c>
      <c r="S1070" s="1" t="str">
        <f t="shared" si="675"/>
        <v>04</v>
      </c>
      <c r="T1070" s="1" t="str">
        <f t="shared" si="692"/>
        <v>False</v>
      </c>
      <c r="U1070" s="1" t="str">
        <f t="shared" si="693"/>
        <v>True</v>
      </c>
      <c r="V1070" s="1" t="str">
        <f t="shared" ref="V1070:V1075" si="713">"U0033312"</f>
        <v>U0033312</v>
      </c>
      <c r="W1070" s="1">
        <v>1</v>
      </c>
      <c r="Y1070" s="1">
        <v>0</v>
      </c>
      <c r="Z1070" s="1">
        <v>0</v>
      </c>
      <c r="AB1070" s="1" t="str">
        <f t="shared" si="679"/>
        <v>SMU</v>
      </c>
      <c r="AI1070" s="1" t="str">
        <f t="shared" si="710"/>
        <v>F11</v>
      </c>
      <c r="AJ1070" s="1" t="str">
        <f t="shared" si="700"/>
        <v>WOMAN</v>
      </c>
      <c r="AK1070" s="1" t="str">
        <f t="shared" si="694"/>
        <v>PA</v>
      </c>
      <c r="AP1070" s="1" t="str">
        <f t="shared" si="695"/>
        <v>False</v>
      </c>
      <c r="AR1070" s="1" t="str">
        <f t="shared" si="701"/>
        <v>GYNNA</v>
      </c>
      <c r="AY1070" s="1" t="str">
        <f t="shared" si="696"/>
        <v>PF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 t="str">
        <f t="shared" si="711"/>
        <v>SOLA RUBBER CANVAS</v>
      </c>
      <c r="BF1070" s="1" t="str">
        <f t="shared" si="697"/>
        <v>Bonis SpA</v>
      </c>
    </row>
    <row r="1071" spans="2:58" x14ac:dyDescent="0.25">
      <c r="B1071" s="1">
        <v>2464</v>
      </c>
      <c r="C1071" s="1" t="str">
        <f t="shared" si="709"/>
        <v>GYNNA4240S7/C1</v>
      </c>
      <c r="E1071" s="1" t="str">
        <f>"41"</f>
        <v>41</v>
      </c>
      <c r="F1071" s="1" t="str">
        <f t="shared" si="686"/>
        <v>BONIS SPA</v>
      </c>
      <c r="G1071" s="1" t="str">
        <f t="shared" si="673"/>
        <v>STOCK SCAFFALE MP</v>
      </c>
      <c r="H1071" s="1" t="str">
        <f t="shared" si="712"/>
        <v>PINK</v>
      </c>
      <c r="K1071" s="1">
        <v>1</v>
      </c>
      <c r="L1071" s="1" t="str">
        <f t="shared" si="687"/>
        <v>01</v>
      </c>
      <c r="M1071" s="1" t="str">
        <f t="shared" si="674"/>
        <v>408</v>
      </c>
      <c r="N1071" s="1" t="str">
        <f t="shared" si="706"/>
        <v>003</v>
      </c>
      <c r="O1071" s="1" t="str">
        <f t="shared" si="688"/>
        <v>00</v>
      </c>
      <c r="P1071" s="1" t="str">
        <f t="shared" si="689"/>
        <v>S</v>
      </c>
      <c r="Q1071" s="1" t="str">
        <f t="shared" si="690"/>
        <v>P</v>
      </c>
      <c r="R1071" s="1" t="str">
        <f t="shared" si="691"/>
        <v>01</v>
      </c>
      <c r="S1071" s="1" t="str">
        <f t="shared" si="675"/>
        <v>04</v>
      </c>
      <c r="T1071" s="1" t="str">
        <f t="shared" si="692"/>
        <v>False</v>
      </c>
      <c r="U1071" s="1" t="str">
        <f t="shared" si="693"/>
        <v>True</v>
      </c>
      <c r="V1071" s="1" t="str">
        <f t="shared" si="713"/>
        <v>U0033312</v>
      </c>
      <c r="W1071" s="1">
        <v>1</v>
      </c>
      <c r="Y1071" s="1">
        <v>0</v>
      </c>
      <c r="Z1071" s="1">
        <v>0</v>
      </c>
      <c r="AB1071" s="1" t="str">
        <f t="shared" si="679"/>
        <v>SMU</v>
      </c>
      <c r="AI1071" s="1" t="str">
        <f t="shared" si="710"/>
        <v>F11</v>
      </c>
      <c r="AJ1071" s="1" t="str">
        <f t="shared" ref="AJ1071:AJ1102" si="714">"WOMAN"</f>
        <v>WOMAN</v>
      </c>
      <c r="AK1071" s="1" t="str">
        <f t="shared" si="694"/>
        <v>PA</v>
      </c>
      <c r="AP1071" s="1" t="str">
        <f t="shared" si="695"/>
        <v>False</v>
      </c>
      <c r="AR1071" s="1" t="str">
        <f t="shared" ref="AR1071:AR1087" si="715">"GYNNA"</f>
        <v>GYNNA</v>
      </c>
      <c r="AY1071" s="1" t="str">
        <f t="shared" si="696"/>
        <v>PF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 t="str">
        <f t="shared" si="711"/>
        <v>SOLA RUBBER CANVAS</v>
      </c>
      <c r="BF1071" s="1" t="str">
        <f t="shared" si="697"/>
        <v>Bonis SpA</v>
      </c>
    </row>
    <row r="1072" spans="2:58" x14ac:dyDescent="0.25">
      <c r="B1072" s="1">
        <v>2464</v>
      </c>
      <c r="C1072" s="1" t="str">
        <f t="shared" si="709"/>
        <v>GYNNA4240S7/C1</v>
      </c>
      <c r="E1072" s="1" t="str">
        <f>"37"</f>
        <v>37</v>
      </c>
      <c r="F1072" s="1" t="str">
        <f t="shared" si="686"/>
        <v>BONIS SPA</v>
      </c>
      <c r="G1072" s="1" t="str">
        <f t="shared" ref="G1072:G1135" si="716">"STOCK SCAFFALE MP"</f>
        <v>STOCK SCAFFALE MP</v>
      </c>
      <c r="H1072" s="1" t="str">
        <f t="shared" si="712"/>
        <v>PINK</v>
      </c>
      <c r="K1072" s="1">
        <v>2</v>
      </c>
      <c r="L1072" s="1" t="str">
        <f t="shared" si="687"/>
        <v>01</v>
      </c>
      <c r="M1072" s="1" t="str">
        <f t="shared" ref="M1072:M1135" si="717">"408"</f>
        <v>408</v>
      </c>
      <c r="N1072" s="1" t="str">
        <f t="shared" si="706"/>
        <v>003</v>
      </c>
      <c r="O1072" s="1" t="str">
        <f t="shared" si="688"/>
        <v>00</v>
      </c>
      <c r="P1072" s="1" t="str">
        <f t="shared" si="689"/>
        <v>S</v>
      </c>
      <c r="Q1072" s="1" t="str">
        <f t="shared" si="690"/>
        <v>P</v>
      </c>
      <c r="R1072" s="1" t="str">
        <f t="shared" si="691"/>
        <v>01</v>
      </c>
      <c r="S1072" s="1" t="str">
        <f t="shared" ref="S1072:S1135" si="718">"04"</f>
        <v>04</v>
      </c>
      <c r="T1072" s="1" t="str">
        <f t="shared" si="692"/>
        <v>False</v>
      </c>
      <c r="U1072" s="1" t="str">
        <f t="shared" si="693"/>
        <v>True</v>
      </c>
      <c r="V1072" s="1" t="str">
        <f t="shared" si="713"/>
        <v>U0033312</v>
      </c>
      <c r="W1072" s="1">
        <v>1</v>
      </c>
      <c r="Y1072" s="1">
        <v>0</v>
      </c>
      <c r="Z1072" s="1">
        <v>0</v>
      </c>
      <c r="AB1072" s="1" t="str">
        <f t="shared" si="679"/>
        <v>SMU</v>
      </c>
      <c r="AI1072" s="1" t="str">
        <f t="shared" si="710"/>
        <v>F11</v>
      </c>
      <c r="AJ1072" s="1" t="str">
        <f t="shared" si="714"/>
        <v>WOMAN</v>
      </c>
      <c r="AK1072" s="1" t="str">
        <f t="shared" si="694"/>
        <v>PA</v>
      </c>
      <c r="AP1072" s="1" t="str">
        <f t="shared" si="695"/>
        <v>False</v>
      </c>
      <c r="AR1072" s="1" t="str">
        <f t="shared" si="715"/>
        <v>GYNNA</v>
      </c>
      <c r="AY1072" s="1" t="str">
        <f t="shared" si="696"/>
        <v>PF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 t="str">
        <f t="shared" si="711"/>
        <v>SOLA RUBBER CANVAS</v>
      </c>
      <c r="BF1072" s="1" t="str">
        <f t="shared" si="697"/>
        <v>Bonis SpA</v>
      </c>
    </row>
    <row r="1073" spans="2:58" x14ac:dyDescent="0.25">
      <c r="B1073" s="1">
        <v>2464</v>
      </c>
      <c r="C1073" s="1" t="str">
        <f t="shared" si="709"/>
        <v>GYNNA4240S7/C1</v>
      </c>
      <c r="E1073" s="1" t="str">
        <f>"36"</f>
        <v>36</v>
      </c>
      <c r="F1073" s="1" t="str">
        <f t="shared" si="686"/>
        <v>BONIS SPA</v>
      </c>
      <c r="G1073" s="1" t="str">
        <f t="shared" si="716"/>
        <v>STOCK SCAFFALE MP</v>
      </c>
      <c r="H1073" s="1" t="str">
        <f t="shared" si="712"/>
        <v>PINK</v>
      </c>
      <c r="K1073" s="1">
        <v>1</v>
      </c>
      <c r="L1073" s="1" t="str">
        <f t="shared" si="687"/>
        <v>01</v>
      </c>
      <c r="M1073" s="1" t="str">
        <f t="shared" si="717"/>
        <v>408</v>
      </c>
      <c r="N1073" s="1" t="str">
        <f t="shared" si="706"/>
        <v>003</v>
      </c>
      <c r="O1073" s="1" t="str">
        <f t="shared" si="688"/>
        <v>00</v>
      </c>
      <c r="P1073" s="1" t="str">
        <f t="shared" si="689"/>
        <v>S</v>
      </c>
      <c r="Q1073" s="1" t="str">
        <f t="shared" si="690"/>
        <v>P</v>
      </c>
      <c r="R1073" s="1" t="str">
        <f t="shared" si="691"/>
        <v>01</v>
      </c>
      <c r="S1073" s="1" t="str">
        <f t="shared" si="718"/>
        <v>04</v>
      </c>
      <c r="T1073" s="1" t="str">
        <f t="shared" si="692"/>
        <v>False</v>
      </c>
      <c r="U1073" s="1" t="str">
        <f t="shared" si="693"/>
        <v>True</v>
      </c>
      <c r="V1073" s="1" t="str">
        <f t="shared" si="713"/>
        <v>U0033312</v>
      </c>
      <c r="W1073" s="1">
        <v>1</v>
      </c>
      <c r="Y1073" s="1">
        <v>0</v>
      </c>
      <c r="Z1073" s="1">
        <v>0</v>
      </c>
      <c r="AB1073" s="1" t="str">
        <f t="shared" si="679"/>
        <v>SMU</v>
      </c>
      <c r="AI1073" s="1" t="str">
        <f t="shared" si="710"/>
        <v>F11</v>
      </c>
      <c r="AJ1073" s="1" t="str">
        <f t="shared" si="714"/>
        <v>WOMAN</v>
      </c>
      <c r="AK1073" s="1" t="str">
        <f t="shared" si="694"/>
        <v>PA</v>
      </c>
      <c r="AP1073" s="1" t="str">
        <f t="shared" si="695"/>
        <v>False</v>
      </c>
      <c r="AR1073" s="1" t="str">
        <f t="shared" si="715"/>
        <v>GYNNA</v>
      </c>
      <c r="AY1073" s="1" t="str">
        <f t="shared" si="696"/>
        <v>PF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 t="str">
        <f t="shared" si="711"/>
        <v>SOLA RUBBER CANVAS</v>
      </c>
      <c r="BF1073" s="1" t="str">
        <f t="shared" si="697"/>
        <v>Bonis SpA</v>
      </c>
    </row>
    <row r="1074" spans="2:58" x14ac:dyDescent="0.25">
      <c r="B1074" s="1">
        <v>2464</v>
      </c>
      <c r="C1074" s="1" t="str">
        <f t="shared" si="709"/>
        <v>GYNNA4240S7/C1</v>
      </c>
      <c r="E1074" s="1" t="str">
        <f>"38"</f>
        <v>38</v>
      </c>
      <c r="F1074" s="1" t="str">
        <f t="shared" si="686"/>
        <v>BONIS SPA</v>
      </c>
      <c r="G1074" s="1" t="str">
        <f t="shared" si="716"/>
        <v>STOCK SCAFFALE MP</v>
      </c>
      <c r="H1074" s="1" t="str">
        <f t="shared" si="712"/>
        <v>PINK</v>
      </c>
      <c r="K1074" s="1">
        <v>3</v>
      </c>
      <c r="L1074" s="1" t="str">
        <f t="shared" si="687"/>
        <v>01</v>
      </c>
      <c r="M1074" s="1" t="str">
        <f t="shared" si="717"/>
        <v>408</v>
      </c>
      <c r="N1074" s="1" t="str">
        <f t="shared" si="706"/>
        <v>003</v>
      </c>
      <c r="O1074" s="1" t="str">
        <f t="shared" si="688"/>
        <v>00</v>
      </c>
      <c r="P1074" s="1" t="str">
        <f t="shared" si="689"/>
        <v>S</v>
      </c>
      <c r="Q1074" s="1" t="str">
        <f t="shared" si="690"/>
        <v>P</v>
      </c>
      <c r="R1074" s="1" t="str">
        <f t="shared" si="691"/>
        <v>01</v>
      </c>
      <c r="S1074" s="1" t="str">
        <f t="shared" si="718"/>
        <v>04</v>
      </c>
      <c r="T1074" s="1" t="str">
        <f t="shared" si="692"/>
        <v>False</v>
      </c>
      <c r="U1074" s="1" t="str">
        <f t="shared" si="693"/>
        <v>True</v>
      </c>
      <c r="V1074" s="1" t="str">
        <f t="shared" si="713"/>
        <v>U0033312</v>
      </c>
      <c r="W1074" s="1">
        <v>1</v>
      </c>
      <c r="Y1074" s="1">
        <v>0</v>
      </c>
      <c r="Z1074" s="1">
        <v>0</v>
      </c>
      <c r="AB1074" s="1" t="str">
        <f t="shared" si="679"/>
        <v>SMU</v>
      </c>
      <c r="AI1074" s="1" t="str">
        <f t="shared" si="710"/>
        <v>F11</v>
      </c>
      <c r="AJ1074" s="1" t="str">
        <f t="shared" si="714"/>
        <v>WOMAN</v>
      </c>
      <c r="AK1074" s="1" t="str">
        <f t="shared" si="694"/>
        <v>PA</v>
      </c>
      <c r="AP1074" s="1" t="str">
        <f t="shared" si="695"/>
        <v>False</v>
      </c>
      <c r="AR1074" s="1" t="str">
        <f t="shared" si="715"/>
        <v>GYNNA</v>
      </c>
      <c r="AY1074" s="1" t="str">
        <f t="shared" si="696"/>
        <v>PF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 t="str">
        <f t="shared" si="711"/>
        <v>SOLA RUBBER CANVAS</v>
      </c>
      <c r="BF1074" s="1" t="str">
        <f t="shared" si="697"/>
        <v>Bonis SpA</v>
      </c>
    </row>
    <row r="1075" spans="2:58" x14ac:dyDescent="0.25">
      <c r="B1075" s="1">
        <v>2464</v>
      </c>
      <c r="C1075" s="1" t="str">
        <f t="shared" si="709"/>
        <v>GYNNA4240S7/C1</v>
      </c>
      <c r="E1075" s="1" t="str">
        <f>"39"</f>
        <v>39</v>
      </c>
      <c r="F1075" s="1" t="str">
        <f t="shared" si="686"/>
        <v>BONIS SPA</v>
      </c>
      <c r="G1075" s="1" t="str">
        <f t="shared" si="716"/>
        <v>STOCK SCAFFALE MP</v>
      </c>
      <c r="H1075" s="1" t="str">
        <f t="shared" si="712"/>
        <v>PINK</v>
      </c>
      <c r="K1075" s="1">
        <v>3</v>
      </c>
      <c r="L1075" s="1" t="str">
        <f t="shared" si="687"/>
        <v>01</v>
      </c>
      <c r="M1075" s="1" t="str">
        <f t="shared" si="717"/>
        <v>408</v>
      </c>
      <c r="N1075" s="1" t="str">
        <f t="shared" si="706"/>
        <v>003</v>
      </c>
      <c r="O1075" s="1" t="str">
        <f t="shared" si="688"/>
        <v>00</v>
      </c>
      <c r="P1075" s="1" t="str">
        <f t="shared" si="689"/>
        <v>S</v>
      </c>
      <c r="Q1075" s="1" t="str">
        <f t="shared" si="690"/>
        <v>P</v>
      </c>
      <c r="R1075" s="1" t="str">
        <f t="shared" si="691"/>
        <v>01</v>
      </c>
      <c r="S1075" s="1" t="str">
        <f t="shared" si="718"/>
        <v>04</v>
      </c>
      <c r="T1075" s="1" t="str">
        <f t="shared" si="692"/>
        <v>False</v>
      </c>
      <c r="U1075" s="1" t="str">
        <f t="shared" si="693"/>
        <v>True</v>
      </c>
      <c r="V1075" s="1" t="str">
        <f t="shared" si="713"/>
        <v>U0033312</v>
      </c>
      <c r="W1075" s="1">
        <v>1</v>
      </c>
      <c r="Y1075" s="1">
        <v>0</v>
      </c>
      <c r="Z1075" s="1">
        <v>0</v>
      </c>
      <c r="AB1075" s="1" t="str">
        <f t="shared" si="679"/>
        <v>SMU</v>
      </c>
      <c r="AI1075" s="1" t="str">
        <f t="shared" si="710"/>
        <v>F11</v>
      </c>
      <c r="AJ1075" s="1" t="str">
        <f t="shared" si="714"/>
        <v>WOMAN</v>
      </c>
      <c r="AK1075" s="1" t="str">
        <f t="shared" si="694"/>
        <v>PA</v>
      </c>
      <c r="AP1075" s="1" t="str">
        <f t="shared" si="695"/>
        <v>False</v>
      </c>
      <c r="AR1075" s="1" t="str">
        <f t="shared" si="715"/>
        <v>GYNNA</v>
      </c>
      <c r="AY1075" s="1" t="str">
        <f t="shared" si="696"/>
        <v>PF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 t="str">
        <f t="shared" si="711"/>
        <v>SOLA RUBBER CANVAS</v>
      </c>
      <c r="BF1075" s="1" t="str">
        <f t="shared" si="697"/>
        <v>Bonis SpA</v>
      </c>
    </row>
    <row r="1076" spans="2:58" x14ac:dyDescent="0.25">
      <c r="B1076" s="1">
        <v>2491</v>
      </c>
      <c r="C1076" s="1" t="str">
        <f>"GYNNA4240S7/T1"</f>
        <v>GYNNA4240S7/T1</v>
      </c>
      <c r="E1076" s="1" t="str">
        <f>"37"</f>
        <v>37</v>
      </c>
      <c r="F1076" s="1" t="str">
        <f t="shared" si="686"/>
        <v>BONIS SPA</v>
      </c>
      <c r="G1076" s="1" t="str">
        <f t="shared" si="716"/>
        <v>STOCK SCAFFALE MP</v>
      </c>
      <c r="H1076" s="1" t="str">
        <f>"DKBL"</f>
        <v>DKBL</v>
      </c>
      <c r="K1076" s="1">
        <v>3</v>
      </c>
      <c r="L1076" s="1" t="str">
        <f t="shared" si="687"/>
        <v>01</v>
      </c>
      <c r="M1076" s="1" t="str">
        <f t="shared" si="717"/>
        <v>408</v>
      </c>
      <c r="N1076" s="1" t="str">
        <f>"012"</f>
        <v>012</v>
      </c>
      <c r="O1076" s="1" t="str">
        <f t="shared" si="688"/>
        <v>00</v>
      </c>
      <c r="P1076" s="1" t="str">
        <f t="shared" si="689"/>
        <v>S</v>
      </c>
      <c r="Q1076" s="1" t="str">
        <f t="shared" si="690"/>
        <v>P</v>
      </c>
      <c r="R1076" s="1" t="str">
        <f t="shared" si="691"/>
        <v>01</v>
      </c>
      <c r="S1076" s="1" t="str">
        <f t="shared" si="718"/>
        <v>04</v>
      </c>
      <c r="T1076" s="1" t="str">
        <f t="shared" si="692"/>
        <v>False</v>
      </c>
      <c r="U1076" s="1" t="str">
        <f t="shared" si="693"/>
        <v>True</v>
      </c>
      <c r="V1076" s="1" t="str">
        <f>"U0033311"</f>
        <v>U0033311</v>
      </c>
      <c r="W1076" s="1">
        <v>1</v>
      </c>
      <c r="Y1076" s="1">
        <v>0</v>
      </c>
      <c r="Z1076" s="1">
        <v>0</v>
      </c>
      <c r="AB1076" s="1" t="str">
        <f t="shared" si="679"/>
        <v>SMU</v>
      </c>
      <c r="AI1076" s="1" t="str">
        <f>"F10"</f>
        <v>F10</v>
      </c>
      <c r="AJ1076" s="1" t="str">
        <f t="shared" si="714"/>
        <v>WOMAN</v>
      </c>
      <c r="AK1076" s="1" t="str">
        <f t="shared" si="694"/>
        <v>PA</v>
      </c>
      <c r="AP1076" s="1" t="str">
        <f t="shared" si="695"/>
        <v>False</v>
      </c>
      <c r="AR1076" s="1" t="str">
        <f t="shared" si="715"/>
        <v>GYNNA</v>
      </c>
      <c r="AY1076" s="1" t="str">
        <f t="shared" si="696"/>
        <v>PF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 t="str">
        <f>"SOLA RUBBER TEXTILE JEANS"</f>
        <v>SOLA RUBBER TEXTILE JEANS</v>
      </c>
      <c r="BF1076" s="1" t="str">
        <f t="shared" si="697"/>
        <v>Bonis SpA</v>
      </c>
    </row>
    <row r="1077" spans="2:58" x14ac:dyDescent="0.25">
      <c r="B1077" s="1">
        <v>2491</v>
      </c>
      <c r="C1077" s="1" t="str">
        <f t="shared" ref="C1077:C1087" si="719">"GYNNA4240S7/C1"</f>
        <v>GYNNA4240S7/C1</v>
      </c>
      <c r="E1077" s="1" t="str">
        <f>"37"</f>
        <v>37</v>
      </c>
      <c r="F1077" s="1" t="str">
        <f t="shared" si="686"/>
        <v>BONIS SPA</v>
      </c>
      <c r="G1077" s="1" t="str">
        <f t="shared" si="716"/>
        <v>STOCK SCAFFALE MP</v>
      </c>
      <c r="H1077" s="1" t="str">
        <f>"RED"</f>
        <v>RED</v>
      </c>
      <c r="K1077" s="1">
        <v>1</v>
      </c>
      <c r="L1077" s="1" t="str">
        <f t="shared" si="687"/>
        <v>01</v>
      </c>
      <c r="M1077" s="1" t="str">
        <f t="shared" si="717"/>
        <v>408</v>
      </c>
      <c r="N1077" s="1" t="str">
        <f>"012"</f>
        <v>012</v>
      </c>
      <c r="O1077" s="1" t="str">
        <f t="shared" si="688"/>
        <v>00</v>
      </c>
      <c r="P1077" s="1" t="str">
        <f t="shared" si="689"/>
        <v>S</v>
      </c>
      <c r="Q1077" s="1" t="str">
        <f t="shared" si="690"/>
        <v>P</v>
      </c>
      <c r="R1077" s="1" t="str">
        <f t="shared" si="691"/>
        <v>01</v>
      </c>
      <c r="S1077" s="1" t="str">
        <f t="shared" si="718"/>
        <v>04</v>
      </c>
      <c r="T1077" s="1" t="str">
        <f t="shared" si="692"/>
        <v>False</v>
      </c>
      <c r="U1077" s="1" t="str">
        <f t="shared" si="693"/>
        <v>True</v>
      </c>
      <c r="V1077" s="1" t="str">
        <f>"U0033311"</f>
        <v>U0033311</v>
      </c>
      <c r="W1077" s="1">
        <v>1</v>
      </c>
      <c r="Y1077" s="1">
        <v>0</v>
      </c>
      <c r="Z1077" s="1">
        <v>0</v>
      </c>
      <c r="AB1077" s="1" t="str">
        <f t="shared" ref="AB1077:AB1140" si="720">"SMU"</f>
        <v>SMU</v>
      </c>
      <c r="AI1077" s="1" t="str">
        <f>"F10"</f>
        <v>F10</v>
      </c>
      <c r="AJ1077" s="1" t="str">
        <f t="shared" si="714"/>
        <v>WOMAN</v>
      </c>
      <c r="AK1077" s="1" t="str">
        <f t="shared" si="694"/>
        <v>PA</v>
      </c>
      <c r="AP1077" s="1" t="str">
        <f t="shared" si="695"/>
        <v>False</v>
      </c>
      <c r="AR1077" s="1" t="str">
        <f t="shared" si="715"/>
        <v>GYNNA</v>
      </c>
      <c r="AY1077" s="1" t="str">
        <f t="shared" si="696"/>
        <v>PF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 t="str">
        <f t="shared" ref="BE1077:BE1087" si="721">"SOLA RUBBER CANVAS"</f>
        <v>SOLA RUBBER CANVAS</v>
      </c>
      <c r="BF1077" s="1" t="str">
        <f t="shared" si="697"/>
        <v>Bonis SpA</v>
      </c>
    </row>
    <row r="1078" spans="2:58" x14ac:dyDescent="0.25">
      <c r="B1078" s="1">
        <v>2491</v>
      </c>
      <c r="C1078" s="1" t="str">
        <f t="shared" si="719"/>
        <v>GYNNA4240S7/C1</v>
      </c>
      <c r="E1078" s="1" t="str">
        <f>"37"</f>
        <v>37</v>
      </c>
      <c r="F1078" s="1" t="str">
        <f t="shared" si="686"/>
        <v>BONIS SPA</v>
      </c>
      <c r="G1078" s="1" t="str">
        <f t="shared" si="716"/>
        <v>STOCK SCAFFALE MP</v>
      </c>
      <c r="H1078" s="1" t="str">
        <f t="shared" ref="H1078:H1083" si="722">"PINK"</f>
        <v>PINK</v>
      </c>
      <c r="K1078" s="1">
        <v>3</v>
      </c>
      <c r="L1078" s="1" t="str">
        <f t="shared" si="687"/>
        <v>01</v>
      </c>
      <c r="M1078" s="1" t="str">
        <f t="shared" si="717"/>
        <v>408</v>
      </c>
      <c r="N1078" s="1" t="str">
        <f>"012"</f>
        <v>012</v>
      </c>
      <c r="O1078" s="1" t="str">
        <f t="shared" si="688"/>
        <v>00</v>
      </c>
      <c r="P1078" s="1" t="str">
        <f t="shared" si="689"/>
        <v>S</v>
      </c>
      <c r="Q1078" s="1" t="str">
        <f t="shared" si="690"/>
        <v>P</v>
      </c>
      <c r="R1078" s="1" t="str">
        <f t="shared" si="691"/>
        <v>01</v>
      </c>
      <c r="S1078" s="1" t="str">
        <f t="shared" si="718"/>
        <v>04</v>
      </c>
      <c r="T1078" s="1" t="str">
        <f t="shared" si="692"/>
        <v>False</v>
      </c>
      <c r="U1078" s="1" t="str">
        <f t="shared" si="693"/>
        <v>True</v>
      </c>
      <c r="V1078" s="1" t="str">
        <f>"U0033311"</f>
        <v>U0033311</v>
      </c>
      <c r="W1078" s="1">
        <v>1</v>
      </c>
      <c r="Y1078" s="1">
        <v>0</v>
      </c>
      <c r="Z1078" s="1">
        <v>0</v>
      </c>
      <c r="AB1078" s="1" t="str">
        <f t="shared" si="720"/>
        <v>SMU</v>
      </c>
      <c r="AI1078" s="1" t="str">
        <f>"F10"</f>
        <v>F10</v>
      </c>
      <c r="AJ1078" s="1" t="str">
        <f t="shared" si="714"/>
        <v>WOMAN</v>
      </c>
      <c r="AK1078" s="1" t="str">
        <f t="shared" si="694"/>
        <v>PA</v>
      </c>
      <c r="AP1078" s="1" t="str">
        <f t="shared" si="695"/>
        <v>False</v>
      </c>
      <c r="AR1078" s="1" t="str">
        <f t="shared" si="715"/>
        <v>GYNNA</v>
      </c>
      <c r="AY1078" s="1" t="str">
        <f t="shared" si="696"/>
        <v>PF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 t="str">
        <f t="shared" si="721"/>
        <v>SOLA RUBBER CANVAS</v>
      </c>
      <c r="BF1078" s="1" t="str">
        <f t="shared" si="697"/>
        <v>Bonis SpA</v>
      </c>
    </row>
    <row r="1079" spans="2:58" x14ac:dyDescent="0.25">
      <c r="B1079" s="1">
        <v>2491</v>
      </c>
      <c r="C1079" s="1" t="str">
        <f t="shared" si="719"/>
        <v>GYNNA4240S7/C1</v>
      </c>
      <c r="E1079" s="1" t="str">
        <f>"36"</f>
        <v>36</v>
      </c>
      <c r="F1079" s="1" t="str">
        <f t="shared" si="686"/>
        <v>BONIS SPA</v>
      </c>
      <c r="G1079" s="1" t="str">
        <f t="shared" si="716"/>
        <v>STOCK SCAFFALE MP</v>
      </c>
      <c r="H1079" s="1" t="str">
        <f t="shared" si="722"/>
        <v>PINK</v>
      </c>
      <c r="K1079" s="1">
        <v>2</v>
      </c>
      <c r="L1079" s="1" t="str">
        <f t="shared" si="687"/>
        <v>01</v>
      </c>
      <c r="M1079" s="1" t="str">
        <f t="shared" si="717"/>
        <v>408</v>
      </c>
      <c r="N1079" s="1" t="str">
        <f>"012"</f>
        <v>012</v>
      </c>
      <c r="O1079" s="1" t="str">
        <f t="shared" si="688"/>
        <v>00</v>
      </c>
      <c r="P1079" s="1" t="str">
        <f t="shared" si="689"/>
        <v>S</v>
      </c>
      <c r="Q1079" s="1" t="str">
        <f t="shared" si="690"/>
        <v>P</v>
      </c>
      <c r="R1079" s="1" t="str">
        <f t="shared" si="691"/>
        <v>01</v>
      </c>
      <c r="S1079" s="1" t="str">
        <f t="shared" si="718"/>
        <v>04</v>
      </c>
      <c r="T1079" s="1" t="str">
        <f t="shared" si="692"/>
        <v>False</v>
      </c>
      <c r="U1079" s="1" t="str">
        <f t="shared" si="693"/>
        <v>True</v>
      </c>
      <c r="V1079" s="1" t="str">
        <f>"U0033311"</f>
        <v>U0033311</v>
      </c>
      <c r="W1079" s="1">
        <v>1</v>
      </c>
      <c r="Y1079" s="1">
        <v>0</v>
      </c>
      <c r="Z1079" s="1">
        <v>0</v>
      </c>
      <c r="AB1079" s="1" t="str">
        <f t="shared" si="720"/>
        <v>SMU</v>
      </c>
      <c r="AI1079" s="1" t="str">
        <f>"F10"</f>
        <v>F10</v>
      </c>
      <c r="AJ1079" s="1" t="str">
        <f t="shared" si="714"/>
        <v>WOMAN</v>
      </c>
      <c r="AK1079" s="1" t="str">
        <f t="shared" si="694"/>
        <v>PA</v>
      </c>
      <c r="AP1079" s="1" t="str">
        <f t="shared" si="695"/>
        <v>False</v>
      </c>
      <c r="AR1079" s="1" t="str">
        <f t="shared" si="715"/>
        <v>GYNNA</v>
      </c>
      <c r="AY1079" s="1" t="str">
        <f t="shared" si="696"/>
        <v>PF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 t="str">
        <f t="shared" si="721"/>
        <v>SOLA RUBBER CANVAS</v>
      </c>
      <c r="BF1079" s="1" t="str">
        <f t="shared" si="697"/>
        <v>Bonis SpA</v>
      </c>
    </row>
    <row r="1080" spans="2:58" x14ac:dyDescent="0.25">
      <c r="B1080" s="1">
        <v>2491</v>
      </c>
      <c r="C1080" s="1" t="str">
        <f t="shared" si="719"/>
        <v>GYNNA4240S7/C1</v>
      </c>
      <c r="E1080" s="1" t="str">
        <f>"39"</f>
        <v>39</v>
      </c>
      <c r="F1080" s="1" t="str">
        <f t="shared" si="686"/>
        <v>BONIS SPA</v>
      </c>
      <c r="G1080" s="1" t="str">
        <f t="shared" si="716"/>
        <v>STOCK SCAFFALE MP</v>
      </c>
      <c r="H1080" s="1" t="str">
        <f t="shared" si="722"/>
        <v>PINK</v>
      </c>
      <c r="K1080" s="1">
        <v>2</v>
      </c>
      <c r="L1080" s="1" t="str">
        <f t="shared" si="687"/>
        <v>01</v>
      </c>
      <c r="M1080" s="1" t="str">
        <f t="shared" si="717"/>
        <v>408</v>
      </c>
      <c r="N1080" s="1" t="str">
        <f>"012"</f>
        <v>012</v>
      </c>
      <c r="O1080" s="1" t="str">
        <f t="shared" si="688"/>
        <v>00</v>
      </c>
      <c r="P1080" s="1" t="str">
        <f t="shared" si="689"/>
        <v>S</v>
      </c>
      <c r="Q1080" s="1" t="str">
        <f t="shared" si="690"/>
        <v>P</v>
      </c>
      <c r="R1080" s="1" t="str">
        <f t="shared" si="691"/>
        <v>01</v>
      </c>
      <c r="S1080" s="1" t="str">
        <f t="shared" si="718"/>
        <v>04</v>
      </c>
      <c r="T1080" s="1" t="str">
        <f t="shared" si="692"/>
        <v>False</v>
      </c>
      <c r="U1080" s="1" t="str">
        <f t="shared" si="693"/>
        <v>True</v>
      </c>
      <c r="V1080" s="1" t="str">
        <f>"U0033311"</f>
        <v>U0033311</v>
      </c>
      <c r="W1080" s="1">
        <v>1</v>
      </c>
      <c r="Y1080" s="1">
        <v>0</v>
      </c>
      <c r="Z1080" s="1">
        <v>0</v>
      </c>
      <c r="AB1080" s="1" t="str">
        <f t="shared" si="720"/>
        <v>SMU</v>
      </c>
      <c r="AI1080" s="1" t="str">
        <f>"F10"</f>
        <v>F10</v>
      </c>
      <c r="AJ1080" s="1" t="str">
        <f t="shared" si="714"/>
        <v>WOMAN</v>
      </c>
      <c r="AK1080" s="1" t="str">
        <f t="shared" si="694"/>
        <v>PA</v>
      </c>
      <c r="AP1080" s="1" t="str">
        <f t="shared" si="695"/>
        <v>False</v>
      </c>
      <c r="AR1080" s="1" t="str">
        <f t="shared" si="715"/>
        <v>GYNNA</v>
      </c>
      <c r="AY1080" s="1" t="str">
        <f t="shared" si="696"/>
        <v>PF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 t="str">
        <f t="shared" si="721"/>
        <v>SOLA RUBBER CANVAS</v>
      </c>
      <c r="BF1080" s="1" t="str">
        <f t="shared" si="697"/>
        <v>Bonis SpA</v>
      </c>
    </row>
    <row r="1081" spans="2:58" x14ac:dyDescent="0.25">
      <c r="B1081" s="1">
        <v>2464</v>
      </c>
      <c r="C1081" s="1" t="str">
        <f t="shared" si="719"/>
        <v>GYNNA4240S7/C1</v>
      </c>
      <c r="E1081" s="1" t="str">
        <f>"39"</f>
        <v>39</v>
      </c>
      <c r="F1081" s="1" t="str">
        <f t="shared" si="686"/>
        <v>BONIS SPA</v>
      </c>
      <c r="G1081" s="1" t="str">
        <f t="shared" si="716"/>
        <v>STOCK SCAFFALE MP</v>
      </c>
      <c r="H1081" s="1" t="str">
        <f t="shared" si="722"/>
        <v>PINK</v>
      </c>
      <c r="K1081" s="1">
        <v>3</v>
      </c>
      <c r="L1081" s="1" t="str">
        <f t="shared" si="687"/>
        <v>01</v>
      </c>
      <c r="M1081" s="1" t="str">
        <f t="shared" si="717"/>
        <v>408</v>
      </c>
      <c r="N1081" s="1" t="str">
        <f t="shared" ref="N1081:N1087" si="723">"003"</f>
        <v>003</v>
      </c>
      <c r="O1081" s="1" t="str">
        <f t="shared" si="688"/>
        <v>00</v>
      </c>
      <c r="P1081" s="1" t="str">
        <f t="shared" si="689"/>
        <v>S</v>
      </c>
      <c r="Q1081" s="1" t="str">
        <f t="shared" si="690"/>
        <v>P</v>
      </c>
      <c r="R1081" s="1" t="str">
        <f t="shared" si="691"/>
        <v>01</v>
      </c>
      <c r="S1081" s="1" t="str">
        <f t="shared" si="718"/>
        <v>04</v>
      </c>
      <c r="T1081" s="1" t="str">
        <f t="shared" si="692"/>
        <v>False</v>
      </c>
      <c r="U1081" s="1" t="str">
        <f t="shared" si="693"/>
        <v>True</v>
      </c>
      <c r="V1081" s="1" t="str">
        <f>"U0033310"</f>
        <v>U0033310</v>
      </c>
      <c r="W1081" s="1">
        <v>1</v>
      </c>
      <c r="Y1081" s="1">
        <v>0</v>
      </c>
      <c r="Z1081" s="1">
        <v>0</v>
      </c>
      <c r="AB1081" s="1" t="str">
        <f t="shared" si="720"/>
        <v>SMU</v>
      </c>
      <c r="AI1081" s="1" t="str">
        <f>"F11"</f>
        <v>F11</v>
      </c>
      <c r="AJ1081" s="1" t="str">
        <f t="shared" si="714"/>
        <v>WOMAN</v>
      </c>
      <c r="AK1081" s="1" t="str">
        <f t="shared" si="694"/>
        <v>PA</v>
      </c>
      <c r="AP1081" s="1" t="str">
        <f t="shared" si="695"/>
        <v>False</v>
      </c>
      <c r="AR1081" s="1" t="str">
        <f t="shared" si="715"/>
        <v>GYNNA</v>
      </c>
      <c r="AY1081" s="1" t="str">
        <f t="shared" si="696"/>
        <v>PF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 t="str">
        <f t="shared" si="721"/>
        <v>SOLA RUBBER CANVAS</v>
      </c>
      <c r="BF1081" s="1" t="str">
        <f t="shared" si="697"/>
        <v>Bonis SpA</v>
      </c>
    </row>
    <row r="1082" spans="2:58" x14ac:dyDescent="0.25">
      <c r="B1082" s="1">
        <v>2464</v>
      </c>
      <c r="C1082" s="1" t="str">
        <f t="shared" si="719"/>
        <v>GYNNA4240S7/C1</v>
      </c>
      <c r="E1082" s="1" t="str">
        <f>"38"</f>
        <v>38</v>
      </c>
      <c r="F1082" s="1" t="str">
        <f t="shared" si="686"/>
        <v>BONIS SPA</v>
      </c>
      <c r="G1082" s="1" t="str">
        <f t="shared" si="716"/>
        <v>STOCK SCAFFALE MP</v>
      </c>
      <c r="H1082" s="1" t="str">
        <f t="shared" si="722"/>
        <v>PINK</v>
      </c>
      <c r="K1082" s="1">
        <v>3</v>
      </c>
      <c r="L1082" s="1" t="str">
        <f t="shared" si="687"/>
        <v>01</v>
      </c>
      <c r="M1082" s="1" t="str">
        <f t="shared" si="717"/>
        <v>408</v>
      </c>
      <c r="N1082" s="1" t="str">
        <f t="shared" si="723"/>
        <v>003</v>
      </c>
      <c r="O1082" s="1" t="str">
        <f t="shared" si="688"/>
        <v>00</v>
      </c>
      <c r="P1082" s="1" t="str">
        <f t="shared" si="689"/>
        <v>S</v>
      </c>
      <c r="Q1082" s="1" t="str">
        <f t="shared" si="690"/>
        <v>P</v>
      </c>
      <c r="R1082" s="1" t="str">
        <f t="shared" si="691"/>
        <v>01</v>
      </c>
      <c r="S1082" s="1" t="str">
        <f t="shared" si="718"/>
        <v>04</v>
      </c>
      <c r="T1082" s="1" t="str">
        <f t="shared" si="692"/>
        <v>False</v>
      </c>
      <c r="U1082" s="1" t="str">
        <f t="shared" si="693"/>
        <v>True</v>
      </c>
      <c r="V1082" s="1" t="str">
        <f>"U0033310"</f>
        <v>U0033310</v>
      </c>
      <c r="W1082" s="1">
        <v>1</v>
      </c>
      <c r="Y1082" s="1">
        <v>0</v>
      </c>
      <c r="Z1082" s="1">
        <v>0</v>
      </c>
      <c r="AB1082" s="1" t="str">
        <f t="shared" si="720"/>
        <v>SMU</v>
      </c>
      <c r="AI1082" s="1" t="str">
        <f>"F11"</f>
        <v>F11</v>
      </c>
      <c r="AJ1082" s="1" t="str">
        <f t="shared" si="714"/>
        <v>WOMAN</v>
      </c>
      <c r="AK1082" s="1" t="str">
        <f t="shared" si="694"/>
        <v>PA</v>
      </c>
      <c r="AP1082" s="1" t="str">
        <f t="shared" si="695"/>
        <v>False</v>
      </c>
      <c r="AR1082" s="1" t="str">
        <f t="shared" si="715"/>
        <v>GYNNA</v>
      </c>
      <c r="AY1082" s="1" t="str">
        <f t="shared" si="696"/>
        <v>PF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 t="str">
        <f t="shared" si="721"/>
        <v>SOLA RUBBER CANVAS</v>
      </c>
      <c r="BF1082" s="1" t="str">
        <f t="shared" si="697"/>
        <v>Bonis SpA</v>
      </c>
    </row>
    <row r="1083" spans="2:58" x14ac:dyDescent="0.25">
      <c r="B1083" s="1">
        <v>2464</v>
      </c>
      <c r="C1083" s="1" t="str">
        <f t="shared" si="719"/>
        <v>GYNNA4240S7/C1</v>
      </c>
      <c r="E1083" s="1" t="str">
        <f>"37"</f>
        <v>37</v>
      </c>
      <c r="F1083" s="1" t="str">
        <f t="shared" si="686"/>
        <v>BONIS SPA</v>
      </c>
      <c r="G1083" s="1" t="str">
        <f t="shared" si="716"/>
        <v>STOCK SCAFFALE MP</v>
      </c>
      <c r="H1083" s="1" t="str">
        <f t="shared" si="722"/>
        <v>PINK</v>
      </c>
      <c r="K1083" s="1">
        <v>2</v>
      </c>
      <c r="L1083" s="1" t="str">
        <f t="shared" si="687"/>
        <v>01</v>
      </c>
      <c r="M1083" s="1" t="str">
        <f t="shared" si="717"/>
        <v>408</v>
      </c>
      <c r="N1083" s="1" t="str">
        <f t="shared" si="723"/>
        <v>003</v>
      </c>
      <c r="O1083" s="1" t="str">
        <f t="shared" si="688"/>
        <v>00</v>
      </c>
      <c r="P1083" s="1" t="str">
        <f t="shared" si="689"/>
        <v>S</v>
      </c>
      <c r="Q1083" s="1" t="str">
        <f t="shared" si="690"/>
        <v>P</v>
      </c>
      <c r="R1083" s="1" t="str">
        <f t="shared" si="691"/>
        <v>01</v>
      </c>
      <c r="S1083" s="1" t="str">
        <f t="shared" si="718"/>
        <v>04</v>
      </c>
      <c r="T1083" s="1" t="str">
        <f t="shared" si="692"/>
        <v>False</v>
      </c>
      <c r="U1083" s="1" t="str">
        <f t="shared" si="693"/>
        <v>True</v>
      </c>
      <c r="V1083" s="1" t="str">
        <f>"U0033310"</f>
        <v>U0033310</v>
      </c>
      <c r="W1083" s="1">
        <v>1</v>
      </c>
      <c r="Y1083" s="1">
        <v>0</v>
      </c>
      <c r="Z1083" s="1">
        <v>0</v>
      </c>
      <c r="AB1083" s="1" t="str">
        <f t="shared" si="720"/>
        <v>SMU</v>
      </c>
      <c r="AI1083" s="1" t="str">
        <f>"F11"</f>
        <v>F11</v>
      </c>
      <c r="AJ1083" s="1" t="str">
        <f t="shared" si="714"/>
        <v>WOMAN</v>
      </c>
      <c r="AK1083" s="1" t="str">
        <f t="shared" si="694"/>
        <v>PA</v>
      </c>
      <c r="AP1083" s="1" t="str">
        <f t="shared" si="695"/>
        <v>False</v>
      </c>
      <c r="AR1083" s="1" t="str">
        <f t="shared" si="715"/>
        <v>GYNNA</v>
      </c>
      <c r="AY1083" s="1" t="str">
        <f t="shared" si="696"/>
        <v>PF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 t="str">
        <f t="shared" si="721"/>
        <v>SOLA RUBBER CANVAS</v>
      </c>
      <c r="BF1083" s="1" t="str">
        <f t="shared" si="697"/>
        <v>Bonis SpA</v>
      </c>
    </row>
    <row r="1084" spans="2:58" x14ac:dyDescent="0.25">
      <c r="B1084" s="1">
        <v>2464</v>
      </c>
      <c r="C1084" s="1" t="str">
        <f t="shared" si="719"/>
        <v>GYNNA4240S7/C1</v>
      </c>
      <c r="E1084" s="1" t="str">
        <f>"36"</f>
        <v>36</v>
      </c>
      <c r="F1084" s="1" t="str">
        <f t="shared" si="686"/>
        <v>BONIS SPA</v>
      </c>
      <c r="G1084" s="1" t="str">
        <f t="shared" si="716"/>
        <v>STOCK SCAFFALE MP</v>
      </c>
      <c r="H1084" s="1" t="str">
        <f>"RED"</f>
        <v>RED</v>
      </c>
      <c r="K1084" s="1">
        <v>2</v>
      </c>
      <c r="L1084" s="1" t="str">
        <f t="shared" si="687"/>
        <v>01</v>
      </c>
      <c r="M1084" s="1" t="str">
        <f t="shared" si="717"/>
        <v>408</v>
      </c>
      <c r="N1084" s="1" t="str">
        <f t="shared" si="723"/>
        <v>003</v>
      </c>
      <c r="O1084" s="1" t="str">
        <f t="shared" si="688"/>
        <v>00</v>
      </c>
      <c r="P1084" s="1" t="str">
        <f t="shared" si="689"/>
        <v>S</v>
      </c>
      <c r="Q1084" s="1" t="str">
        <f t="shared" si="690"/>
        <v>P</v>
      </c>
      <c r="R1084" s="1" t="str">
        <f t="shared" si="691"/>
        <v>01</v>
      </c>
      <c r="S1084" s="1" t="str">
        <f t="shared" si="718"/>
        <v>04</v>
      </c>
      <c r="T1084" s="1" t="str">
        <f t="shared" si="692"/>
        <v>False</v>
      </c>
      <c r="U1084" s="1" t="str">
        <f t="shared" si="693"/>
        <v>True</v>
      </c>
      <c r="V1084" s="1" t="str">
        <f>"U0033310"</f>
        <v>U0033310</v>
      </c>
      <c r="W1084" s="1">
        <v>1</v>
      </c>
      <c r="Y1084" s="1">
        <v>0</v>
      </c>
      <c r="Z1084" s="1">
        <v>0</v>
      </c>
      <c r="AB1084" s="1" t="str">
        <f t="shared" si="720"/>
        <v>SMU</v>
      </c>
      <c r="AI1084" s="1" t="str">
        <f>"106"</f>
        <v>106</v>
      </c>
      <c r="AJ1084" s="1" t="str">
        <f t="shared" si="714"/>
        <v>WOMAN</v>
      </c>
      <c r="AK1084" s="1" t="str">
        <f t="shared" si="694"/>
        <v>PA</v>
      </c>
      <c r="AP1084" s="1" t="str">
        <f t="shared" si="695"/>
        <v>False</v>
      </c>
      <c r="AR1084" s="1" t="str">
        <f t="shared" si="715"/>
        <v>GYNNA</v>
      </c>
      <c r="AY1084" s="1" t="str">
        <f t="shared" si="696"/>
        <v>PF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 t="str">
        <f t="shared" si="721"/>
        <v>SOLA RUBBER CANVAS</v>
      </c>
      <c r="BF1084" s="1" t="str">
        <f t="shared" si="697"/>
        <v>Bonis SpA</v>
      </c>
    </row>
    <row r="1085" spans="2:58" x14ac:dyDescent="0.25">
      <c r="B1085" s="1">
        <v>2464</v>
      </c>
      <c r="C1085" s="1" t="str">
        <f t="shared" si="719"/>
        <v>GYNNA4240S7/C1</v>
      </c>
      <c r="E1085" s="1" t="str">
        <f>"36"</f>
        <v>36</v>
      </c>
      <c r="F1085" s="1" t="str">
        <f t="shared" si="686"/>
        <v>BONIS SPA</v>
      </c>
      <c r="G1085" s="1" t="str">
        <f t="shared" si="716"/>
        <v>STOCK SCAFFALE MP</v>
      </c>
      <c r="H1085" s="1" t="str">
        <f>"RED"</f>
        <v>RED</v>
      </c>
      <c r="K1085" s="1">
        <v>1</v>
      </c>
      <c r="L1085" s="1" t="str">
        <f t="shared" si="687"/>
        <v>01</v>
      </c>
      <c r="M1085" s="1" t="str">
        <f t="shared" si="717"/>
        <v>408</v>
      </c>
      <c r="N1085" s="1" t="str">
        <f t="shared" si="723"/>
        <v>003</v>
      </c>
      <c r="O1085" s="1" t="str">
        <f t="shared" si="688"/>
        <v>00</v>
      </c>
      <c r="P1085" s="1" t="str">
        <f t="shared" si="689"/>
        <v>S</v>
      </c>
      <c r="Q1085" s="1" t="str">
        <f t="shared" si="690"/>
        <v>P</v>
      </c>
      <c r="R1085" s="1" t="str">
        <f t="shared" si="691"/>
        <v>01</v>
      </c>
      <c r="S1085" s="1" t="str">
        <f t="shared" si="718"/>
        <v>04</v>
      </c>
      <c r="T1085" s="1" t="str">
        <f t="shared" si="692"/>
        <v>False</v>
      </c>
      <c r="U1085" s="1" t="str">
        <f t="shared" si="693"/>
        <v>True</v>
      </c>
      <c r="V1085" s="1" t="str">
        <f>"U0033327"</f>
        <v>U0033327</v>
      </c>
      <c r="W1085" s="1">
        <v>1</v>
      </c>
      <c r="Y1085" s="1">
        <v>0</v>
      </c>
      <c r="Z1085" s="1">
        <v>0</v>
      </c>
      <c r="AB1085" s="1" t="str">
        <f t="shared" si="720"/>
        <v>SMU</v>
      </c>
      <c r="AI1085" s="1" t="str">
        <f>"106"</f>
        <v>106</v>
      </c>
      <c r="AJ1085" s="1" t="str">
        <f t="shared" si="714"/>
        <v>WOMAN</v>
      </c>
      <c r="AK1085" s="1" t="str">
        <f t="shared" si="694"/>
        <v>PA</v>
      </c>
      <c r="AP1085" s="1" t="str">
        <f t="shared" si="695"/>
        <v>False</v>
      </c>
      <c r="AR1085" s="1" t="str">
        <f t="shared" si="715"/>
        <v>GYNNA</v>
      </c>
      <c r="AY1085" s="1" t="str">
        <f t="shared" si="696"/>
        <v>PF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 t="str">
        <f t="shared" si="721"/>
        <v>SOLA RUBBER CANVAS</v>
      </c>
      <c r="BF1085" s="1" t="str">
        <f t="shared" si="697"/>
        <v>Bonis SpA</v>
      </c>
    </row>
    <row r="1086" spans="2:58" x14ac:dyDescent="0.25">
      <c r="B1086" s="1">
        <v>2464</v>
      </c>
      <c r="C1086" s="1" t="str">
        <f t="shared" si="719"/>
        <v>GYNNA4240S7/C1</v>
      </c>
      <c r="E1086" s="1" t="str">
        <f>"39"</f>
        <v>39</v>
      </c>
      <c r="F1086" s="1" t="str">
        <f t="shared" si="686"/>
        <v>BONIS SPA</v>
      </c>
      <c r="G1086" s="1" t="str">
        <f t="shared" si="716"/>
        <v>STOCK SCAFFALE MP</v>
      </c>
      <c r="H1086" s="1" t="str">
        <f>"RED"</f>
        <v>RED</v>
      </c>
      <c r="K1086" s="1">
        <v>1</v>
      </c>
      <c r="L1086" s="1" t="str">
        <f t="shared" si="687"/>
        <v>01</v>
      </c>
      <c r="M1086" s="1" t="str">
        <f t="shared" si="717"/>
        <v>408</v>
      </c>
      <c r="N1086" s="1" t="str">
        <f t="shared" si="723"/>
        <v>003</v>
      </c>
      <c r="O1086" s="1" t="str">
        <f t="shared" si="688"/>
        <v>00</v>
      </c>
      <c r="P1086" s="1" t="str">
        <f t="shared" si="689"/>
        <v>S</v>
      </c>
      <c r="Q1086" s="1" t="str">
        <f t="shared" si="690"/>
        <v>P</v>
      </c>
      <c r="R1086" s="1" t="str">
        <f t="shared" si="691"/>
        <v>01</v>
      </c>
      <c r="S1086" s="1" t="str">
        <f t="shared" si="718"/>
        <v>04</v>
      </c>
      <c r="T1086" s="1" t="str">
        <f t="shared" si="692"/>
        <v>False</v>
      </c>
      <c r="U1086" s="1" t="str">
        <f t="shared" si="693"/>
        <v>True</v>
      </c>
      <c r="V1086" s="1" t="str">
        <f>"U0033327"</f>
        <v>U0033327</v>
      </c>
      <c r="W1086" s="1">
        <v>1</v>
      </c>
      <c r="Y1086" s="1">
        <v>0</v>
      </c>
      <c r="Z1086" s="1">
        <v>0</v>
      </c>
      <c r="AB1086" s="1" t="str">
        <f t="shared" si="720"/>
        <v>SMU</v>
      </c>
      <c r="AI1086" s="1" t="str">
        <f>"106"</f>
        <v>106</v>
      </c>
      <c r="AJ1086" s="1" t="str">
        <f t="shared" si="714"/>
        <v>WOMAN</v>
      </c>
      <c r="AK1086" s="1" t="str">
        <f t="shared" si="694"/>
        <v>PA</v>
      </c>
      <c r="AP1086" s="1" t="str">
        <f t="shared" si="695"/>
        <v>False</v>
      </c>
      <c r="AR1086" s="1" t="str">
        <f t="shared" si="715"/>
        <v>GYNNA</v>
      </c>
      <c r="AY1086" s="1" t="str">
        <f t="shared" si="696"/>
        <v>PF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 t="str">
        <f t="shared" si="721"/>
        <v>SOLA RUBBER CANVAS</v>
      </c>
      <c r="BF1086" s="1" t="str">
        <f t="shared" si="697"/>
        <v>Bonis SpA</v>
      </c>
    </row>
    <row r="1087" spans="2:58" x14ac:dyDescent="0.25">
      <c r="B1087" s="1">
        <v>2464</v>
      </c>
      <c r="C1087" s="1" t="str">
        <f t="shared" si="719"/>
        <v>GYNNA4240S7/C1</v>
      </c>
      <c r="E1087" s="1" t="str">
        <f>"37"</f>
        <v>37</v>
      </c>
      <c r="F1087" s="1" t="str">
        <f t="shared" si="686"/>
        <v>BONIS SPA</v>
      </c>
      <c r="G1087" s="1" t="str">
        <f t="shared" si="716"/>
        <v>STOCK SCAFFALE MP</v>
      </c>
      <c r="H1087" s="1" t="str">
        <f>"RED"</f>
        <v>RED</v>
      </c>
      <c r="K1087" s="1">
        <v>1</v>
      </c>
      <c r="L1087" s="1" t="str">
        <f t="shared" si="687"/>
        <v>01</v>
      </c>
      <c r="M1087" s="1" t="str">
        <f t="shared" si="717"/>
        <v>408</v>
      </c>
      <c r="N1087" s="1" t="str">
        <f t="shared" si="723"/>
        <v>003</v>
      </c>
      <c r="O1087" s="1" t="str">
        <f t="shared" si="688"/>
        <v>00</v>
      </c>
      <c r="P1087" s="1" t="str">
        <f t="shared" si="689"/>
        <v>S</v>
      </c>
      <c r="Q1087" s="1" t="str">
        <f t="shared" si="690"/>
        <v>P</v>
      </c>
      <c r="R1087" s="1" t="str">
        <f t="shared" si="691"/>
        <v>01</v>
      </c>
      <c r="S1087" s="1" t="str">
        <f t="shared" si="718"/>
        <v>04</v>
      </c>
      <c r="T1087" s="1" t="str">
        <f t="shared" si="692"/>
        <v>False</v>
      </c>
      <c r="U1087" s="1" t="str">
        <f t="shared" si="693"/>
        <v>True</v>
      </c>
      <c r="V1087" s="1" t="str">
        <f>"U0033327"</f>
        <v>U0033327</v>
      </c>
      <c r="W1087" s="1">
        <v>1</v>
      </c>
      <c r="Y1087" s="1">
        <v>0</v>
      </c>
      <c r="Z1087" s="1">
        <v>0</v>
      </c>
      <c r="AB1087" s="1" t="str">
        <f t="shared" si="720"/>
        <v>SMU</v>
      </c>
      <c r="AI1087" s="1" t="str">
        <f>"106"</f>
        <v>106</v>
      </c>
      <c r="AJ1087" s="1" t="str">
        <f t="shared" si="714"/>
        <v>WOMAN</v>
      </c>
      <c r="AK1087" s="1" t="str">
        <f t="shared" si="694"/>
        <v>PA</v>
      </c>
      <c r="AP1087" s="1" t="str">
        <f t="shared" si="695"/>
        <v>False</v>
      </c>
      <c r="AR1087" s="1" t="str">
        <f t="shared" si="715"/>
        <v>GYNNA</v>
      </c>
      <c r="AY1087" s="1" t="str">
        <f t="shared" si="696"/>
        <v>PF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 t="str">
        <f t="shared" si="721"/>
        <v>SOLA RUBBER CANVAS</v>
      </c>
      <c r="BF1087" s="1" t="str">
        <f t="shared" si="697"/>
        <v>Bonis SpA</v>
      </c>
    </row>
    <row r="1088" spans="2:58" x14ac:dyDescent="0.25">
      <c r="B1088" s="1">
        <v>2491</v>
      </c>
      <c r="C1088" s="1" t="str">
        <f t="shared" ref="C1088:C1095" si="724">"NOBIW4243S7/CH2"</f>
        <v>NOBIW4243S7/CH2</v>
      </c>
      <c r="E1088" s="1" t="str">
        <f>"40"</f>
        <v>40</v>
      </c>
      <c r="F1088" s="1" t="str">
        <f t="shared" si="686"/>
        <v>BONIS SPA</v>
      </c>
      <c r="G1088" s="1" t="str">
        <f t="shared" si="716"/>
        <v>STOCK SCAFFALE MP</v>
      </c>
      <c r="H1088" s="1" t="str">
        <f t="shared" ref="H1088:H1095" si="725">"FUX"</f>
        <v>FUX</v>
      </c>
      <c r="K1088" s="1">
        <v>2</v>
      </c>
      <c r="L1088" s="1" t="str">
        <f t="shared" si="687"/>
        <v>01</v>
      </c>
      <c r="M1088" s="1" t="str">
        <f t="shared" si="717"/>
        <v>408</v>
      </c>
      <c r="N1088" s="1" t="str">
        <f t="shared" ref="N1088:N1111" si="726">"012"</f>
        <v>012</v>
      </c>
      <c r="O1088" s="1" t="str">
        <f t="shared" si="688"/>
        <v>00</v>
      </c>
      <c r="P1088" s="1" t="str">
        <f t="shared" si="689"/>
        <v>S</v>
      </c>
      <c r="Q1088" s="1" t="str">
        <f t="shared" si="690"/>
        <v>P</v>
      </c>
      <c r="R1088" s="1" t="str">
        <f t="shared" si="691"/>
        <v>01</v>
      </c>
      <c r="S1088" s="1" t="str">
        <f t="shared" si="718"/>
        <v>04</v>
      </c>
      <c r="T1088" s="1" t="str">
        <f t="shared" si="692"/>
        <v>False</v>
      </c>
      <c r="U1088" s="1" t="str">
        <f t="shared" si="693"/>
        <v>True</v>
      </c>
      <c r="V1088" s="1" t="str">
        <f>"U0033304"</f>
        <v>U0033304</v>
      </c>
      <c r="W1088" s="1">
        <v>1</v>
      </c>
      <c r="Y1088" s="1">
        <v>0</v>
      </c>
      <c r="Z1088" s="1">
        <v>0</v>
      </c>
      <c r="AB1088" s="1" t="str">
        <f t="shared" si="720"/>
        <v>SMU</v>
      </c>
      <c r="AI1088" s="1" t="str">
        <f t="shared" ref="AI1088:AI1111" si="727">"F10"</f>
        <v>F10</v>
      </c>
      <c r="AJ1088" s="1" t="str">
        <f t="shared" si="714"/>
        <v>WOMAN</v>
      </c>
      <c r="AK1088" s="1" t="str">
        <f t="shared" si="694"/>
        <v>PA</v>
      </c>
      <c r="AP1088" s="1" t="str">
        <f t="shared" si="695"/>
        <v>False</v>
      </c>
      <c r="AR1088" s="1" t="str">
        <f t="shared" ref="AR1088:AR1111" si="728">"NOBIW"</f>
        <v>NOBIW</v>
      </c>
      <c r="AY1088" s="1" t="str">
        <f t="shared" si="696"/>
        <v>PF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 t="str">
        <f t="shared" ref="BE1088:BE1095" si="729">"UBBER FLAT MOL.CANVAS+MICROSUE"</f>
        <v>UBBER FLAT MOL.CANVAS+MICROSUE</v>
      </c>
      <c r="BF1088" s="1" t="str">
        <f t="shared" si="697"/>
        <v>Bonis SpA</v>
      </c>
    </row>
    <row r="1089" spans="2:58" x14ac:dyDescent="0.25">
      <c r="B1089" s="1">
        <v>2491</v>
      </c>
      <c r="C1089" s="1" t="str">
        <f t="shared" si="724"/>
        <v>NOBIW4243S7/CH2</v>
      </c>
      <c r="E1089" s="1" t="str">
        <f>"38"</f>
        <v>38</v>
      </c>
      <c r="F1089" s="1" t="str">
        <f t="shared" si="686"/>
        <v>BONIS SPA</v>
      </c>
      <c r="G1089" s="1" t="str">
        <f t="shared" si="716"/>
        <v>STOCK SCAFFALE MP</v>
      </c>
      <c r="H1089" s="1" t="str">
        <f t="shared" si="725"/>
        <v>FUX</v>
      </c>
      <c r="K1089" s="1">
        <v>3</v>
      </c>
      <c r="L1089" s="1" t="str">
        <f t="shared" si="687"/>
        <v>01</v>
      </c>
      <c r="M1089" s="1" t="str">
        <f t="shared" si="717"/>
        <v>408</v>
      </c>
      <c r="N1089" s="1" t="str">
        <f t="shared" si="726"/>
        <v>012</v>
      </c>
      <c r="O1089" s="1" t="str">
        <f t="shared" si="688"/>
        <v>00</v>
      </c>
      <c r="P1089" s="1" t="str">
        <f t="shared" si="689"/>
        <v>S</v>
      </c>
      <c r="Q1089" s="1" t="str">
        <f t="shared" si="690"/>
        <v>P</v>
      </c>
      <c r="R1089" s="1" t="str">
        <f t="shared" si="691"/>
        <v>01</v>
      </c>
      <c r="S1089" s="1" t="str">
        <f t="shared" si="718"/>
        <v>04</v>
      </c>
      <c r="T1089" s="1" t="str">
        <f t="shared" si="692"/>
        <v>False</v>
      </c>
      <c r="U1089" s="1" t="str">
        <f t="shared" si="693"/>
        <v>True</v>
      </c>
      <c r="V1089" s="1" t="str">
        <f>"U0033304"</f>
        <v>U0033304</v>
      </c>
      <c r="W1089" s="1">
        <v>1</v>
      </c>
      <c r="Y1089" s="1">
        <v>0</v>
      </c>
      <c r="Z1089" s="1">
        <v>0</v>
      </c>
      <c r="AB1089" s="1" t="str">
        <f t="shared" si="720"/>
        <v>SMU</v>
      </c>
      <c r="AI1089" s="1" t="str">
        <f t="shared" si="727"/>
        <v>F10</v>
      </c>
      <c r="AJ1089" s="1" t="str">
        <f t="shared" si="714"/>
        <v>WOMAN</v>
      </c>
      <c r="AK1089" s="1" t="str">
        <f t="shared" si="694"/>
        <v>PA</v>
      </c>
      <c r="AP1089" s="1" t="str">
        <f t="shared" si="695"/>
        <v>False</v>
      </c>
      <c r="AR1089" s="1" t="str">
        <f t="shared" si="728"/>
        <v>NOBIW</v>
      </c>
      <c r="AY1089" s="1" t="str">
        <f t="shared" si="696"/>
        <v>PF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 t="str">
        <f t="shared" si="729"/>
        <v>UBBER FLAT MOL.CANVAS+MICROSUE</v>
      </c>
      <c r="BF1089" s="1" t="str">
        <f t="shared" si="697"/>
        <v>Bonis SpA</v>
      </c>
    </row>
    <row r="1090" spans="2:58" x14ac:dyDescent="0.25">
      <c r="B1090" s="1">
        <v>2491</v>
      </c>
      <c r="C1090" s="1" t="str">
        <f t="shared" si="724"/>
        <v>NOBIW4243S7/CH2</v>
      </c>
      <c r="E1090" s="1" t="str">
        <f>"39"</f>
        <v>39</v>
      </c>
      <c r="F1090" s="1" t="str">
        <f t="shared" ref="F1090:F1153" si="730">"BONIS SPA"</f>
        <v>BONIS SPA</v>
      </c>
      <c r="G1090" s="1" t="str">
        <f t="shared" si="716"/>
        <v>STOCK SCAFFALE MP</v>
      </c>
      <c r="H1090" s="1" t="str">
        <f t="shared" si="725"/>
        <v>FUX</v>
      </c>
      <c r="K1090" s="1">
        <v>5</v>
      </c>
      <c r="L1090" s="1" t="str">
        <f t="shared" ref="L1090:L1153" si="731">"01"</f>
        <v>01</v>
      </c>
      <c r="M1090" s="1" t="str">
        <f t="shared" si="717"/>
        <v>408</v>
      </c>
      <c r="N1090" s="1" t="str">
        <f t="shared" si="726"/>
        <v>012</v>
      </c>
      <c r="O1090" s="1" t="str">
        <f t="shared" ref="O1090:O1153" si="732">"00"</f>
        <v>00</v>
      </c>
      <c r="P1090" s="1" t="str">
        <f t="shared" ref="P1090:P1153" si="733">"S"</f>
        <v>S</v>
      </c>
      <c r="Q1090" s="1" t="str">
        <f t="shared" ref="Q1090:Q1153" si="734">"P"</f>
        <v>P</v>
      </c>
      <c r="R1090" s="1" t="str">
        <f t="shared" ref="R1090:R1153" si="735">"01"</f>
        <v>01</v>
      </c>
      <c r="S1090" s="1" t="str">
        <f t="shared" si="718"/>
        <v>04</v>
      </c>
      <c r="T1090" s="1" t="str">
        <f t="shared" ref="T1090:T1153" si="736">"False"</f>
        <v>False</v>
      </c>
      <c r="U1090" s="1" t="str">
        <f t="shared" ref="U1090:U1153" si="737">"True"</f>
        <v>True</v>
      </c>
      <c r="V1090" s="1" t="str">
        <f>"U0033304"</f>
        <v>U0033304</v>
      </c>
      <c r="W1090" s="1">
        <v>1</v>
      </c>
      <c r="Y1090" s="1">
        <v>0</v>
      </c>
      <c r="Z1090" s="1">
        <v>0</v>
      </c>
      <c r="AB1090" s="1" t="str">
        <f t="shared" si="720"/>
        <v>SMU</v>
      </c>
      <c r="AI1090" s="1" t="str">
        <f t="shared" si="727"/>
        <v>F10</v>
      </c>
      <c r="AJ1090" s="1" t="str">
        <f t="shared" si="714"/>
        <v>WOMAN</v>
      </c>
      <c r="AK1090" s="1" t="str">
        <f t="shared" ref="AK1090:AK1153" si="738">"PA"</f>
        <v>PA</v>
      </c>
      <c r="AP1090" s="1" t="str">
        <f t="shared" ref="AP1090:AP1153" si="739">"False"</f>
        <v>False</v>
      </c>
      <c r="AR1090" s="1" t="str">
        <f t="shared" si="728"/>
        <v>NOBIW</v>
      </c>
      <c r="AY1090" s="1" t="str">
        <f t="shared" ref="AY1090:AY1153" si="740">"PF"</f>
        <v>PF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 t="str">
        <f t="shared" si="729"/>
        <v>UBBER FLAT MOL.CANVAS+MICROSUE</v>
      </c>
      <c r="BF1090" s="1" t="str">
        <f t="shared" ref="BF1090:BF1153" si="741">"Bonis SpA"</f>
        <v>Bonis SpA</v>
      </c>
    </row>
    <row r="1091" spans="2:58" x14ac:dyDescent="0.25">
      <c r="B1091" s="1">
        <v>2491</v>
      </c>
      <c r="C1091" s="1" t="str">
        <f t="shared" si="724"/>
        <v>NOBIW4243S7/CH2</v>
      </c>
      <c r="E1091" s="1" t="str">
        <f>"37"</f>
        <v>37</v>
      </c>
      <c r="F1091" s="1" t="str">
        <f t="shared" si="730"/>
        <v>BONIS SPA</v>
      </c>
      <c r="G1091" s="1" t="str">
        <f t="shared" si="716"/>
        <v>STOCK SCAFFALE MP</v>
      </c>
      <c r="H1091" s="1" t="str">
        <f t="shared" si="725"/>
        <v>FUX</v>
      </c>
      <c r="K1091" s="1">
        <v>2</v>
      </c>
      <c r="L1091" s="1" t="str">
        <f t="shared" si="731"/>
        <v>01</v>
      </c>
      <c r="M1091" s="1" t="str">
        <f t="shared" si="717"/>
        <v>408</v>
      </c>
      <c r="N1091" s="1" t="str">
        <f t="shared" si="726"/>
        <v>012</v>
      </c>
      <c r="O1091" s="1" t="str">
        <f t="shared" si="732"/>
        <v>00</v>
      </c>
      <c r="P1091" s="1" t="str">
        <f t="shared" si="733"/>
        <v>S</v>
      </c>
      <c r="Q1091" s="1" t="str">
        <f t="shared" si="734"/>
        <v>P</v>
      </c>
      <c r="R1091" s="1" t="str">
        <f t="shared" si="735"/>
        <v>01</v>
      </c>
      <c r="S1091" s="1" t="str">
        <f t="shared" si="718"/>
        <v>04</v>
      </c>
      <c r="T1091" s="1" t="str">
        <f t="shared" si="736"/>
        <v>False</v>
      </c>
      <c r="U1091" s="1" t="str">
        <f t="shared" si="737"/>
        <v>True</v>
      </c>
      <c r="V1091" s="1" t="str">
        <f>"U0033295"</f>
        <v>U0033295</v>
      </c>
      <c r="W1091" s="1">
        <v>1</v>
      </c>
      <c r="Y1091" s="1">
        <v>0</v>
      </c>
      <c r="Z1091" s="1">
        <v>0</v>
      </c>
      <c r="AB1091" s="1" t="str">
        <f t="shared" si="720"/>
        <v>SMU</v>
      </c>
      <c r="AI1091" s="1" t="str">
        <f t="shared" si="727"/>
        <v>F10</v>
      </c>
      <c r="AJ1091" s="1" t="str">
        <f t="shared" si="714"/>
        <v>WOMAN</v>
      </c>
      <c r="AK1091" s="1" t="str">
        <f t="shared" si="738"/>
        <v>PA</v>
      </c>
      <c r="AP1091" s="1" t="str">
        <f t="shared" si="739"/>
        <v>False</v>
      </c>
      <c r="AR1091" s="1" t="str">
        <f t="shared" si="728"/>
        <v>NOBIW</v>
      </c>
      <c r="AY1091" s="1" t="str">
        <f t="shared" si="740"/>
        <v>PF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 t="str">
        <f t="shared" si="729"/>
        <v>UBBER FLAT MOL.CANVAS+MICROSUE</v>
      </c>
      <c r="BF1091" s="1" t="str">
        <f t="shared" si="741"/>
        <v>Bonis SpA</v>
      </c>
    </row>
    <row r="1092" spans="2:58" x14ac:dyDescent="0.25">
      <c r="B1092" s="1">
        <v>2491</v>
      </c>
      <c r="C1092" s="1" t="str">
        <f t="shared" si="724"/>
        <v>NOBIW4243S7/CH2</v>
      </c>
      <c r="E1092" s="1" t="str">
        <f>"39"</f>
        <v>39</v>
      </c>
      <c r="F1092" s="1" t="str">
        <f t="shared" si="730"/>
        <v>BONIS SPA</v>
      </c>
      <c r="G1092" s="1" t="str">
        <f t="shared" si="716"/>
        <v>STOCK SCAFFALE MP</v>
      </c>
      <c r="H1092" s="1" t="str">
        <f t="shared" si="725"/>
        <v>FUX</v>
      </c>
      <c r="K1092" s="1">
        <v>3</v>
      </c>
      <c r="L1092" s="1" t="str">
        <f t="shared" si="731"/>
        <v>01</v>
      </c>
      <c r="M1092" s="1" t="str">
        <f t="shared" si="717"/>
        <v>408</v>
      </c>
      <c r="N1092" s="1" t="str">
        <f t="shared" si="726"/>
        <v>012</v>
      </c>
      <c r="O1092" s="1" t="str">
        <f t="shared" si="732"/>
        <v>00</v>
      </c>
      <c r="P1092" s="1" t="str">
        <f t="shared" si="733"/>
        <v>S</v>
      </c>
      <c r="Q1092" s="1" t="str">
        <f t="shared" si="734"/>
        <v>P</v>
      </c>
      <c r="R1092" s="1" t="str">
        <f t="shared" si="735"/>
        <v>01</v>
      </c>
      <c r="S1092" s="1" t="str">
        <f t="shared" si="718"/>
        <v>04</v>
      </c>
      <c r="T1092" s="1" t="str">
        <f t="shared" si="736"/>
        <v>False</v>
      </c>
      <c r="U1092" s="1" t="str">
        <f t="shared" si="737"/>
        <v>True</v>
      </c>
      <c r="V1092" s="1" t="str">
        <f>"U0033302"</f>
        <v>U0033302</v>
      </c>
      <c r="W1092" s="1">
        <v>1</v>
      </c>
      <c r="Y1092" s="1">
        <v>0</v>
      </c>
      <c r="Z1092" s="1">
        <v>0</v>
      </c>
      <c r="AB1092" s="1" t="str">
        <f t="shared" si="720"/>
        <v>SMU</v>
      </c>
      <c r="AI1092" s="1" t="str">
        <f t="shared" si="727"/>
        <v>F10</v>
      </c>
      <c r="AJ1092" s="1" t="str">
        <f t="shared" si="714"/>
        <v>WOMAN</v>
      </c>
      <c r="AK1092" s="1" t="str">
        <f t="shared" si="738"/>
        <v>PA</v>
      </c>
      <c r="AP1092" s="1" t="str">
        <f t="shared" si="739"/>
        <v>False</v>
      </c>
      <c r="AR1092" s="1" t="str">
        <f t="shared" si="728"/>
        <v>NOBIW</v>
      </c>
      <c r="AY1092" s="1" t="str">
        <f t="shared" si="740"/>
        <v>PF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 t="str">
        <f t="shared" si="729"/>
        <v>UBBER FLAT MOL.CANVAS+MICROSUE</v>
      </c>
      <c r="BF1092" s="1" t="str">
        <f t="shared" si="741"/>
        <v>Bonis SpA</v>
      </c>
    </row>
    <row r="1093" spans="2:58" x14ac:dyDescent="0.25">
      <c r="B1093" s="1">
        <v>2491</v>
      </c>
      <c r="C1093" s="1" t="str">
        <f t="shared" si="724"/>
        <v>NOBIW4243S7/CH2</v>
      </c>
      <c r="E1093" s="1" t="str">
        <f>"38"</f>
        <v>38</v>
      </c>
      <c r="F1093" s="1" t="str">
        <f t="shared" si="730"/>
        <v>BONIS SPA</v>
      </c>
      <c r="G1093" s="1" t="str">
        <f t="shared" si="716"/>
        <v>STOCK SCAFFALE MP</v>
      </c>
      <c r="H1093" s="1" t="str">
        <f t="shared" si="725"/>
        <v>FUX</v>
      </c>
      <c r="K1093" s="1">
        <v>5</v>
      </c>
      <c r="L1093" s="1" t="str">
        <f t="shared" si="731"/>
        <v>01</v>
      </c>
      <c r="M1093" s="1" t="str">
        <f t="shared" si="717"/>
        <v>408</v>
      </c>
      <c r="N1093" s="1" t="str">
        <f t="shared" si="726"/>
        <v>012</v>
      </c>
      <c r="O1093" s="1" t="str">
        <f t="shared" si="732"/>
        <v>00</v>
      </c>
      <c r="P1093" s="1" t="str">
        <f t="shared" si="733"/>
        <v>S</v>
      </c>
      <c r="Q1093" s="1" t="str">
        <f t="shared" si="734"/>
        <v>P</v>
      </c>
      <c r="R1093" s="1" t="str">
        <f t="shared" si="735"/>
        <v>01</v>
      </c>
      <c r="S1093" s="1" t="str">
        <f t="shared" si="718"/>
        <v>04</v>
      </c>
      <c r="T1093" s="1" t="str">
        <f t="shared" si="736"/>
        <v>False</v>
      </c>
      <c r="U1093" s="1" t="str">
        <f t="shared" si="737"/>
        <v>True</v>
      </c>
      <c r="V1093" s="1" t="str">
        <f>"U0033302"</f>
        <v>U0033302</v>
      </c>
      <c r="W1093" s="1">
        <v>1</v>
      </c>
      <c r="Y1093" s="1">
        <v>0</v>
      </c>
      <c r="Z1093" s="1">
        <v>0</v>
      </c>
      <c r="AB1093" s="1" t="str">
        <f t="shared" si="720"/>
        <v>SMU</v>
      </c>
      <c r="AI1093" s="1" t="str">
        <f t="shared" si="727"/>
        <v>F10</v>
      </c>
      <c r="AJ1093" s="1" t="str">
        <f t="shared" si="714"/>
        <v>WOMAN</v>
      </c>
      <c r="AK1093" s="1" t="str">
        <f t="shared" si="738"/>
        <v>PA</v>
      </c>
      <c r="AP1093" s="1" t="str">
        <f t="shared" si="739"/>
        <v>False</v>
      </c>
      <c r="AR1093" s="1" t="str">
        <f t="shared" si="728"/>
        <v>NOBIW</v>
      </c>
      <c r="AY1093" s="1" t="str">
        <f t="shared" si="740"/>
        <v>PF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 t="str">
        <f t="shared" si="729"/>
        <v>UBBER FLAT MOL.CANVAS+MICROSUE</v>
      </c>
      <c r="BF1093" s="1" t="str">
        <f t="shared" si="741"/>
        <v>Bonis SpA</v>
      </c>
    </row>
    <row r="1094" spans="2:58" x14ac:dyDescent="0.25">
      <c r="B1094" s="1">
        <v>2491</v>
      </c>
      <c r="C1094" s="1" t="str">
        <f t="shared" si="724"/>
        <v>NOBIW4243S7/CH2</v>
      </c>
      <c r="E1094" s="1" t="str">
        <f>"37"</f>
        <v>37</v>
      </c>
      <c r="F1094" s="1" t="str">
        <f t="shared" si="730"/>
        <v>BONIS SPA</v>
      </c>
      <c r="G1094" s="1" t="str">
        <f t="shared" si="716"/>
        <v>STOCK SCAFFALE MP</v>
      </c>
      <c r="H1094" s="1" t="str">
        <f t="shared" si="725"/>
        <v>FUX</v>
      </c>
      <c r="K1094" s="1">
        <v>2</v>
      </c>
      <c r="L1094" s="1" t="str">
        <f t="shared" si="731"/>
        <v>01</v>
      </c>
      <c r="M1094" s="1" t="str">
        <f t="shared" si="717"/>
        <v>408</v>
      </c>
      <c r="N1094" s="1" t="str">
        <f t="shared" si="726"/>
        <v>012</v>
      </c>
      <c r="O1094" s="1" t="str">
        <f t="shared" si="732"/>
        <v>00</v>
      </c>
      <c r="P1094" s="1" t="str">
        <f t="shared" si="733"/>
        <v>S</v>
      </c>
      <c r="Q1094" s="1" t="str">
        <f t="shared" si="734"/>
        <v>P</v>
      </c>
      <c r="R1094" s="1" t="str">
        <f t="shared" si="735"/>
        <v>01</v>
      </c>
      <c r="S1094" s="1" t="str">
        <f t="shared" si="718"/>
        <v>04</v>
      </c>
      <c r="T1094" s="1" t="str">
        <f t="shared" si="736"/>
        <v>False</v>
      </c>
      <c r="U1094" s="1" t="str">
        <f t="shared" si="737"/>
        <v>True</v>
      </c>
      <c r="V1094" s="1" t="str">
        <f>"U0033302"</f>
        <v>U0033302</v>
      </c>
      <c r="W1094" s="1">
        <v>1</v>
      </c>
      <c r="Y1094" s="1">
        <v>0</v>
      </c>
      <c r="Z1094" s="1">
        <v>0</v>
      </c>
      <c r="AB1094" s="1" t="str">
        <f t="shared" si="720"/>
        <v>SMU</v>
      </c>
      <c r="AI1094" s="1" t="str">
        <f t="shared" si="727"/>
        <v>F10</v>
      </c>
      <c r="AJ1094" s="1" t="str">
        <f t="shared" si="714"/>
        <v>WOMAN</v>
      </c>
      <c r="AK1094" s="1" t="str">
        <f t="shared" si="738"/>
        <v>PA</v>
      </c>
      <c r="AP1094" s="1" t="str">
        <f t="shared" si="739"/>
        <v>False</v>
      </c>
      <c r="AR1094" s="1" t="str">
        <f t="shared" si="728"/>
        <v>NOBIW</v>
      </c>
      <c r="AY1094" s="1" t="str">
        <f t="shared" si="740"/>
        <v>PF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 t="str">
        <f t="shared" si="729"/>
        <v>UBBER FLAT MOL.CANVAS+MICROSUE</v>
      </c>
      <c r="BF1094" s="1" t="str">
        <f t="shared" si="741"/>
        <v>Bonis SpA</v>
      </c>
    </row>
    <row r="1095" spans="2:58" x14ac:dyDescent="0.25">
      <c r="B1095" s="1">
        <v>2491</v>
      </c>
      <c r="C1095" s="1" t="str">
        <f t="shared" si="724"/>
        <v>NOBIW4243S7/CH2</v>
      </c>
      <c r="E1095" s="1" t="str">
        <f>"40"</f>
        <v>40</v>
      </c>
      <c r="F1095" s="1" t="str">
        <f t="shared" si="730"/>
        <v>BONIS SPA</v>
      </c>
      <c r="G1095" s="1" t="str">
        <f t="shared" si="716"/>
        <v>STOCK SCAFFALE MP</v>
      </c>
      <c r="H1095" s="1" t="str">
        <f t="shared" si="725"/>
        <v>FUX</v>
      </c>
      <c r="K1095" s="1">
        <v>1</v>
      </c>
      <c r="L1095" s="1" t="str">
        <f t="shared" si="731"/>
        <v>01</v>
      </c>
      <c r="M1095" s="1" t="str">
        <f t="shared" si="717"/>
        <v>408</v>
      </c>
      <c r="N1095" s="1" t="str">
        <f t="shared" si="726"/>
        <v>012</v>
      </c>
      <c r="O1095" s="1" t="str">
        <f t="shared" si="732"/>
        <v>00</v>
      </c>
      <c r="P1095" s="1" t="str">
        <f t="shared" si="733"/>
        <v>S</v>
      </c>
      <c r="Q1095" s="1" t="str">
        <f t="shared" si="734"/>
        <v>P</v>
      </c>
      <c r="R1095" s="1" t="str">
        <f t="shared" si="735"/>
        <v>01</v>
      </c>
      <c r="S1095" s="1" t="str">
        <f t="shared" si="718"/>
        <v>04</v>
      </c>
      <c r="T1095" s="1" t="str">
        <f t="shared" si="736"/>
        <v>False</v>
      </c>
      <c r="U1095" s="1" t="str">
        <f t="shared" si="737"/>
        <v>True</v>
      </c>
      <c r="V1095" s="1" t="str">
        <f>"U0033302"</f>
        <v>U0033302</v>
      </c>
      <c r="W1095" s="1">
        <v>1</v>
      </c>
      <c r="Y1095" s="1">
        <v>0</v>
      </c>
      <c r="Z1095" s="1">
        <v>0</v>
      </c>
      <c r="AB1095" s="1" t="str">
        <f t="shared" si="720"/>
        <v>SMU</v>
      </c>
      <c r="AI1095" s="1" t="str">
        <f t="shared" si="727"/>
        <v>F10</v>
      </c>
      <c r="AJ1095" s="1" t="str">
        <f t="shared" si="714"/>
        <v>WOMAN</v>
      </c>
      <c r="AK1095" s="1" t="str">
        <f t="shared" si="738"/>
        <v>PA</v>
      </c>
      <c r="AP1095" s="1" t="str">
        <f t="shared" si="739"/>
        <v>False</v>
      </c>
      <c r="AR1095" s="1" t="str">
        <f t="shared" si="728"/>
        <v>NOBIW</v>
      </c>
      <c r="AY1095" s="1" t="str">
        <f t="shared" si="740"/>
        <v>PF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 t="str">
        <f t="shared" si="729"/>
        <v>UBBER FLAT MOL.CANVAS+MICROSUE</v>
      </c>
      <c r="BF1095" s="1" t="str">
        <f t="shared" si="741"/>
        <v>Bonis SpA</v>
      </c>
    </row>
    <row r="1096" spans="2:58" x14ac:dyDescent="0.25">
      <c r="B1096" s="1">
        <v>2491</v>
      </c>
      <c r="C1096" s="1" t="str">
        <f t="shared" ref="C1096:C1101" si="742">"NOBIW4197S6/NH1A"</f>
        <v>NOBIW4197S6/NH1A</v>
      </c>
      <c r="E1096" s="1" t="str">
        <f>"40"</f>
        <v>40</v>
      </c>
      <c r="F1096" s="1" t="str">
        <f t="shared" si="730"/>
        <v>BONIS SPA</v>
      </c>
      <c r="G1096" s="1" t="str">
        <f t="shared" si="716"/>
        <v>STOCK SCAFFALE MP</v>
      </c>
      <c r="H1096" s="1" t="str">
        <f>"RED"</f>
        <v>RED</v>
      </c>
      <c r="K1096" s="1">
        <v>3</v>
      </c>
      <c r="L1096" s="1" t="str">
        <f t="shared" si="731"/>
        <v>01</v>
      </c>
      <c r="M1096" s="1" t="str">
        <f t="shared" si="717"/>
        <v>408</v>
      </c>
      <c r="N1096" s="1" t="str">
        <f t="shared" si="726"/>
        <v>012</v>
      </c>
      <c r="O1096" s="1" t="str">
        <f t="shared" si="732"/>
        <v>00</v>
      </c>
      <c r="P1096" s="1" t="str">
        <f t="shared" si="733"/>
        <v>S</v>
      </c>
      <c r="Q1096" s="1" t="str">
        <f t="shared" si="734"/>
        <v>P</v>
      </c>
      <c r="R1096" s="1" t="str">
        <f t="shared" si="735"/>
        <v>01</v>
      </c>
      <c r="S1096" s="1" t="str">
        <f t="shared" si="718"/>
        <v>04</v>
      </c>
      <c r="T1096" s="1" t="str">
        <f t="shared" si="736"/>
        <v>False</v>
      </c>
      <c r="U1096" s="1" t="str">
        <f t="shared" si="737"/>
        <v>True</v>
      </c>
      <c r="V1096" s="1" t="str">
        <f>"U0033300"</f>
        <v>U0033300</v>
      </c>
      <c r="W1096" s="1">
        <v>1</v>
      </c>
      <c r="Y1096" s="1">
        <v>0</v>
      </c>
      <c r="Z1096" s="1">
        <v>0</v>
      </c>
      <c r="AB1096" s="1" t="str">
        <f t="shared" si="720"/>
        <v>SMU</v>
      </c>
      <c r="AI1096" s="1" t="str">
        <f t="shared" si="727"/>
        <v>F10</v>
      </c>
      <c r="AJ1096" s="1" t="str">
        <f t="shared" si="714"/>
        <v>WOMAN</v>
      </c>
      <c r="AK1096" s="1" t="str">
        <f t="shared" si="738"/>
        <v>PA</v>
      </c>
      <c r="AP1096" s="1" t="str">
        <f t="shared" si="739"/>
        <v>False</v>
      </c>
      <c r="AR1096" s="1" t="str">
        <f t="shared" si="728"/>
        <v>NOBIW</v>
      </c>
      <c r="AY1096" s="1" t="str">
        <f t="shared" si="740"/>
        <v>PF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 t="str">
        <f t="shared" ref="BE1096:BE1101" si="743">"UBBER FLAT MOL.NYLON+MICRO"</f>
        <v>UBBER FLAT MOL.NYLON+MICRO</v>
      </c>
      <c r="BF1096" s="1" t="str">
        <f t="shared" si="741"/>
        <v>Bonis SpA</v>
      </c>
    </row>
    <row r="1097" spans="2:58" x14ac:dyDescent="0.25">
      <c r="B1097" s="1">
        <v>2491</v>
      </c>
      <c r="C1097" s="1" t="str">
        <f t="shared" si="742"/>
        <v>NOBIW4197S6/NH1A</v>
      </c>
      <c r="E1097" s="1" t="str">
        <f>"37"</f>
        <v>37</v>
      </c>
      <c r="F1097" s="1" t="str">
        <f t="shared" si="730"/>
        <v>BONIS SPA</v>
      </c>
      <c r="G1097" s="1" t="str">
        <f t="shared" si="716"/>
        <v>STOCK SCAFFALE MP</v>
      </c>
      <c r="H1097" s="1" t="str">
        <f>"RED"</f>
        <v>RED</v>
      </c>
      <c r="K1097" s="1">
        <v>4</v>
      </c>
      <c r="L1097" s="1" t="str">
        <f t="shared" si="731"/>
        <v>01</v>
      </c>
      <c r="M1097" s="1" t="str">
        <f t="shared" si="717"/>
        <v>408</v>
      </c>
      <c r="N1097" s="1" t="str">
        <f t="shared" si="726"/>
        <v>012</v>
      </c>
      <c r="O1097" s="1" t="str">
        <f t="shared" si="732"/>
        <v>00</v>
      </c>
      <c r="P1097" s="1" t="str">
        <f t="shared" si="733"/>
        <v>S</v>
      </c>
      <c r="Q1097" s="1" t="str">
        <f t="shared" si="734"/>
        <v>P</v>
      </c>
      <c r="R1097" s="1" t="str">
        <f t="shared" si="735"/>
        <v>01</v>
      </c>
      <c r="S1097" s="1" t="str">
        <f t="shared" si="718"/>
        <v>04</v>
      </c>
      <c r="T1097" s="1" t="str">
        <f t="shared" si="736"/>
        <v>False</v>
      </c>
      <c r="U1097" s="1" t="str">
        <f t="shared" si="737"/>
        <v>True</v>
      </c>
      <c r="V1097" s="1" t="str">
        <f>"U0033300"</f>
        <v>U0033300</v>
      </c>
      <c r="W1097" s="1">
        <v>1</v>
      </c>
      <c r="Y1097" s="1">
        <v>0</v>
      </c>
      <c r="Z1097" s="1">
        <v>0</v>
      </c>
      <c r="AB1097" s="1" t="str">
        <f t="shared" si="720"/>
        <v>SMU</v>
      </c>
      <c r="AI1097" s="1" t="str">
        <f t="shared" si="727"/>
        <v>F10</v>
      </c>
      <c r="AJ1097" s="1" t="str">
        <f t="shared" si="714"/>
        <v>WOMAN</v>
      </c>
      <c r="AK1097" s="1" t="str">
        <f t="shared" si="738"/>
        <v>PA</v>
      </c>
      <c r="AP1097" s="1" t="str">
        <f t="shared" si="739"/>
        <v>False</v>
      </c>
      <c r="AR1097" s="1" t="str">
        <f t="shared" si="728"/>
        <v>NOBIW</v>
      </c>
      <c r="AY1097" s="1" t="str">
        <f t="shared" si="740"/>
        <v>PF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 t="str">
        <f t="shared" si="743"/>
        <v>UBBER FLAT MOL.NYLON+MICRO</v>
      </c>
      <c r="BF1097" s="1" t="str">
        <f t="shared" si="741"/>
        <v>Bonis SpA</v>
      </c>
    </row>
    <row r="1098" spans="2:58" x14ac:dyDescent="0.25">
      <c r="B1098" s="1">
        <v>2491</v>
      </c>
      <c r="C1098" s="1" t="str">
        <f t="shared" si="742"/>
        <v>NOBIW4197S6/NH1A</v>
      </c>
      <c r="E1098" s="1" t="str">
        <f>"36"</f>
        <v>36</v>
      </c>
      <c r="F1098" s="1" t="str">
        <f t="shared" si="730"/>
        <v>BONIS SPA</v>
      </c>
      <c r="G1098" s="1" t="str">
        <f t="shared" si="716"/>
        <v>STOCK SCAFFALE MP</v>
      </c>
      <c r="H1098" s="1" t="str">
        <f>"RED"</f>
        <v>RED</v>
      </c>
      <c r="K1098" s="1">
        <v>1</v>
      </c>
      <c r="L1098" s="1" t="str">
        <f t="shared" si="731"/>
        <v>01</v>
      </c>
      <c r="M1098" s="1" t="str">
        <f t="shared" si="717"/>
        <v>408</v>
      </c>
      <c r="N1098" s="1" t="str">
        <f t="shared" si="726"/>
        <v>012</v>
      </c>
      <c r="O1098" s="1" t="str">
        <f t="shared" si="732"/>
        <v>00</v>
      </c>
      <c r="P1098" s="1" t="str">
        <f t="shared" si="733"/>
        <v>S</v>
      </c>
      <c r="Q1098" s="1" t="str">
        <f t="shared" si="734"/>
        <v>P</v>
      </c>
      <c r="R1098" s="1" t="str">
        <f t="shared" si="735"/>
        <v>01</v>
      </c>
      <c r="S1098" s="1" t="str">
        <f t="shared" si="718"/>
        <v>04</v>
      </c>
      <c r="T1098" s="1" t="str">
        <f t="shared" si="736"/>
        <v>False</v>
      </c>
      <c r="U1098" s="1" t="str">
        <f t="shared" si="737"/>
        <v>True</v>
      </c>
      <c r="V1098" s="1" t="str">
        <f>"U0033300"</f>
        <v>U0033300</v>
      </c>
      <c r="W1098" s="1">
        <v>1</v>
      </c>
      <c r="Y1098" s="1">
        <v>0</v>
      </c>
      <c r="Z1098" s="1">
        <v>0</v>
      </c>
      <c r="AB1098" s="1" t="str">
        <f t="shared" si="720"/>
        <v>SMU</v>
      </c>
      <c r="AI1098" s="1" t="str">
        <f t="shared" si="727"/>
        <v>F10</v>
      </c>
      <c r="AJ1098" s="1" t="str">
        <f t="shared" si="714"/>
        <v>WOMAN</v>
      </c>
      <c r="AK1098" s="1" t="str">
        <f t="shared" si="738"/>
        <v>PA</v>
      </c>
      <c r="AP1098" s="1" t="str">
        <f t="shared" si="739"/>
        <v>False</v>
      </c>
      <c r="AR1098" s="1" t="str">
        <f t="shared" si="728"/>
        <v>NOBIW</v>
      </c>
      <c r="AY1098" s="1" t="str">
        <f t="shared" si="740"/>
        <v>PF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 t="str">
        <f t="shared" si="743"/>
        <v>UBBER FLAT MOL.NYLON+MICRO</v>
      </c>
      <c r="BF1098" s="1" t="str">
        <f t="shared" si="741"/>
        <v>Bonis SpA</v>
      </c>
    </row>
    <row r="1099" spans="2:58" x14ac:dyDescent="0.25">
      <c r="B1099" s="1">
        <v>2491</v>
      </c>
      <c r="C1099" s="1" t="str">
        <f t="shared" si="742"/>
        <v>NOBIW4197S6/NH1A</v>
      </c>
      <c r="E1099" s="1" t="str">
        <f>"39"</f>
        <v>39</v>
      </c>
      <c r="F1099" s="1" t="str">
        <f t="shared" si="730"/>
        <v>BONIS SPA</v>
      </c>
      <c r="G1099" s="1" t="str">
        <f t="shared" si="716"/>
        <v>STOCK SCAFFALE MP</v>
      </c>
      <c r="H1099" s="1" t="str">
        <f>"RED"</f>
        <v>RED</v>
      </c>
      <c r="K1099" s="1">
        <v>4</v>
      </c>
      <c r="L1099" s="1" t="str">
        <f t="shared" si="731"/>
        <v>01</v>
      </c>
      <c r="M1099" s="1" t="str">
        <f t="shared" si="717"/>
        <v>408</v>
      </c>
      <c r="N1099" s="1" t="str">
        <f t="shared" si="726"/>
        <v>012</v>
      </c>
      <c r="O1099" s="1" t="str">
        <f t="shared" si="732"/>
        <v>00</v>
      </c>
      <c r="P1099" s="1" t="str">
        <f t="shared" si="733"/>
        <v>S</v>
      </c>
      <c r="Q1099" s="1" t="str">
        <f t="shared" si="734"/>
        <v>P</v>
      </c>
      <c r="R1099" s="1" t="str">
        <f t="shared" si="735"/>
        <v>01</v>
      </c>
      <c r="S1099" s="1" t="str">
        <f t="shared" si="718"/>
        <v>04</v>
      </c>
      <c r="T1099" s="1" t="str">
        <f t="shared" si="736"/>
        <v>False</v>
      </c>
      <c r="U1099" s="1" t="str">
        <f t="shared" si="737"/>
        <v>True</v>
      </c>
      <c r="V1099" s="1" t="str">
        <f>"U0033300"</f>
        <v>U0033300</v>
      </c>
      <c r="W1099" s="1">
        <v>1</v>
      </c>
      <c r="Y1099" s="1">
        <v>0</v>
      </c>
      <c r="Z1099" s="1">
        <v>0</v>
      </c>
      <c r="AB1099" s="1" t="str">
        <f t="shared" si="720"/>
        <v>SMU</v>
      </c>
      <c r="AI1099" s="1" t="str">
        <f t="shared" si="727"/>
        <v>F10</v>
      </c>
      <c r="AJ1099" s="1" t="str">
        <f t="shared" si="714"/>
        <v>WOMAN</v>
      </c>
      <c r="AK1099" s="1" t="str">
        <f t="shared" si="738"/>
        <v>PA</v>
      </c>
      <c r="AP1099" s="1" t="str">
        <f t="shared" si="739"/>
        <v>False</v>
      </c>
      <c r="AR1099" s="1" t="str">
        <f t="shared" si="728"/>
        <v>NOBIW</v>
      </c>
      <c r="AY1099" s="1" t="str">
        <f t="shared" si="740"/>
        <v>PF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 t="str">
        <f t="shared" si="743"/>
        <v>UBBER FLAT MOL.NYLON+MICRO</v>
      </c>
      <c r="BF1099" s="1" t="str">
        <f t="shared" si="741"/>
        <v>Bonis SpA</v>
      </c>
    </row>
    <row r="1100" spans="2:58" x14ac:dyDescent="0.25">
      <c r="B1100" s="1">
        <v>2491</v>
      </c>
      <c r="C1100" s="1" t="str">
        <f t="shared" si="742"/>
        <v>NOBIW4197S6/NH1A</v>
      </c>
      <c r="E1100" s="1" t="str">
        <f>"37"</f>
        <v>37</v>
      </c>
      <c r="F1100" s="1" t="str">
        <f t="shared" si="730"/>
        <v>BONIS SPA</v>
      </c>
      <c r="G1100" s="1" t="str">
        <f t="shared" si="716"/>
        <v>STOCK SCAFFALE MP</v>
      </c>
      <c r="H1100" s="1" t="str">
        <f>"RED"</f>
        <v>RED</v>
      </c>
      <c r="K1100" s="1">
        <v>1</v>
      </c>
      <c r="L1100" s="1" t="str">
        <f t="shared" si="731"/>
        <v>01</v>
      </c>
      <c r="M1100" s="1" t="str">
        <f t="shared" si="717"/>
        <v>408</v>
      </c>
      <c r="N1100" s="1" t="str">
        <f t="shared" si="726"/>
        <v>012</v>
      </c>
      <c r="O1100" s="1" t="str">
        <f t="shared" si="732"/>
        <v>00</v>
      </c>
      <c r="P1100" s="1" t="str">
        <f t="shared" si="733"/>
        <v>S</v>
      </c>
      <c r="Q1100" s="1" t="str">
        <f t="shared" si="734"/>
        <v>P</v>
      </c>
      <c r="R1100" s="1" t="str">
        <f t="shared" si="735"/>
        <v>01</v>
      </c>
      <c r="S1100" s="1" t="str">
        <f t="shared" si="718"/>
        <v>04</v>
      </c>
      <c r="T1100" s="1" t="str">
        <f t="shared" si="736"/>
        <v>False</v>
      </c>
      <c r="U1100" s="1" t="str">
        <f t="shared" si="737"/>
        <v>True</v>
      </c>
      <c r="V1100" s="1" t="str">
        <f>"U0033302"</f>
        <v>U0033302</v>
      </c>
      <c r="W1100" s="1">
        <v>1</v>
      </c>
      <c r="Y1100" s="1">
        <v>0</v>
      </c>
      <c r="Z1100" s="1">
        <v>0</v>
      </c>
      <c r="AB1100" s="1" t="str">
        <f t="shared" si="720"/>
        <v>SMU</v>
      </c>
      <c r="AI1100" s="1" t="str">
        <f t="shared" si="727"/>
        <v>F10</v>
      </c>
      <c r="AJ1100" s="1" t="str">
        <f t="shared" si="714"/>
        <v>WOMAN</v>
      </c>
      <c r="AK1100" s="1" t="str">
        <f t="shared" si="738"/>
        <v>PA</v>
      </c>
      <c r="AP1100" s="1" t="str">
        <f t="shared" si="739"/>
        <v>False</v>
      </c>
      <c r="AR1100" s="1" t="str">
        <f t="shared" si="728"/>
        <v>NOBIW</v>
      </c>
      <c r="AY1100" s="1" t="str">
        <f t="shared" si="740"/>
        <v>PF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 t="str">
        <f t="shared" si="743"/>
        <v>UBBER FLAT MOL.NYLON+MICRO</v>
      </c>
      <c r="BF1100" s="1" t="str">
        <f t="shared" si="741"/>
        <v>Bonis SpA</v>
      </c>
    </row>
    <row r="1101" spans="2:58" x14ac:dyDescent="0.25">
      <c r="B1101" s="1">
        <v>2491</v>
      </c>
      <c r="C1101" s="1" t="str">
        <f t="shared" si="742"/>
        <v>NOBIW4197S6/NH1A</v>
      </c>
      <c r="E1101" s="1" t="str">
        <f>"39"</f>
        <v>39</v>
      </c>
      <c r="F1101" s="1" t="str">
        <f t="shared" si="730"/>
        <v>BONIS SPA</v>
      </c>
      <c r="G1101" s="1" t="str">
        <f t="shared" si="716"/>
        <v>STOCK SCAFFALE MP</v>
      </c>
      <c r="H1101" s="1" t="str">
        <f>"LIBL"</f>
        <v>LIBL</v>
      </c>
      <c r="K1101" s="1">
        <v>12</v>
      </c>
      <c r="L1101" s="1" t="str">
        <f t="shared" si="731"/>
        <v>01</v>
      </c>
      <c r="M1101" s="1" t="str">
        <f t="shared" si="717"/>
        <v>408</v>
      </c>
      <c r="N1101" s="1" t="str">
        <f t="shared" si="726"/>
        <v>012</v>
      </c>
      <c r="O1101" s="1" t="str">
        <f t="shared" si="732"/>
        <v>00</v>
      </c>
      <c r="P1101" s="1" t="str">
        <f t="shared" si="733"/>
        <v>S</v>
      </c>
      <c r="Q1101" s="1" t="str">
        <f t="shared" si="734"/>
        <v>P</v>
      </c>
      <c r="R1101" s="1" t="str">
        <f t="shared" si="735"/>
        <v>01</v>
      </c>
      <c r="S1101" s="1" t="str">
        <f t="shared" si="718"/>
        <v>04</v>
      </c>
      <c r="T1101" s="1" t="str">
        <f t="shared" si="736"/>
        <v>False</v>
      </c>
      <c r="U1101" s="1" t="str">
        <f t="shared" si="737"/>
        <v>True</v>
      </c>
      <c r="V1101" s="1" t="str">
        <f>"U0033298"</f>
        <v>U0033298</v>
      </c>
      <c r="W1101" s="1">
        <v>1</v>
      </c>
      <c r="Y1101" s="1">
        <v>0</v>
      </c>
      <c r="Z1101" s="1">
        <v>0</v>
      </c>
      <c r="AB1101" s="1" t="str">
        <f t="shared" si="720"/>
        <v>SMU</v>
      </c>
      <c r="AI1101" s="1" t="str">
        <f t="shared" si="727"/>
        <v>F10</v>
      </c>
      <c r="AJ1101" s="1" t="str">
        <f t="shared" si="714"/>
        <v>WOMAN</v>
      </c>
      <c r="AK1101" s="1" t="str">
        <f t="shared" si="738"/>
        <v>PA</v>
      </c>
      <c r="AP1101" s="1" t="str">
        <f t="shared" si="739"/>
        <v>False</v>
      </c>
      <c r="AR1101" s="1" t="str">
        <f t="shared" si="728"/>
        <v>NOBIW</v>
      </c>
      <c r="AY1101" s="1" t="str">
        <f t="shared" si="740"/>
        <v>PF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 t="str">
        <f t="shared" si="743"/>
        <v>UBBER FLAT MOL.NYLON+MICRO</v>
      </c>
      <c r="BF1101" s="1" t="str">
        <f t="shared" si="741"/>
        <v>Bonis SpA</v>
      </c>
    </row>
    <row r="1102" spans="2:58" x14ac:dyDescent="0.25">
      <c r="B1102" s="1">
        <v>2491</v>
      </c>
      <c r="C1102" s="1" t="str">
        <f>"NOBIW4243S7/CH2"</f>
        <v>NOBIW4243S7/CH2</v>
      </c>
      <c r="E1102" s="1" t="str">
        <f>"37"</f>
        <v>37</v>
      </c>
      <c r="F1102" s="1" t="str">
        <f t="shared" si="730"/>
        <v>BONIS SPA</v>
      </c>
      <c r="G1102" s="1" t="str">
        <f t="shared" si="716"/>
        <v>STOCK SCAFFALE MP</v>
      </c>
      <c r="H1102" s="1" t="str">
        <f>"FUX"</f>
        <v>FUX</v>
      </c>
      <c r="K1102" s="1">
        <v>3</v>
      </c>
      <c r="L1102" s="1" t="str">
        <f t="shared" si="731"/>
        <v>01</v>
      </c>
      <c r="M1102" s="1" t="str">
        <f t="shared" si="717"/>
        <v>408</v>
      </c>
      <c r="N1102" s="1" t="str">
        <f t="shared" si="726"/>
        <v>012</v>
      </c>
      <c r="O1102" s="1" t="str">
        <f t="shared" si="732"/>
        <v>00</v>
      </c>
      <c r="P1102" s="1" t="str">
        <f t="shared" si="733"/>
        <v>S</v>
      </c>
      <c r="Q1102" s="1" t="str">
        <f t="shared" si="734"/>
        <v>P</v>
      </c>
      <c r="R1102" s="1" t="str">
        <f t="shared" si="735"/>
        <v>01</v>
      </c>
      <c r="S1102" s="1" t="str">
        <f t="shared" si="718"/>
        <v>04</v>
      </c>
      <c r="T1102" s="1" t="str">
        <f t="shared" si="736"/>
        <v>False</v>
      </c>
      <c r="U1102" s="1" t="str">
        <f t="shared" si="737"/>
        <v>True</v>
      </c>
      <c r="V1102" s="1" t="str">
        <f>"U0033289"</f>
        <v>U0033289</v>
      </c>
      <c r="W1102" s="1">
        <v>1</v>
      </c>
      <c r="Y1102" s="1">
        <v>0</v>
      </c>
      <c r="Z1102" s="1">
        <v>0</v>
      </c>
      <c r="AB1102" s="1" t="str">
        <f t="shared" si="720"/>
        <v>SMU</v>
      </c>
      <c r="AI1102" s="1" t="str">
        <f t="shared" si="727"/>
        <v>F10</v>
      </c>
      <c r="AJ1102" s="1" t="str">
        <f t="shared" si="714"/>
        <v>WOMAN</v>
      </c>
      <c r="AK1102" s="1" t="str">
        <f t="shared" si="738"/>
        <v>PA</v>
      </c>
      <c r="AP1102" s="1" t="str">
        <f t="shared" si="739"/>
        <v>False</v>
      </c>
      <c r="AR1102" s="1" t="str">
        <f t="shared" si="728"/>
        <v>NOBIW</v>
      </c>
      <c r="AY1102" s="1" t="str">
        <f t="shared" si="740"/>
        <v>PF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 t="str">
        <f>"UBBER FLAT MOL.CANVAS+MICROSUE"</f>
        <v>UBBER FLAT MOL.CANVAS+MICROSUE</v>
      </c>
      <c r="BF1102" s="1" t="str">
        <f t="shared" si="741"/>
        <v>Bonis SpA</v>
      </c>
    </row>
    <row r="1103" spans="2:58" x14ac:dyDescent="0.25">
      <c r="B1103" s="1">
        <v>2491</v>
      </c>
      <c r="C1103" s="1" t="str">
        <f t="shared" ref="C1103:C1111" si="744">"NOBIW4197S6/NH1A"</f>
        <v>NOBIW4197S6/NH1A</v>
      </c>
      <c r="E1103" s="1" t="str">
        <f>"39"</f>
        <v>39</v>
      </c>
      <c r="F1103" s="1" t="str">
        <f t="shared" si="730"/>
        <v>BONIS SPA</v>
      </c>
      <c r="G1103" s="1" t="str">
        <f t="shared" si="716"/>
        <v>STOCK SCAFFALE MP</v>
      </c>
      <c r="H1103" s="1" t="str">
        <f>"LIBL"</f>
        <v>LIBL</v>
      </c>
      <c r="K1103" s="1">
        <v>1</v>
      </c>
      <c r="L1103" s="1" t="str">
        <f t="shared" si="731"/>
        <v>01</v>
      </c>
      <c r="M1103" s="1" t="str">
        <f t="shared" si="717"/>
        <v>408</v>
      </c>
      <c r="N1103" s="1" t="str">
        <f t="shared" si="726"/>
        <v>012</v>
      </c>
      <c r="O1103" s="1" t="str">
        <f t="shared" si="732"/>
        <v>00</v>
      </c>
      <c r="P1103" s="1" t="str">
        <f t="shared" si="733"/>
        <v>S</v>
      </c>
      <c r="Q1103" s="1" t="str">
        <f t="shared" si="734"/>
        <v>P</v>
      </c>
      <c r="R1103" s="1" t="str">
        <f t="shared" si="735"/>
        <v>01</v>
      </c>
      <c r="S1103" s="1" t="str">
        <f t="shared" si="718"/>
        <v>04</v>
      </c>
      <c r="T1103" s="1" t="str">
        <f t="shared" si="736"/>
        <v>False</v>
      </c>
      <c r="U1103" s="1" t="str">
        <f t="shared" si="737"/>
        <v>True</v>
      </c>
      <c r="V1103" s="1" t="str">
        <f>"U0033289"</f>
        <v>U0033289</v>
      </c>
      <c r="W1103" s="1">
        <v>1</v>
      </c>
      <c r="Y1103" s="1">
        <v>0</v>
      </c>
      <c r="Z1103" s="1">
        <v>0</v>
      </c>
      <c r="AB1103" s="1" t="str">
        <f t="shared" si="720"/>
        <v>SMU</v>
      </c>
      <c r="AI1103" s="1" t="str">
        <f t="shared" si="727"/>
        <v>F10</v>
      </c>
      <c r="AJ1103" s="1" t="str">
        <f t="shared" ref="AJ1103:AJ1111" si="745">"WOMAN"</f>
        <v>WOMAN</v>
      </c>
      <c r="AK1103" s="1" t="str">
        <f t="shared" si="738"/>
        <v>PA</v>
      </c>
      <c r="AP1103" s="1" t="str">
        <f t="shared" si="739"/>
        <v>False</v>
      </c>
      <c r="AR1103" s="1" t="str">
        <f t="shared" si="728"/>
        <v>NOBIW</v>
      </c>
      <c r="AY1103" s="1" t="str">
        <f t="shared" si="740"/>
        <v>PF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 t="str">
        <f t="shared" ref="BE1103:BE1111" si="746">"UBBER FLAT MOL.NYLON+MICRO"</f>
        <v>UBBER FLAT MOL.NYLON+MICRO</v>
      </c>
      <c r="BF1103" s="1" t="str">
        <f t="shared" si="741"/>
        <v>Bonis SpA</v>
      </c>
    </row>
    <row r="1104" spans="2:58" x14ac:dyDescent="0.25">
      <c r="B1104" s="1">
        <v>2491</v>
      </c>
      <c r="C1104" s="1" t="str">
        <f t="shared" si="744"/>
        <v>NOBIW4197S6/NH1A</v>
      </c>
      <c r="E1104" s="1" t="str">
        <f>"40"</f>
        <v>40</v>
      </c>
      <c r="F1104" s="1" t="str">
        <f t="shared" si="730"/>
        <v>BONIS SPA</v>
      </c>
      <c r="G1104" s="1" t="str">
        <f t="shared" si="716"/>
        <v>STOCK SCAFFALE MP</v>
      </c>
      <c r="H1104" s="1" t="str">
        <f t="shared" ref="H1104:H1111" si="747">"RED"</f>
        <v>RED</v>
      </c>
      <c r="K1104" s="1">
        <v>1</v>
      </c>
      <c r="L1104" s="1" t="str">
        <f t="shared" si="731"/>
        <v>01</v>
      </c>
      <c r="M1104" s="1" t="str">
        <f t="shared" si="717"/>
        <v>408</v>
      </c>
      <c r="N1104" s="1" t="str">
        <f t="shared" si="726"/>
        <v>012</v>
      </c>
      <c r="O1104" s="1" t="str">
        <f t="shared" si="732"/>
        <v>00</v>
      </c>
      <c r="P1104" s="1" t="str">
        <f t="shared" si="733"/>
        <v>S</v>
      </c>
      <c r="Q1104" s="1" t="str">
        <f t="shared" si="734"/>
        <v>P</v>
      </c>
      <c r="R1104" s="1" t="str">
        <f t="shared" si="735"/>
        <v>01</v>
      </c>
      <c r="S1104" s="1" t="str">
        <f t="shared" si="718"/>
        <v>04</v>
      </c>
      <c r="T1104" s="1" t="str">
        <f t="shared" si="736"/>
        <v>False</v>
      </c>
      <c r="U1104" s="1" t="str">
        <f t="shared" si="737"/>
        <v>True</v>
      </c>
      <c r="V1104" s="1" t="str">
        <f>"U0033294"</f>
        <v>U0033294</v>
      </c>
      <c r="W1104" s="1">
        <v>1</v>
      </c>
      <c r="Y1104" s="1">
        <v>0</v>
      </c>
      <c r="Z1104" s="1">
        <v>0</v>
      </c>
      <c r="AB1104" s="1" t="str">
        <f t="shared" si="720"/>
        <v>SMU</v>
      </c>
      <c r="AI1104" s="1" t="str">
        <f t="shared" si="727"/>
        <v>F10</v>
      </c>
      <c r="AJ1104" s="1" t="str">
        <f t="shared" si="745"/>
        <v>WOMAN</v>
      </c>
      <c r="AK1104" s="1" t="str">
        <f t="shared" si="738"/>
        <v>PA</v>
      </c>
      <c r="AP1104" s="1" t="str">
        <f t="shared" si="739"/>
        <v>False</v>
      </c>
      <c r="AR1104" s="1" t="str">
        <f t="shared" si="728"/>
        <v>NOBIW</v>
      </c>
      <c r="AY1104" s="1" t="str">
        <f t="shared" si="740"/>
        <v>PF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 t="str">
        <f t="shared" si="746"/>
        <v>UBBER FLAT MOL.NYLON+MICRO</v>
      </c>
      <c r="BF1104" s="1" t="str">
        <f t="shared" si="741"/>
        <v>Bonis SpA</v>
      </c>
    </row>
    <row r="1105" spans="2:58" x14ac:dyDescent="0.25">
      <c r="B1105" s="1">
        <v>2491</v>
      </c>
      <c r="C1105" s="1" t="str">
        <f t="shared" si="744"/>
        <v>NOBIW4197S6/NH1A</v>
      </c>
      <c r="E1105" s="1" t="str">
        <f>"40"</f>
        <v>40</v>
      </c>
      <c r="F1105" s="1" t="str">
        <f t="shared" si="730"/>
        <v>BONIS SPA</v>
      </c>
      <c r="G1105" s="1" t="str">
        <f t="shared" si="716"/>
        <v>STOCK SCAFFALE MP</v>
      </c>
      <c r="H1105" s="1" t="str">
        <f t="shared" si="747"/>
        <v>RED</v>
      </c>
      <c r="K1105" s="1">
        <v>4</v>
      </c>
      <c r="L1105" s="1" t="str">
        <f t="shared" si="731"/>
        <v>01</v>
      </c>
      <c r="M1105" s="1" t="str">
        <f t="shared" si="717"/>
        <v>408</v>
      </c>
      <c r="N1105" s="1" t="str">
        <f t="shared" si="726"/>
        <v>012</v>
      </c>
      <c r="O1105" s="1" t="str">
        <f t="shared" si="732"/>
        <v>00</v>
      </c>
      <c r="P1105" s="1" t="str">
        <f t="shared" si="733"/>
        <v>S</v>
      </c>
      <c r="Q1105" s="1" t="str">
        <f t="shared" si="734"/>
        <v>P</v>
      </c>
      <c r="R1105" s="1" t="str">
        <f t="shared" si="735"/>
        <v>01</v>
      </c>
      <c r="S1105" s="1" t="str">
        <f t="shared" si="718"/>
        <v>04</v>
      </c>
      <c r="T1105" s="1" t="str">
        <f t="shared" si="736"/>
        <v>False</v>
      </c>
      <c r="U1105" s="1" t="str">
        <f t="shared" si="737"/>
        <v>True</v>
      </c>
      <c r="V1105" s="1" t="str">
        <f>"U0033295"</f>
        <v>U0033295</v>
      </c>
      <c r="W1105" s="1">
        <v>1</v>
      </c>
      <c r="Y1105" s="1">
        <v>0</v>
      </c>
      <c r="Z1105" s="1">
        <v>0</v>
      </c>
      <c r="AB1105" s="1" t="str">
        <f t="shared" si="720"/>
        <v>SMU</v>
      </c>
      <c r="AI1105" s="1" t="str">
        <f t="shared" si="727"/>
        <v>F10</v>
      </c>
      <c r="AJ1105" s="1" t="str">
        <f t="shared" si="745"/>
        <v>WOMAN</v>
      </c>
      <c r="AK1105" s="1" t="str">
        <f t="shared" si="738"/>
        <v>PA</v>
      </c>
      <c r="AP1105" s="1" t="str">
        <f t="shared" si="739"/>
        <v>False</v>
      </c>
      <c r="AR1105" s="1" t="str">
        <f t="shared" si="728"/>
        <v>NOBIW</v>
      </c>
      <c r="AY1105" s="1" t="str">
        <f t="shared" si="740"/>
        <v>PF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 t="str">
        <f t="shared" si="746"/>
        <v>UBBER FLAT MOL.NYLON+MICRO</v>
      </c>
      <c r="BF1105" s="1" t="str">
        <f t="shared" si="741"/>
        <v>Bonis SpA</v>
      </c>
    </row>
    <row r="1106" spans="2:58" x14ac:dyDescent="0.25">
      <c r="B1106" s="1">
        <v>2491</v>
      </c>
      <c r="C1106" s="1" t="str">
        <f t="shared" si="744"/>
        <v>NOBIW4197S6/NH1A</v>
      </c>
      <c r="E1106" s="1" t="str">
        <f>"38"</f>
        <v>38</v>
      </c>
      <c r="F1106" s="1" t="str">
        <f t="shared" si="730"/>
        <v>BONIS SPA</v>
      </c>
      <c r="G1106" s="1" t="str">
        <f t="shared" si="716"/>
        <v>STOCK SCAFFALE MP</v>
      </c>
      <c r="H1106" s="1" t="str">
        <f t="shared" si="747"/>
        <v>RED</v>
      </c>
      <c r="K1106" s="1">
        <v>3</v>
      </c>
      <c r="L1106" s="1" t="str">
        <f t="shared" si="731"/>
        <v>01</v>
      </c>
      <c r="M1106" s="1" t="str">
        <f t="shared" si="717"/>
        <v>408</v>
      </c>
      <c r="N1106" s="1" t="str">
        <f t="shared" si="726"/>
        <v>012</v>
      </c>
      <c r="O1106" s="1" t="str">
        <f t="shared" si="732"/>
        <v>00</v>
      </c>
      <c r="P1106" s="1" t="str">
        <f t="shared" si="733"/>
        <v>S</v>
      </c>
      <c r="Q1106" s="1" t="str">
        <f t="shared" si="734"/>
        <v>P</v>
      </c>
      <c r="R1106" s="1" t="str">
        <f t="shared" si="735"/>
        <v>01</v>
      </c>
      <c r="S1106" s="1" t="str">
        <f t="shared" si="718"/>
        <v>04</v>
      </c>
      <c r="T1106" s="1" t="str">
        <f t="shared" si="736"/>
        <v>False</v>
      </c>
      <c r="U1106" s="1" t="str">
        <f t="shared" si="737"/>
        <v>True</v>
      </c>
      <c r="V1106" s="1" t="str">
        <f>"U0033295"</f>
        <v>U0033295</v>
      </c>
      <c r="W1106" s="1">
        <v>1</v>
      </c>
      <c r="Y1106" s="1">
        <v>0</v>
      </c>
      <c r="Z1106" s="1">
        <v>0</v>
      </c>
      <c r="AB1106" s="1" t="str">
        <f t="shared" si="720"/>
        <v>SMU</v>
      </c>
      <c r="AI1106" s="1" t="str">
        <f t="shared" si="727"/>
        <v>F10</v>
      </c>
      <c r="AJ1106" s="1" t="str">
        <f t="shared" si="745"/>
        <v>WOMAN</v>
      </c>
      <c r="AK1106" s="1" t="str">
        <f t="shared" si="738"/>
        <v>PA</v>
      </c>
      <c r="AP1106" s="1" t="str">
        <f t="shared" si="739"/>
        <v>False</v>
      </c>
      <c r="AR1106" s="1" t="str">
        <f t="shared" si="728"/>
        <v>NOBIW</v>
      </c>
      <c r="AY1106" s="1" t="str">
        <f t="shared" si="740"/>
        <v>PF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 t="str">
        <f t="shared" si="746"/>
        <v>UBBER FLAT MOL.NYLON+MICRO</v>
      </c>
      <c r="BF1106" s="1" t="str">
        <f t="shared" si="741"/>
        <v>Bonis SpA</v>
      </c>
    </row>
    <row r="1107" spans="2:58" x14ac:dyDescent="0.25">
      <c r="B1107" s="1">
        <v>2491</v>
      </c>
      <c r="C1107" s="1" t="str">
        <f t="shared" si="744"/>
        <v>NOBIW4197S6/NH1A</v>
      </c>
      <c r="E1107" s="1" t="str">
        <f>"39"</f>
        <v>39</v>
      </c>
      <c r="F1107" s="1" t="str">
        <f t="shared" si="730"/>
        <v>BONIS SPA</v>
      </c>
      <c r="G1107" s="1" t="str">
        <f t="shared" si="716"/>
        <v>STOCK SCAFFALE MP</v>
      </c>
      <c r="H1107" s="1" t="str">
        <f t="shared" si="747"/>
        <v>RED</v>
      </c>
      <c r="K1107" s="1">
        <v>3</v>
      </c>
      <c r="L1107" s="1" t="str">
        <f t="shared" si="731"/>
        <v>01</v>
      </c>
      <c r="M1107" s="1" t="str">
        <f t="shared" si="717"/>
        <v>408</v>
      </c>
      <c r="N1107" s="1" t="str">
        <f t="shared" si="726"/>
        <v>012</v>
      </c>
      <c r="O1107" s="1" t="str">
        <f t="shared" si="732"/>
        <v>00</v>
      </c>
      <c r="P1107" s="1" t="str">
        <f t="shared" si="733"/>
        <v>S</v>
      </c>
      <c r="Q1107" s="1" t="str">
        <f t="shared" si="734"/>
        <v>P</v>
      </c>
      <c r="R1107" s="1" t="str">
        <f t="shared" si="735"/>
        <v>01</v>
      </c>
      <c r="S1107" s="1" t="str">
        <f t="shared" si="718"/>
        <v>04</v>
      </c>
      <c r="T1107" s="1" t="str">
        <f t="shared" si="736"/>
        <v>False</v>
      </c>
      <c r="U1107" s="1" t="str">
        <f t="shared" si="737"/>
        <v>True</v>
      </c>
      <c r="V1107" s="1" t="str">
        <f>"U0033295"</f>
        <v>U0033295</v>
      </c>
      <c r="W1107" s="1">
        <v>1</v>
      </c>
      <c r="Y1107" s="1">
        <v>0</v>
      </c>
      <c r="Z1107" s="1">
        <v>0</v>
      </c>
      <c r="AB1107" s="1" t="str">
        <f t="shared" si="720"/>
        <v>SMU</v>
      </c>
      <c r="AI1107" s="1" t="str">
        <f t="shared" si="727"/>
        <v>F10</v>
      </c>
      <c r="AJ1107" s="1" t="str">
        <f t="shared" si="745"/>
        <v>WOMAN</v>
      </c>
      <c r="AK1107" s="1" t="str">
        <f t="shared" si="738"/>
        <v>PA</v>
      </c>
      <c r="AP1107" s="1" t="str">
        <f t="shared" si="739"/>
        <v>False</v>
      </c>
      <c r="AR1107" s="1" t="str">
        <f t="shared" si="728"/>
        <v>NOBIW</v>
      </c>
      <c r="AY1107" s="1" t="str">
        <f t="shared" si="740"/>
        <v>PF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 t="str">
        <f t="shared" si="746"/>
        <v>UBBER FLAT MOL.NYLON+MICRO</v>
      </c>
      <c r="BF1107" s="1" t="str">
        <f t="shared" si="741"/>
        <v>Bonis SpA</v>
      </c>
    </row>
    <row r="1108" spans="2:58" x14ac:dyDescent="0.25">
      <c r="B1108" s="1">
        <v>2491</v>
      </c>
      <c r="C1108" s="1" t="str">
        <f t="shared" si="744"/>
        <v>NOBIW4197S6/NH1A</v>
      </c>
      <c r="E1108" s="1" t="str">
        <f>"40"</f>
        <v>40</v>
      </c>
      <c r="F1108" s="1" t="str">
        <f t="shared" si="730"/>
        <v>BONIS SPA</v>
      </c>
      <c r="G1108" s="1" t="str">
        <f t="shared" si="716"/>
        <v>STOCK SCAFFALE MP</v>
      </c>
      <c r="H1108" s="1" t="str">
        <f t="shared" si="747"/>
        <v>RED</v>
      </c>
      <c r="K1108" s="1">
        <v>2</v>
      </c>
      <c r="L1108" s="1" t="str">
        <f t="shared" si="731"/>
        <v>01</v>
      </c>
      <c r="M1108" s="1" t="str">
        <f t="shared" si="717"/>
        <v>408</v>
      </c>
      <c r="N1108" s="1" t="str">
        <f t="shared" si="726"/>
        <v>012</v>
      </c>
      <c r="O1108" s="1" t="str">
        <f t="shared" si="732"/>
        <v>00</v>
      </c>
      <c r="P1108" s="1" t="str">
        <f t="shared" si="733"/>
        <v>S</v>
      </c>
      <c r="Q1108" s="1" t="str">
        <f t="shared" si="734"/>
        <v>P</v>
      </c>
      <c r="R1108" s="1" t="str">
        <f t="shared" si="735"/>
        <v>01</v>
      </c>
      <c r="S1108" s="1" t="str">
        <f t="shared" si="718"/>
        <v>04</v>
      </c>
      <c r="T1108" s="1" t="str">
        <f t="shared" si="736"/>
        <v>False</v>
      </c>
      <c r="U1108" s="1" t="str">
        <f t="shared" si="737"/>
        <v>True</v>
      </c>
      <c r="V1108" s="1" t="str">
        <f>"U0033304"</f>
        <v>U0033304</v>
      </c>
      <c r="W1108" s="1">
        <v>1</v>
      </c>
      <c r="Y1108" s="1">
        <v>0</v>
      </c>
      <c r="Z1108" s="1">
        <v>0</v>
      </c>
      <c r="AB1108" s="1" t="str">
        <f t="shared" si="720"/>
        <v>SMU</v>
      </c>
      <c r="AI1108" s="1" t="str">
        <f t="shared" si="727"/>
        <v>F10</v>
      </c>
      <c r="AJ1108" s="1" t="str">
        <f t="shared" si="745"/>
        <v>WOMAN</v>
      </c>
      <c r="AK1108" s="1" t="str">
        <f t="shared" si="738"/>
        <v>PA</v>
      </c>
      <c r="AP1108" s="1" t="str">
        <f t="shared" si="739"/>
        <v>False</v>
      </c>
      <c r="AR1108" s="1" t="str">
        <f t="shared" si="728"/>
        <v>NOBIW</v>
      </c>
      <c r="AY1108" s="1" t="str">
        <f t="shared" si="740"/>
        <v>PF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 t="str">
        <f t="shared" si="746"/>
        <v>UBBER FLAT MOL.NYLON+MICRO</v>
      </c>
      <c r="BF1108" s="1" t="str">
        <f t="shared" si="741"/>
        <v>Bonis SpA</v>
      </c>
    </row>
    <row r="1109" spans="2:58" x14ac:dyDescent="0.25">
      <c r="B1109" s="1">
        <v>2491</v>
      </c>
      <c r="C1109" s="1" t="str">
        <f t="shared" si="744"/>
        <v>NOBIW4197S6/NH1A</v>
      </c>
      <c r="E1109" s="1" t="str">
        <f>"37"</f>
        <v>37</v>
      </c>
      <c r="F1109" s="1" t="str">
        <f t="shared" si="730"/>
        <v>BONIS SPA</v>
      </c>
      <c r="G1109" s="1" t="str">
        <f t="shared" si="716"/>
        <v>STOCK SCAFFALE MP</v>
      </c>
      <c r="H1109" s="1" t="str">
        <f t="shared" si="747"/>
        <v>RED</v>
      </c>
      <c r="K1109" s="1">
        <v>3</v>
      </c>
      <c r="L1109" s="1" t="str">
        <f t="shared" si="731"/>
        <v>01</v>
      </c>
      <c r="M1109" s="1" t="str">
        <f t="shared" si="717"/>
        <v>408</v>
      </c>
      <c r="N1109" s="1" t="str">
        <f t="shared" si="726"/>
        <v>012</v>
      </c>
      <c r="O1109" s="1" t="str">
        <f t="shared" si="732"/>
        <v>00</v>
      </c>
      <c r="P1109" s="1" t="str">
        <f t="shared" si="733"/>
        <v>S</v>
      </c>
      <c r="Q1109" s="1" t="str">
        <f t="shared" si="734"/>
        <v>P</v>
      </c>
      <c r="R1109" s="1" t="str">
        <f t="shared" si="735"/>
        <v>01</v>
      </c>
      <c r="S1109" s="1" t="str">
        <f t="shared" si="718"/>
        <v>04</v>
      </c>
      <c r="T1109" s="1" t="str">
        <f t="shared" si="736"/>
        <v>False</v>
      </c>
      <c r="U1109" s="1" t="str">
        <f t="shared" si="737"/>
        <v>True</v>
      </c>
      <c r="V1109" s="1" t="str">
        <f>"U0033294"</f>
        <v>U0033294</v>
      </c>
      <c r="W1109" s="1">
        <v>1</v>
      </c>
      <c r="Y1109" s="1">
        <v>0</v>
      </c>
      <c r="Z1109" s="1">
        <v>0</v>
      </c>
      <c r="AB1109" s="1" t="str">
        <f t="shared" si="720"/>
        <v>SMU</v>
      </c>
      <c r="AI1109" s="1" t="str">
        <f t="shared" si="727"/>
        <v>F10</v>
      </c>
      <c r="AJ1109" s="1" t="str">
        <f t="shared" si="745"/>
        <v>WOMAN</v>
      </c>
      <c r="AK1109" s="1" t="str">
        <f t="shared" si="738"/>
        <v>PA</v>
      </c>
      <c r="AP1109" s="1" t="str">
        <f t="shared" si="739"/>
        <v>False</v>
      </c>
      <c r="AR1109" s="1" t="str">
        <f t="shared" si="728"/>
        <v>NOBIW</v>
      </c>
      <c r="AY1109" s="1" t="str">
        <f t="shared" si="740"/>
        <v>PF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 t="str">
        <f t="shared" si="746"/>
        <v>UBBER FLAT MOL.NYLON+MICRO</v>
      </c>
      <c r="BF1109" s="1" t="str">
        <f t="shared" si="741"/>
        <v>Bonis SpA</v>
      </c>
    </row>
    <row r="1110" spans="2:58" x14ac:dyDescent="0.25">
      <c r="B1110" s="1">
        <v>2491</v>
      </c>
      <c r="C1110" s="1" t="str">
        <f t="shared" si="744"/>
        <v>NOBIW4197S6/NH1A</v>
      </c>
      <c r="E1110" s="1" t="str">
        <f>"38"</f>
        <v>38</v>
      </c>
      <c r="F1110" s="1" t="str">
        <f t="shared" si="730"/>
        <v>BONIS SPA</v>
      </c>
      <c r="G1110" s="1" t="str">
        <f t="shared" si="716"/>
        <v>STOCK SCAFFALE MP</v>
      </c>
      <c r="H1110" s="1" t="str">
        <f t="shared" si="747"/>
        <v>RED</v>
      </c>
      <c r="K1110" s="1">
        <v>1</v>
      </c>
      <c r="L1110" s="1" t="str">
        <f t="shared" si="731"/>
        <v>01</v>
      </c>
      <c r="M1110" s="1" t="str">
        <f t="shared" si="717"/>
        <v>408</v>
      </c>
      <c r="N1110" s="1" t="str">
        <f t="shared" si="726"/>
        <v>012</v>
      </c>
      <c r="O1110" s="1" t="str">
        <f t="shared" si="732"/>
        <v>00</v>
      </c>
      <c r="P1110" s="1" t="str">
        <f t="shared" si="733"/>
        <v>S</v>
      </c>
      <c r="Q1110" s="1" t="str">
        <f t="shared" si="734"/>
        <v>P</v>
      </c>
      <c r="R1110" s="1" t="str">
        <f t="shared" si="735"/>
        <v>01</v>
      </c>
      <c r="S1110" s="1" t="str">
        <f t="shared" si="718"/>
        <v>04</v>
      </c>
      <c r="T1110" s="1" t="str">
        <f t="shared" si="736"/>
        <v>False</v>
      </c>
      <c r="U1110" s="1" t="str">
        <f t="shared" si="737"/>
        <v>True</v>
      </c>
      <c r="V1110" s="1" t="str">
        <f>"U0033294"</f>
        <v>U0033294</v>
      </c>
      <c r="W1110" s="1">
        <v>1</v>
      </c>
      <c r="Y1110" s="1">
        <v>0</v>
      </c>
      <c r="Z1110" s="1">
        <v>0</v>
      </c>
      <c r="AB1110" s="1" t="str">
        <f t="shared" si="720"/>
        <v>SMU</v>
      </c>
      <c r="AI1110" s="1" t="str">
        <f t="shared" si="727"/>
        <v>F10</v>
      </c>
      <c r="AJ1110" s="1" t="str">
        <f t="shared" si="745"/>
        <v>WOMAN</v>
      </c>
      <c r="AK1110" s="1" t="str">
        <f t="shared" si="738"/>
        <v>PA</v>
      </c>
      <c r="AP1110" s="1" t="str">
        <f t="shared" si="739"/>
        <v>False</v>
      </c>
      <c r="AR1110" s="1" t="str">
        <f t="shared" si="728"/>
        <v>NOBIW</v>
      </c>
      <c r="AY1110" s="1" t="str">
        <f t="shared" si="740"/>
        <v>PF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 t="str">
        <f t="shared" si="746"/>
        <v>UBBER FLAT MOL.NYLON+MICRO</v>
      </c>
      <c r="BF1110" s="1" t="str">
        <f t="shared" si="741"/>
        <v>Bonis SpA</v>
      </c>
    </row>
    <row r="1111" spans="2:58" x14ac:dyDescent="0.25">
      <c r="B1111" s="1">
        <v>2491</v>
      </c>
      <c r="C1111" s="1" t="str">
        <f t="shared" si="744"/>
        <v>NOBIW4197S6/NH1A</v>
      </c>
      <c r="E1111" s="1" t="str">
        <f>"39"</f>
        <v>39</v>
      </c>
      <c r="F1111" s="1" t="str">
        <f t="shared" si="730"/>
        <v>BONIS SPA</v>
      </c>
      <c r="G1111" s="1" t="str">
        <f t="shared" si="716"/>
        <v>STOCK SCAFFALE MP</v>
      </c>
      <c r="H1111" s="1" t="str">
        <f t="shared" si="747"/>
        <v>RED</v>
      </c>
      <c r="K1111" s="1">
        <v>3</v>
      </c>
      <c r="L1111" s="1" t="str">
        <f t="shared" si="731"/>
        <v>01</v>
      </c>
      <c r="M1111" s="1" t="str">
        <f t="shared" si="717"/>
        <v>408</v>
      </c>
      <c r="N1111" s="1" t="str">
        <f t="shared" si="726"/>
        <v>012</v>
      </c>
      <c r="O1111" s="1" t="str">
        <f t="shared" si="732"/>
        <v>00</v>
      </c>
      <c r="P1111" s="1" t="str">
        <f t="shared" si="733"/>
        <v>S</v>
      </c>
      <c r="Q1111" s="1" t="str">
        <f t="shared" si="734"/>
        <v>P</v>
      </c>
      <c r="R1111" s="1" t="str">
        <f t="shared" si="735"/>
        <v>01</v>
      </c>
      <c r="S1111" s="1" t="str">
        <f t="shared" si="718"/>
        <v>04</v>
      </c>
      <c r="T1111" s="1" t="str">
        <f t="shared" si="736"/>
        <v>False</v>
      </c>
      <c r="U1111" s="1" t="str">
        <f t="shared" si="737"/>
        <v>True</v>
      </c>
      <c r="V1111" s="1" t="str">
        <f>"U0033294"</f>
        <v>U0033294</v>
      </c>
      <c r="W1111" s="1">
        <v>1</v>
      </c>
      <c r="Y1111" s="1">
        <v>0</v>
      </c>
      <c r="Z1111" s="1">
        <v>0</v>
      </c>
      <c r="AB1111" s="1" t="str">
        <f t="shared" si="720"/>
        <v>SMU</v>
      </c>
      <c r="AI1111" s="1" t="str">
        <f t="shared" si="727"/>
        <v>F10</v>
      </c>
      <c r="AJ1111" s="1" t="str">
        <f t="shared" si="745"/>
        <v>WOMAN</v>
      </c>
      <c r="AK1111" s="1" t="str">
        <f t="shared" si="738"/>
        <v>PA</v>
      </c>
      <c r="AP1111" s="1" t="str">
        <f t="shared" si="739"/>
        <v>False</v>
      </c>
      <c r="AR1111" s="1" t="str">
        <f t="shared" si="728"/>
        <v>NOBIW</v>
      </c>
      <c r="AY1111" s="1" t="str">
        <f t="shared" si="740"/>
        <v>PF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 t="str">
        <f t="shared" si="746"/>
        <v>UBBER FLAT MOL.NYLON+MICRO</v>
      </c>
      <c r="BF1111" s="1" t="str">
        <f t="shared" si="741"/>
        <v>Bonis SpA</v>
      </c>
    </row>
    <row r="1112" spans="2:58" x14ac:dyDescent="0.25">
      <c r="B1112" s="1">
        <v>2479</v>
      </c>
      <c r="C1112" s="1" t="str">
        <f t="shared" ref="C1112:C1119" si="748">"MARCS4137S7/C1A"</f>
        <v>MARCS4137S7/C1A</v>
      </c>
      <c r="E1112" s="1" t="str">
        <f>"42"</f>
        <v>42</v>
      </c>
      <c r="F1112" s="1" t="str">
        <f t="shared" si="730"/>
        <v>BONIS SPA</v>
      </c>
      <c r="G1112" s="1" t="str">
        <f t="shared" si="716"/>
        <v>STOCK SCAFFALE MP</v>
      </c>
      <c r="H1112" s="1" t="str">
        <f t="shared" ref="H1112:H1119" si="749">"BLK"</f>
        <v>BLK</v>
      </c>
      <c r="K1112" s="1">
        <v>6</v>
      </c>
      <c r="L1112" s="1" t="str">
        <f t="shared" si="731"/>
        <v>01</v>
      </c>
      <c r="M1112" s="1" t="str">
        <f t="shared" si="717"/>
        <v>408</v>
      </c>
      <c r="N1112" s="1" t="str">
        <f t="shared" ref="N1112:N1119" si="750">"008"</f>
        <v>008</v>
      </c>
      <c r="O1112" s="1" t="str">
        <f t="shared" si="732"/>
        <v>00</v>
      </c>
      <c r="P1112" s="1" t="str">
        <f t="shared" si="733"/>
        <v>S</v>
      </c>
      <c r="Q1112" s="1" t="str">
        <f t="shared" si="734"/>
        <v>P</v>
      </c>
      <c r="R1112" s="1" t="str">
        <f t="shared" si="735"/>
        <v>01</v>
      </c>
      <c r="S1112" s="1" t="str">
        <f t="shared" si="718"/>
        <v>04</v>
      </c>
      <c r="T1112" s="1" t="str">
        <f t="shared" si="736"/>
        <v>False</v>
      </c>
      <c r="U1112" s="1" t="str">
        <f t="shared" si="737"/>
        <v>True</v>
      </c>
      <c r="V1112" s="1" t="str">
        <f>"U0033292"</f>
        <v>U0033292</v>
      </c>
      <c r="W1112" s="1">
        <v>1</v>
      </c>
      <c r="Y1112" s="1">
        <v>0</v>
      </c>
      <c r="Z1112" s="1">
        <v>0</v>
      </c>
      <c r="AB1112" s="1" t="str">
        <f t="shared" si="720"/>
        <v>SMU</v>
      </c>
      <c r="AI1112" s="1" t="str">
        <f t="shared" ref="AI1112:AI1119" si="751">"106"</f>
        <v>106</v>
      </c>
      <c r="AJ1112" s="1" t="str">
        <f t="shared" ref="AJ1112:AJ1119" si="752">"MAN"</f>
        <v>MAN</v>
      </c>
      <c r="AK1112" s="1" t="str">
        <f t="shared" si="738"/>
        <v>PA</v>
      </c>
      <c r="AP1112" s="1" t="str">
        <f t="shared" si="739"/>
        <v>False</v>
      </c>
      <c r="AR1112" s="1" t="str">
        <f t="shared" ref="AR1112:AR1119" si="753">"MARCS"</f>
        <v>MARCS</v>
      </c>
      <c r="AY1112" s="1" t="str">
        <f t="shared" si="740"/>
        <v>PF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 t="str">
        <f t="shared" ref="BE1112:BE1119" si="754">"RCS GOMMA TWILL CANVAS+PU LEAT"</f>
        <v>RCS GOMMA TWILL CANVAS+PU LEAT</v>
      </c>
      <c r="BF1112" s="1" t="str">
        <f t="shared" si="741"/>
        <v>Bonis SpA</v>
      </c>
    </row>
    <row r="1113" spans="2:58" x14ac:dyDescent="0.25">
      <c r="B1113" s="1">
        <v>2479</v>
      </c>
      <c r="C1113" s="1" t="str">
        <f t="shared" si="748"/>
        <v>MARCS4137S7/C1A</v>
      </c>
      <c r="E1113" s="1" t="str">
        <f>"41"</f>
        <v>41</v>
      </c>
      <c r="F1113" s="1" t="str">
        <f t="shared" si="730"/>
        <v>BONIS SPA</v>
      </c>
      <c r="G1113" s="1" t="str">
        <f t="shared" si="716"/>
        <v>STOCK SCAFFALE MP</v>
      </c>
      <c r="H1113" s="1" t="str">
        <f t="shared" si="749"/>
        <v>BLK</v>
      </c>
      <c r="K1113" s="1">
        <v>3</v>
      </c>
      <c r="L1113" s="1" t="str">
        <f t="shared" si="731"/>
        <v>01</v>
      </c>
      <c r="M1113" s="1" t="str">
        <f t="shared" si="717"/>
        <v>408</v>
      </c>
      <c r="N1113" s="1" t="str">
        <f t="shared" si="750"/>
        <v>008</v>
      </c>
      <c r="O1113" s="1" t="str">
        <f t="shared" si="732"/>
        <v>00</v>
      </c>
      <c r="P1113" s="1" t="str">
        <f t="shared" si="733"/>
        <v>S</v>
      </c>
      <c r="Q1113" s="1" t="str">
        <f t="shared" si="734"/>
        <v>P</v>
      </c>
      <c r="R1113" s="1" t="str">
        <f t="shared" si="735"/>
        <v>01</v>
      </c>
      <c r="S1113" s="1" t="str">
        <f t="shared" si="718"/>
        <v>04</v>
      </c>
      <c r="T1113" s="1" t="str">
        <f t="shared" si="736"/>
        <v>False</v>
      </c>
      <c r="U1113" s="1" t="str">
        <f t="shared" si="737"/>
        <v>True</v>
      </c>
      <c r="V1113" s="1" t="str">
        <f>"U0033292"</f>
        <v>U0033292</v>
      </c>
      <c r="W1113" s="1">
        <v>1</v>
      </c>
      <c r="Y1113" s="1">
        <v>0</v>
      </c>
      <c r="Z1113" s="1">
        <v>0</v>
      </c>
      <c r="AB1113" s="1" t="str">
        <f t="shared" si="720"/>
        <v>SMU</v>
      </c>
      <c r="AI1113" s="1" t="str">
        <f t="shared" si="751"/>
        <v>106</v>
      </c>
      <c r="AJ1113" s="1" t="str">
        <f t="shared" si="752"/>
        <v>MAN</v>
      </c>
      <c r="AK1113" s="1" t="str">
        <f t="shared" si="738"/>
        <v>PA</v>
      </c>
      <c r="AP1113" s="1" t="str">
        <f t="shared" si="739"/>
        <v>False</v>
      </c>
      <c r="AR1113" s="1" t="str">
        <f t="shared" si="753"/>
        <v>MARCS</v>
      </c>
      <c r="AY1113" s="1" t="str">
        <f t="shared" si="740"/>
        <v>PF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 t="str">
        <f t="shared" si="754"/>
        <v>RCS GOMMA TWILL CANVAS+PU LEAT</v>
      </c>
      <c r="BF1113" s="1" t="str">
        <f t="shared" si="741"/>
        <v>Bonis SpA</v>
      </c>
    </row>
    <row r="1114" spans="2:58" x14ac:dyDescent="0.25">
      <c r="B1114" s="1">
        <v>2479</v>
      </c>
      <c r="C1114" s="1" t="str">
        <f t="shared" si="748"/>
        <v>MARCS4137S7/C1A</v>
      </c>
      <c r="E1114" s="1" t="str">
        <f>"44"</f>
        <v>44</v>
      </c>
      <c r="F1114" s="1" t="str">
        <f t="shared" si="730"/>
        <v>BONIS SPA</v>
      </c>
      <c r="G1114" s="1" t="str">
        <f t="shared" si="716"/>
        <v>STOCK SCAFFALE MP</v>
      </c>
      <c r="H1114" s="1" t="str">
        <f t="shared" si="749"/>
        <v>BLK</v>
      </c>
      <c r="K1114" s="1">
        <v>2</v>
      </c>
      <c r="L1114" s="1" t="str">
        <f t="shared" si="731"/>
        <v>01</v>
      </c>
      <c r="M1114" s="1" t="str">
        <f t="shared" si="717"/>
        <v>408</v>
      </c>
      <c r="N1114" s="1" t="str">
        <f t="shared" si="750"/>
        <v>008</v>
      </c>
      <c r="O1114" s="1" t="str">
        <f t="shared" si="732"/>
        <v>00</v>
      </c>
      <c r="P1114" s="1" t="str">
        <f t="shared" si="733"/>
        <v>S</v>
      </c>
      <c r="Q1114" s="1" t="str">
        <f t="shared" si="734"/>
        <v>P</v>
      </c>
      <c r="R1114" s="1" t="str">
        <f t="shared" si="735"/>
        <v>01</v>
      </c>
      <c r="S1114" s="1" t="str">
        <f t="shared" si="718"/>
        <v>04</v>
      </c>
      <c r="T1114" s="1" t="str">
        <f t="shared" si="736"/>
        <v>False</v>
      </c>
      <c r="U1114" s="1" t="str">
        <f t="shared" si="737"/>
        <v>True</v>
      </c>
      <c r="V1114" s="1" t="str">
        <f>"U0033292"</f>
        <v>U0033292</v>
      </c>
      <c r="W1114" s="1">
        <v>1</v>
      </c>
      <c r="Y1114" s="1">
        <v>0</v>
      </c>
      <c r="Z1114" s="1">
        <v>0</v>
      </c>
      <c r="AB1114" s="1" t="str">
        <f t="shared" si="720"/>
        <v>SMU</v>
      </c>
      <c r="AI1114" s="1" t="str">
        <f t="shared" si="751"/>
        <v>106</v>
      </c>
      <c r="AJ1114" s="1" t="str">
        <f t="shared" si="752"/>
        <v>MAN</v>
      </c>
      <c r="AK1114" s="1" t="str">
        <f t="shared" si="738"/>
        <v>PA</v>
      </c>
      <c r="AP1114" s="1" t="str">
        <f t="shared" si="739"/>
        <v>False</v>
      </c>
      <c r="AR1114" s="1" t="str">
        <f t="shared" si="753"/>
        <v>MARCS</v>
      </c>
      <c r="AY1114" s="1" t="str">
        <f t="shared" si="740"/>
        <v>PF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 t="str">
        <f t="shared" si="754"/>
        <v>RCS GOMMA TWILL CANVAS+PU LEAT</v>
      </c>
      <c r="BF1114" s="1" t="str">
        <f t="shared" si="741"/>
        <v>Bonis SpA</v>
      </c>
    </row>
    <row r="1115" spans="2:58" x14ac:dyDescent="0.25">
      <c r="B1115" s="1">
        <v>2479</v>
      </c>
      <c r="C1115" s="1" t="str">
        <f t="shared" si="748"/>
        <v>MARCS4137S7/C1A</v>
      </c>
      <c r="E1115" s="1" t="str">
        <f>"40"</f>
        <v>40</v>
      </c>
      <c r="F1115" s="1" t="str">
        <f t="shared" si="730"/>
        <v>BONIS SPA</v>
      </c>
      <c r="G1115" s="1" t="str">
        <f t="shared" si="716"/>
        <v>STOCK SCAFFALE MP</v>
      </c>
      <c r="H1115" s="1" t="str">
        <f t="shared" si="749"/>
        <v>BLK</v>
      </c>
      <c r="K1115" s="1">
        <v>1</v>
      </c>
      <c r="L1115" s="1" t="str">
        <f t="shared" si="731"/>
        <v>01</v>
      </c>
      <c r="M1115" s="1" t="str">
        <f t="shared" si="717"/>
        <v>408</v>
      </c>
      <c r="N1115" s="1" t="str">
        <f t="shared" si="750"/>
        <v>008</v>
      </c>
      <c r="O1115" s="1" t="str">
        <f t="shared" si="732"/>
        <v>00</v>
      </c>
      <c r="P1115" s="1" t="str">
        <f t="shared" si="733"/>
        <v>S</v>
      </c>
      <c r="Q1115" s="1" t="str">
        <f t="shared" si="734"/>
        <v>P</v>
      </c>
      <c r="R1115" s="1" t="str">
        <f t="shared" si="735"/>
        <v>01</v>
      </c>
      <c r="S1115" s="1" t="str">
        <f t="shared" si="718"/>
        <v>04</v>
      </c>
      <c r="T1115" s="1" t="str">
        <f t="shared" si="736"/>
        <v>False</v>
      </c>
      <c r="U1115" s="1" t="str">
        <f t="shared" si="737"/>
        <v>True</v>
      </c>
      <c r="V1115" s="1" t="str">
        <f>"U0033292"</f>
        <v>U0033292</v>
      </c>
      <c r="W1115" s="1">
        <v>1</v>
      </c>
      <c r="Y1115" s="1">
        <v>0</v>
      </c>
      <c r="Z1115" s="1">
        <v>0</v>
      </c>
      <c r="AB1115" s="1" t="str">
        <f t="shared" si="720"/>
        <v>SMU</v>
      </c>
      <c r="AI1115" s="1" t="str">
        <f t="shared" si="751"/>
        <v>106</v>
      </c>
      <c r="AJ1115" s="1" t="str">
        <f t="shared" si="752"/>
        <v>MAN</v>
      </c>
      <c r="AK1115" s="1" t="str">
        <f t="shared" si="738"/>
        <v>PA</v>
      </c>
      <c r="AP1115" s="1" t="str">
        <f t="shared" si="739"/>
        <v>False</v>
      </c>
      <c r="AR1115" s="1" t="str">
        <f t="shared" si="753"/>
        <v>MARCS</v>
      </c>
      <c r="AY1115" s="1" t="str">
        <f t="shared" si="740"/>
        <v>PF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 t="str">
        <f t="shared" si="754"/>
        <v>RCS GOMMA TWILL CANVAS+PU LEAT</v>
      </c>
      <c r="BF1115" s="1" t="str">
        <f t="shared" si="741"/>
        <v>Bonis SpA</v>
      </c>
    </row>
    <row r="1116" spans="2:58" x14ac:dyDescent="0.25">
      <c r="B1116" s="1">
        <v>2479</v>
      </c>
      <c r="C1116" s="1" t="str">
        <f t="shared" si="748"/>
        <v>MARCS4137S7/C1A</v>
      </c>
      <c r="E1116" s="1" t="str">
        <f>"44"</f>
        <v>44</v>
      </c>
      <c r="F1116" s="1" t="str">
        <f t="shared" si="730"/>
        <v>BONIS SPA</v>
      </c>
      <c r="G1116" s="1" t="str">
        <f t="shared" si="716"/>
        <v>STOCK SCAFFALE MP</v>
      </c>
      <c r="H1116" s="1" t="str">
        <f t="shared" si="749"/>
        <v>BLK</v>
      </c>
      <c r="K1116" s="1">
        <v>2</v>
      </c>
      <c r="L1116" s="1" t="str">
        <f t="shared" si="731"/>
        <v>01</v>
      </c>
      <c r="M1116" s="1" t="str">
        <f t="shared" si="717"/>
        <v>408</v>
      </c>
      <c r="N1116" s="1" t="str">
        <f t="shared" si="750"/>
        <v>008</v>
      </c>
      <c r="O1116" s="1" t="str">
        <f t="shared" si="732"/>
        <v>00</v>
      </c>
      <c r="P1116" s="1" t="str">
        <f t="shared" si="733"/>
        <v>S</v>
      </c>
      <c r="Q1116" s="1" t="str">
        <f t="shared" si="734"/>
        <v>P</v>
      </c>
      <c r="R1116" s="1" t="str">
        <f t="shared" si="735"/>
        <v>01</v>
      </c>
      <c r="S1116" s="1" t="str">
        <f t="shared" si="718"/>
        <v>04</v>
      </c>
      <c r="T1116" s="1" t="str">
        <f t="shared" si="736"/>
        <v>False</v>
      </c>
      <c r="U1116" s="1" t="str">
        <f t="shared" si="737"/>
        <v>True</v>
      </c>
      <c r="V1116" s="1" t="str">
        <f>"U0033291"</f>
        <v>U0033291</v>
      </c>
      <c r="W1116" s="1">
        <v>1</v>
      </c>
      <c r="Y1116" s="1">
        <v>0</v>
      </c>
      <c r="Z1116" s="1">
        <v>0</v>
      </c>
      <c r="AB1116" s="1" t="str">
        <f t="shared" si="720"/>
        <v>SMU</v>
      </c>
      <c r="AI1116" s="1" t="str">
        <f t="shared" si="751"/>
        <v>106</v>
      </c>
      <c r="AJ1116" s="1" t="str">
        <f t="shared" si="752"/>
        <v>MAN</v>
      </c>
      <c r="AK1116" s="1" t="str">
        <f t="shared" si="738"/>
        <v>PA</v>
      </c>
      <c r="AP1116" s="1" t="str">
        <f t="shared" si="739"/>
        <v>False</v>
      </c>
      <c r="AR1116" s="1" t="str">
        <f t="shared" si="753"/>
        <v>MARCS</v>
      </c>
      <c r="AY1116" s="1" t="str">
        <f t="shared" si="740"/>
        <v>PF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 t="str">
        <f t="shared" si="754"/>
        <v>RCS GOMMA TWILL CANVAS+PU LEAT</v>
      </c>
      <c r="BF1116" s="1" t="str">
        <f t="shared" si="741"/>
        <v>Bonis SpA</v>
      </c>
    </row>
    <row r="1117" spans="2:58" x14ac:dyDescent="0.25">
      <c r="B1117" s="1">
        <v>2479</v>
      </c>
      <c r="C1117" s="1" t="str">
        <f t="shared" si="748"/>
        <v>MARCS4137S7/C1A</v>
      </c>
      <c r="E1117" s="1" t="str">
        <f>"40"</f>
        <v>40</v>
      </c>
      <c r="F1117" s="1" t="str">
        <f t="shared" si="730"/>
        <v>BONIS SPA</v>
      </c>
      <c r="G1117" s="1" t="str">
        <f t="shared" si="716"/>
        <v>STOCK SCAFFALE MP</v>
      </c>
      <c r="H1117" s="1" t="str">
        <f t="shared" si="749"/>
        <v>BLK</v>
      </c>
      <c r="K1117" s="1">
        <v>2</v>
      </c>
      <c r="L1117" s="1" t="str">
        <f t="shared" si="731"/>
        <v>01</v>
      </c>
      <c r="M1117" s="1" t="str">
        <f t="shared" si="717"/>
        <v>408</v>
      </c>
      <c r="N1117" s="1" t="str">
        <f t="shared" si="750"/>
        <v>008</v>
      </c>
      <c r="O1117" s="1" t="str">
        <f t="shared" si="732"/>
        <v>00</v>
      </c>
      <c r="P1117" s="1" t="str">
        <f t="shared" si="733"/>
        <v>S</v>
      </c>
      <c r="Q1117" s="1" t="str">
        <f t="shared" si="734"/>
        <v>P</v>
      </c>
      <c r="R1117" s="1" t="str">
        <f t="shared" si="735"/>
        <v>01</v>
      </c>
      <c r="S1117" s="1" t="str">
        <f t="shared" si="718"/>
        <v>04</v>
      </c>
      <c r="T1117" s="1" t="str">
        <f t="shared" si="736"/>
        <v>False</v>
      </c>
      <c r="U1117" s="1" t="str">
        <f t="shared" si="737"/>
        <v>True</v>
      </c>
      <c r="V1117" s="1" t="str">
        <f>"U0033291"</f>
        <v>U0033291</v>
      </c>
      <c r="W1117" s="1">
        <v>1</v>
      </c>
      <c r="Y1117" s="1">
        <v>0</v>
      </c>
      <c r="Z1117" s="1">
        <v>0</v>
      </c>
      <c r="AB1117" s="1" t="str">
        <f t="shared" si="720"/>
        <v>SMU</v>
      </c>
      <c r="AI1117" s="1" t="str">
        <f t="shared" si="751"/>
        <v>106</v>
      </c>
      <c r="AJ1117" s="1" t="str">
        <f t="shared" si="752"/>
        <v>MAN</v>
      </c>
      <c r="AK1117" s="1" t="str">
        <f t="shared" si="738"/>
        <v>PA</v>
      </c>
      <c r="AP1117" s="1" t="str">
        <f t="shared" si="739"/>
        <v>False</v>
      </c>
      <c r="AR1117" s="1" t="str">
        <f t="shared" si="753"/>
        <v>MARCS</v>
      </c>
      <c r="AY1117" s="1" t="str">
        <f t="shared" si="740"/>
        <v>PF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 t="str">
        <f t="shared" si="754"/>
        <v>RCS GOMMA TWILL CANVAS+PU LEAT</v>
      </c>
      <c r="BF1117" s="1" t="str">
        <f t="shared" si="741"/>
        <v>Bonis SpA</v>
      </c>
    </row>
    <row r="1118" spans="2:58" x14ac:dyDescent="0.25">
      <c r="B1118" s="1">
        <v>2479</v>
      </c>
      <c r="C1118" s="1" t="str">
        <f t="shared" si="748"/>
        <v>MARCS4137S7/C1A</v>
      </c>
      <c r="E1118" s="1" t="str">
        <f>"41"</f>
        <v>41</v>
      </c>
      <c r="F1118" s="1" t="str">
        <f t="shared" si="730"/>
        <v>BONIS SPA</v>
      </c>
      <c r="G1118" s="1" t="str">
        <f t="shared" si="716"/>
        <v>STOCK SCAFFALE MP</v>
      </c>
      <c r="H1118" s="1" t="str">
        <f t="shared" si="749"/>
        <v>BLK</v>
      </c>
      <c r="K1118" s="1">
        <v>4</v>
      </c>
      <c r="L1118" s="1" t="str">
        <f t="shared" si="731"/>
        <v>01</v>
      </c>
      <c r="M1118" s="1" t="str">
        <f t="shared" si="717"/>
        <v>408</v>
      </c>
      <c r="N1118" s="1" t="str">
        <f t="shared" si="750"/>
        <v>008</v>
      </c>
      <c r="O1118" s="1" t="str">
        <f t="shared" si="732"/>
        <v>00</v>
      </c>
      <c r="P1118" s="1" t="str">
        <f t="shared" si="733"/>
        <v>S</v>
      </c>
      <c r="Q1118" s="1" t="str">
        <f t="shared" si="734"/>
        <v>P</v>
      </c>
      <c r="R1118" s="1" t="str">
        <f t="shared" si="735"/>
        <v>01</v>
      </c>
      <c r="S1118" s="1" t="str">
        <f t="shared" si="718"/>
        <v>04</v>
      </c>
      <c r="T1118" s="1" t="str">
        <f t="shared" si="736"/>
        <v>False</v>
      </c>
      <c r="U1118" s="1" t="str">
        <f t="shared" si="737"/>
        <v>True</v>
      </c>
      <c r="V1118" s="1" t="str">
        <f>"U0033291"</f>
        <v>U0033291</v>
      </c>
      <c r="W1118" s="1">
        <v>1</v>
      </c>
      <c r="Y1118" s="1">
        <v>0</v>
      </c>
      <c r="Z1118" s="1">
        <v>0</v>
      </c>
      <c r="AB1118" s="1" t="str">
        <f t="shared" si="720"/>
        <v>SMU</v>
      </c>
      <c r="AI1118" s="1" t="str">
        <f t="shared" si="751"/>
        <v>106</v>
      </c>
      <c r="AJ1118" s="1" t="str">
        <f t="shared" si="752"/>
        <v>MAN</v>
      </c>
      <c r="AK1118" s="1" t="str">
        <f t="shared" si="738"/>
        <v>PA</v>
      </c>
      <c r="AP1118" s="1" t="str">
        <f t="shared" si="739"/>
        <v>False</v>
      </c>
      <c r="AR1118" s="1" t="str">
        <f t="shared" si="753"/>
        <v>MARCS</v>
      </c>
      <c r="AY1118" s="1" t="str">
        <f t="shared" si="740"/>
        <v>PF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 t="str">
        <f t="shared" si="754"/>
        <v>RCS GOMMA TWILL CANVAS+PU LEAT</v>
      </c>
      <c r="BF1118" s="1" t="str">
        <f t="shared" si="741"/>
        <v>Bonis SpA</v>
      </c>
    </row>
    <row r="1119" spans="2:58" x14ac:dyDescent="0.25">
      <c r="B1119" s="1">
        <v>2479</v>
      </c>
      <c r="C1119" s="1" t="str">
        <f t="shared" si="748"/>
        <v>MARCS4137S7/C1A</v>
      </c>
      <c r="E1119" s="1" t="str">
        <f>"42"</f>
        <v>42</v>
      </c>
      <c r="F1119" s="1" t="str">
        <f t="shared" si="730"/>
        <v>BONIS SPA</v>
      </c>
      <c r="G1119" s="1" t="str">
        <f t="shared" si="716"/>
        <v>STOCK SCAFFALE MP</v>
      </c>
      <c r="H1119" s="1" t="str">
        <f t="shared" si="749"/>
        <v>BLK</v>
      </c>
      <c r="K1119" s="1">
        <v>4</v>
      </c>
      <c r="L1119" s="1" t="str">
        <f t="shared" si="731"/>
        <v>01</v>
      </c>
      <c r="M1119" s="1" t="str">
        <f t="shared" si="717"/>
        <v>408</v>
      </c>
      <c r="N1119" s="1" t="str">
        <f t="shared" si="750"/>
        <v>008</v>
      </c>
      <c r="O1119" s="1" t="str">
        <f t="shared" si="732"/>
        <v>00</v>
      </c>
      <c r="P1119" s="1" t="str">
        <f t="shared" si="733"/>
        <v>S</v>
      </c>
      <c r="Q1119" s="1" t="str">
        <f t="shared" si="734"/>
        <v>P</v>
      </c>
      <c r="R1119" s="1" t="str">
        <f t="shared" si="735"/>
        <v>01</v>
      </c>
      <c r="S1119" s="1" t="str">
        <f t="shared" si="718"/>
        <v>04</v>
      </c>
      <c r="T1119" s="1" t="str">
        <f t="shared" si="736"/>
        <v>False</v>
      </c>
      <c r="U1119" s="1" t="str">
        <f t="shared" si="737"/>
        <v>True</v>
      </c>
      <c r="V1119" s="1" t="str">
        <f>"U0033291"</f>
        <v>U0033291</v>
      </c>
      <c r="W1119" s="1">
        <v>1</v>
      </c>
      <c r="Y1119" s="1">
        <v>0</v>
      </c>
      <c r="Z1119" s="1">
        <v>0</v>
      </c>
      <c r="AB1119" s="1" t="str">
        <f t="shared" si="720"/>
        <v>SMU</v>
      </c>
      <c r="AI1119" s="1" t="str">
        <f t="shared" si="751"/>
        <v>106</v>
      </c>
      <c r="AJ1119" s="1" t="str">
        <f t="shared" si="752"/>
        <v>MAN</v>
      </c>
      <c r="AK1119" s="1" t="str">
        <f t="shared" si="738"/>
        <v>PA</v>
      </c>
      <c r="AP1119" s="1" t="str">
        <f t="shared" si="739"/>
        <v>False</v>
      </c>
      <c r="AR1119" s="1" t="str">
        <f t="shared" si="753"/>
        <v>MARCS</v>
      </c>
      <c r="AY1119" s="1" t="str">
        <f t="shared" si="740"/>
        <v>PF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 t="str">
        <f t="shared" si="754"/>
        <v>RCS GOMMA TWILL CANVAS+PU LEAT</v>
      </c>
      <c r="BF1119" s="1" t="str">
        <f t="shared" si="741"/>
        <v>Bonis SpA</v>
      </c>
    </row>
    <row r="1120" spans="2:58" x14ac:dyDescent="0.25">
      <c r="B1120" s="1">
        <v>2491</v>
      </c>
      <c r="C1120" s="1" t="str">
        <f>"NOBIW4197S6/NH1A"</f>
        <v>NOBIW4197S6/NH1A</v>
      </c>
      <c r="E1120" s="1" t="str">
        <f>"39"</f>
        <v>39</v>
      </c>
      <c r="F1120" s="1" t="str">
        <f t="shared" si="730"/>
        <v>BONIS SPA</v>
      </c>
      <c r="G1120" s="1" t="str">
        <f t="shared" si="716"/>
        <v>STOCK SCAFFALE MP</v>
      </c>
      <c r="H1120" s="1" t="str">
        <f>"LIBL"</f>
        <v>LIBL</v>
      </c>
      <c r="K1120" s="1">
        <v>3</v>
      </c>
      <c r="L1120" s="1" t="str">
        <f t="shared" si="731"/>
        <v>01</v>
      </c>
      <c r="M1120" s="1" t="str">
        <f t="shared" si="717"/>
        <v>408</v>
      </c>
      <c r="N1120" s="1" t="str">
        <f>"012"</f>
        <v>012</v>
      </c>
      <c r="O1120" s="1" t="str">
        <f t="shared" si="732"/>
        <v>00</v>
      </c>
      <c r="P1120" s="1" t="str">
        <f t="shared" si="733"/>
        <v>S</v>
      </c>
      <c r="Q1120" s="1" t="str">
        <f t="shared" si="734"/>
        <v>P</v>
      </c>
      <c r="R1120" s="1" t="str">
        <f t="shared" si="735"/>
        <v>01</v>
      </c>
      <c r="S1120" s="1" t="str">
        <f t="shared" si="718"/>
        <v>04</v>
      </c>
      <c r="T1120" s="1" t="str">
        <f t="shared" si="736"/>
        <v>False</v>
      </c>
      <c r="U1120" s="1" t="str">
        <f t="shared" si="737"/>
        <v>True</v>
      </c>
      <c r="V1120" s="1" t="str">
        <f>"U0033294"</f>
        <v>U0033294</v>
      </c>
      <c r="W1120" s="1">
        <v>1</v>
      </c>
      <c r="Y1120" s="1">
        <v>0</v>
      </c>
      <c r="Z1120" s="1">
        <v>0</v>
      </c>
      <c r="AB1120" s="1" t="str">
        <f t="shared" si="720"/>
        <v>SMU</v>
      </c>
      <c r="AI1120" s="1" t="str">
        <f>"F10"</f>
        <v>F10</v>
      </c>
      <c r="AJ1120" s="1" t="str">
        <f>"WOMAN"</f>
        <v>WOMAN</v>
      </c>
      <c r="AK1120" s="1" t="str">
        <f t="shared" si="738"/>
        <v>PA</v>
      </c>
      <c r="AP1120" s="1" t="str">
        <f t="shared" si="739"/>
        <v>False</v>
      </c>
      <c r="AR1120" s="1" t="str">
        <f>"NOBIW"</f>
        <v>NOBIW</v>
      </c>
      <c r="AY1120" s="1" t="str">
        <f t="shared" si="740"/>
        <v>PF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 t="str">
        <f>"UBBER FLAT MOL.NYLON+MICRO"</f>
        <v>UBBER FLAT MOL.NYLON+MICRO</v>
      </c>
      <c r="BF1120" s="1" t="str">
        <f t="shared" si="741"/>
        <v>Bonis SpA</v>
      </c>
    </row>
    <row r="1121" spans="2:58" x14ac:dyDescent="0.25">
      <c r="B1121" s="1">
        <v>2491</v>
      </c>
      <c r="C1121" s="1" t="str">
        <f>"NOBIW4197S6/NH1A"</f>
        <v>NOBIW4197S6/NH1A</v>
      </c>
      <c r="E1121" s="1" t="str">
        <f>"37"</f>
        <v>37</v>
      </c>
      <c r="F1121" s="1" t="str">
        <f t="shared" si="730"/>
        <v>BONIS SPA</v>
      </c>
      <c r="G1121" s="1" t="str">
        <f t="shared" si="716"/>
        <v>STOCK SCAFFALE MP</v>
      </c>
      <c r="H1121" s="1" t="str">
        <f>"LIBL"</f>
        <v>LIBL</v>
      </c>
      <c r="K1121" s="1">
        <v>1</v>
      </c>
      <c r="L1121" s="1" t="str">
        <f t="shared" si="731"/>
        <v>01</v>
      </c>
      <c r="M1121" s="1" t="str">
        <f t="shared" si="717"/>
        <v>408</v>
      </c>
      <c r="N1121" s="1" t="str">
        <f>"012"</f>
        <v>012</v>
      </c>
      <c r="O1121" s="1" t="str">
        <f t="shared" si="732"/>
        <v>00</v>
      </c>
      <c r="P1121" s="1" t="str">
        <f t="shared" si="733"/>
        <v>S</v>
      </c>
      <c r="Q1121" s="1" t="str">
        <f t="shared" si="734"/>
        <v>P</v>
      </c>
      <c r="R1121" s="1" t="str">
        <f t="shared" si="735"/>
        <v>01</v>
      </c>
      <c r="S1121" s="1" t="str">
        <f t="shared" si="718"/>
        <v>04</v>
      </c>
      <c r="T1121" s="1" t="str">
        <f t="shared" si="736"/>
        <v>False</v>
      </c>
      <c r="U1121" s="1" t="str">
        <f t="shared" si="737"/>
        <v>True</v>
      </c>
      <c r="V1121" s="1" t="str">
        <f>"U0033294"</f>
        <v>U0033294</v>
      </c>
      <c r="W1121" s="1">
        <v>1</v>
      </c>
      <c r="Y1121" s="1">
        <v>0</v>
      </c>
      <c r="Z1121" s="1">
        <v>0</v>
      </c>
      <c r="AB1121" s="1" t="str">
        <f t="shared" si="720"/>
        <v>SMU</v>
      </c>
      <c r="AI1121" s="1" t="str">
        <f>"F10"</f>
        <v>F10</v>
      </c>
      <c r="AJ1121" s="1" t="str">
        <f>"WOMAN"</f>
        <v>WOMAN</v>
      </c>
      <c r="AK1121" s="1" t="str">
        <f t="shared" si="738"/>
        <v>PA</v>
      </c>
      <c r="AP1121" s="1" t="str">
        <f t="shared" si="739"/>
        <v>False</v>
      </c>
      <c r="AR1121" s="1" t="str">
        <f>"NOBIW"</f>
        <v>NOBIW</v>
      </c>
      <c r="AY1121" s="1" t="str">
        <f t="shared" si="740"/>
        <v>PF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 t="str">
        <f>"UBBER FLAT MOL.NYLON+MICRO"</f>
        <v>UBBER FLAT MOL.NYLON+MICRO</v>
      </c>
      <c r="BF1121" s="1" t="str">
        <f t="shared" si="741"/>
        <v>Bonis SpA</v>
      </c>
    </row>
    <row r="1122" spans="2:58" x14ac:dyDescent="0.25">
      <c r="B1122" s="1">
        <v>2491</v>
      </c>
      <c r="C1122" s="1" t="str">
        <f>"NOBIW4197S6/NH1A"</f>
        <v>NOBIW4197S6/NH1A</v>
      </c>
      <c r="E1122" s="1" t="str">
        <f>"37"</f>
        <v>37</v>
      </c>
      <c r="F1122" s="1" t="str">
        <f t="shared" si="730"/>
        <v>BONIS SPA</v>
      </c>
      <c r="G1122" s="1" t="str">
        <f t="shared" si="716"/>
        <v>STOCK SCAFFALE MP</v>
      </c>
      <c r="H1122" s="1" t="str">
        <f>"LIBL"</f>
        <v>LIBL</v>
      </c>
      <c r="K1122" s="1">
        <v>4</v>
      </c>
      <c r="L1122" s="1" t="str">
        <f t="shared" si="731"/>
        <v>01</v>
      </c>
      <c r="M1122" s="1" t="str">
        <f t="shared" si="717"/>
        <v>408</v>
      </c>
      <c r="N1122" s="1" t="str">
        <f>"012"</f>
        <v>012</v>
      </c>
      <c r="O1122" s="1" t="str">
        <f t="shared" si="732"/>
        <v>00</v>
      </c>
      <c r="P1122" s="1" t="str">
        <f t="shared" si="733"/>
        <v>S</v>
      </c>
      <c r="Q1122" s="1" t="str">
        <f t="shared" si="734"/>
        <v>P</v>
      </c>
      <c r="R1122" s="1" t="str">
        <f t="shared" si="735"/>
        <v>01</v>
      </c>
      <c r="S1122" s="1" t="str">
        <f t="shared" si="718"/>
        <v>04</v>
      </c>
      <c r="T1122" s="1" t="str">
        <f t="shared" si="736"/>
        <v>False</v>
      </c>
      <c r="U1122" s="1" t="str">
        <f t="shared" si="737"/>
        <v>True</v>
      </c>
      <c r="V1122" s="1" t="str">
        <f>"U0033289"</f>
        <v>U0033289</v>
      </c>
      <c r="W1122" s="1">
        <v>1</v>
      </c>
      <c r="Y1122" s="1">
        <v>0</v>
      </c>
      <c r="Z1122" s="1">
        <v>0</v>
      </c>
      <c r="AB1122" s="1" t="str">
        <f t="shared" si="720"/>
        <v>SMU</v>
      </c>
      <c r="AI1122" s="1" t="str">
        <f>"F10"</f>
        <v>F10</v>
      </c>
      <c r="AJ1122" s="1" t="str">
        <f>"WOMAN"</f>
        <v>WOMAN</v>
      </c>
      <c r="AK1122" s="1" t="str">
        <f t="shared" si="738"/>
        <v>PA</v>
      </c>
      <c r="AP1122" s="1" t="str">
        <f t="shared" si="739"/>
        <v>False</v>
      </c>
      <c r="AR1122" s="1" t="str">
        <f>"NOBIW"</f>
        <v>NOBIW</v>
      </c>
      <c r="AY1122" s="1" t="str">
        <f t="shared" si="740"/>
        <v>PF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 t="str">
        <f>"UBBER FLAT MOL.NYLON+MICRO"</f>
        <v>UBBER FLAT MOL.NYLON+MICRO</v>
      </c>
      <c r="BF1122" s="1" t="str">
        <f t="shared" si="741"/>
        <v>Bonis SpA</v>
      </c>
    </row>
    <row r="1123" spans="2:58" x14ac:dyDescent="0.25">
      <c r="B1123" s="1">
        <v>2491</v>
      </c>
      <c r="C1123" s="1" t="str">
        <f>"NOBIW4197S6/NH1A"</f>
        <v>NOBIW4197S6/NH1A</v>
      </c>
      <c r="E1123" s="1" t="str">
        <f>"38"</f>
        <v>38</v>
      </c>
      <c r="F1123" s="1" t="str">
        <f t="shared" si="730"/>
        <v>BONIS SPA</v>
      </c>
      <c r="G1123" s="1" t="str">
        <f t="shared" si="716"/>
        <v>STOCK SCAFFALE MP</v>
      </c>
      <c r="H1123" s="1" t="str">
        <f>"LIBL"</f>
        <v>LIBL</v>
      </c>
      <c r="K1123" s="1">
        <v>2</v>
      </c>
      <c r="L1123" s="1" t="str">
        <f t="shared" si="731"/>
        <v>01</v>
      </c>
      <c r="M1123" s="1" t="str">
        <f t="shared" si="717"/>
        <v>408</v>
      </c>
      <c r="N1123" s="1" t="str">
        <f>"012"</f>
        <v>012</v>
      </c>
      <c r="O1123" s="1" t="str">
        <f t="shared" si="732"/>
        <v>00</v>
      </c>
      <c r="P1123" s="1" t="str">
        <f t="shared" si="733"/>
        <v>S</v>
      </c>
      <c r="Q1123" s="1" t="str">
        <f t="shared" si="734"/>
        <v>P</v>
      </c>
      <c r="R1123" s="1" t="str">
        <f t="shared" si="735"/>
        <v>01</v>
      </c>
      <c r="S1123" s="1" t="str">
        <f t="shared" si="718"/>
        <v>04</v>
      </c>
      <c r="T1123" s="1" t="str">
        <f t="shared" si="736"/>
        <v>False</v>
      </c>
      <c r="U1123" s="1" t="str">
        <f t="shared" si="737"/>
        <v>True</v>
      </c>
      <c r="V1123" s="1" t="str">
        <f>"U0033289"</f>
        <v>U0033289</v>
      </c>
      <c r="W1123" s="1">
        <v>1</v>
      </c>
      <c r="Y1123" s="1">
        <v>0</v>
      </c>
      <c r="Z1123" s="1">
        <v>0</v>
      </c>
      <c r="AB1123" s="1" t="str">
        <f t="shared" si="720"/>
        <v>SMU</v>
      </c>
      <c r="AI1123" s="1" t="str">
        <f>"F10"</f>
        <v>F10</v>
      </c>
      <c r="AJ1123" s="1" t="str">
        <f>"WOMAN"</f>
        <v>WOMAN</v>
      </c>
      <c r="AK1123" s="1" t="str">
        <f t="shared" si="738"/>
        <v>PA</v>
      </c>
      <c r="AP1123" s="1" t="str">
        <f t="shared" si="739"/>
        <v>False</v>
      </c>
      <c r="AR1123" s="1" t="str">
        <f>"NOBIW"</f>
        <v>NOBIW</v>
      </c>
      <c r="AY1123" s="1" t="str">
        <f t="shared" si="740"/>
        <v>PF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 t="str">
        <f>"UBBER FLAT MOL.NYLON+MICRO"</f>
        <v>UBBER FLAT MOL.NYLON+MICRO</v>
      </c>
      <c r="BF1123" s="1" t="str">
        <f t="shared" si="741"/>
        <v>Bonis SpA</v>
      </c>
    </row>
    <row r="1124" spans="2:58" x14ac:dyDescent="0.25">
      <c r="B1124" s="1">
        <v>2479</v>
      </c>
      <c r="C1124" s="1" t="str">
        <f t="shared" ref="C1124:C1168" si="755">"MARCS4137S7/C1A"</f>
        <v>MARCS4137S7/C1A</v>
      </c>
      <c r="E1124" s="1" t="str">
        <f>"42"</f>
        <v>42</v>
      </c>
      <c r="F1124" s="1" t="str">
        <f t="shared" si="730"/>
        <v>BONIS SPA</v>
      </c>
      <c r="G1124" s="1" t="str">
        <f t="shared" si="716"/>
        <v>STOCK SCAFFALE MP</v>
      </c>
      <c r="H1124" s="1" t="str">
        <f t="shared" ref="H1124:H1153" si="756">"BLK"</f>
        <v>BLK</v>
      </c>
      <c r="K1124" s="1">
        <v>2</v>
      </c>
      <c r="L1124" s="1" t="str">
        <f t="shared" si="731"/>
        <v>01</v>
      </c>
      <c r="M1124" s="1" t="str">
        <f t="shared" si="717"/>
        <v>408</v>
      </c>
      <c r="N1124" s="1" t="str">
        <f t="shared" ref="N1124:N1155" si="757">"008"</f>
        <v>008</v>
      </c>
      <c r="O1124" s="1" t="str">
        <f t="shared" si="732"/>
        <v>00</v>
      </c>
      <c r="P1124" s="1" t="str">
        <f t="shared" si="733"/>
        <v>S</v>
      </c>
      <c r="Q1124" s="1" t="str">
        <f t="shared" si="734"/>
        <v>P</v>
      </c>
      <c r="R1124" s="1" t="str">
        <f t="shared" si="735"/>
        <v>01</v>
      </c>
      <c r="S1124" s="1" t="str">
        <f t="shared" si="718"/>
        <v>04</v>
      </c>
      <c r="T1124" s="1" t="str">
        <f t="shared" si="736"/>
        <v>False</v>
      </c>
      <c r="U1124" s="1" t="str">
        <f t="shared" si="737"/>
        <v>True</v>
      </c>
      <c r="V1124" s="1" t="str">
        <f>"U0033258"</f>
        <v>U0033258</v>
      </c>
      <c r="W1124" s="1">
        <v>1</v>
      </c>
      <c r="Y1124" s="1">
        <v>0</v>
      </c>
      <c r="Z1124" s="1">
        <v>0</v>
      </c>
      <c r="AB1124" s="1" t="str">
        <f t="shared" si="720"/>
        <v>SMU</v>
      </c>
      <c r="AI1124" s="1" t="str">
        <f t="shared" ref="AI1124:AI1155" si="758">"106"</f>
        <v>106</v>
      </c>
      <c r="AJ1124" s="1" t="str">
        <f t="shared" ref="AJ1124:AJ1168" si="759">"MAN"</f>
        <v>MAN</v>
      </c>
      <c r="AK1124" s="1" t="str">
        <f t="shared" si="738"/>
        <v>PA</v>
      </c>
      <c r="AP1124" s="1" t="str">
        <f t="shared" si="739"/>
        <v>False</v>
      </c>
      <c r="AR1124" s="1" t="str">
        <f t="shared" ref="AR1124:AR1168" si="760">"MARCS"</f>
        <v>MARCS</v>
      </c>
      <c r="AY1124" s="1" t="str">
        <f t="shared" si="740"/>
        <v>PF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 t="str">
        <f t="shared" ref="BE1124:BE1168" si="761">"RCS GOMMA TWILL CANVAS+PU LEAT"</f>
        <v>RCS GOMMA TWILL CANVAS+PU LEAT</v>
      </c>
      <c r="BF1124" s="1" t="str">
        <f t="shared" si="741"/>
        <v>Bonis SpA</v>
      </c>
    </row>
    <row r="1125" spans="2:58" x14ac:dyDescent="0.25">
      <c r="B1125" s="1">
        <v>2479</v>
      </c>
      <c r="C1125" s="1" t="str">
        <f t="shared" si="755"/>
        <v>MARCS4137S7/C1A</v>
      </c>
      <c r="E1125" s="1" t="str">
        <f>"41"</f>
        <v>41</v>
      </c>
      <c r="F1125" s="1" t="str">
        <f t="shared" si="730"/>
        <v>BONIS SPA</v>
      </c>
      <c r="G1125" s="1" t="str">
        <f t="shared" si="716"/>
        <v>STOCK SCAFFALE MP</v>
      </c>
      <c r="H1125" s="1" t="str">
        <f t="shared" si="756"/>
        <v>BLK</v>
      </c>
      <c r="K1125" s="1">
        <v>5</v>
      </c>
      <c r="L1125" s="1" t="str">
        <f t="shared" si="731"/>
        <v>01</v>
      </c>
      <c r="M1125" s="1" t="str">
        <f t="shared" si="717"/>
        <v>408</v>
      </c>
      <c r="N1125" s="1" t="str">
        <f t="shared" si="757"/>
        <v>008</v>
      </c>
      <c r="O1125" s="1" t="str">
        <f t="shared" si="732"/>
        <v>00</v>
      </c>
      <c r="P1125" s="1" t="str">
        <f t="shared" si="733"/>
        <v>S</v>
      </c>
      <c r="Q1125" s="1" t="str">
        <f t="shared" si="734"/>
        <v>P</v>
      </c>
      <c r="R1125" s="1" t="str">
        <f t="shared" si="735"/>
        <v>01</v>
      </c>
      <c r="S1125" s="1" t="str">
        <f t="shared" si="718"/>
        <v>04</v>
      </c>
      <c r="T1125" s="1" t="str">
        <f t="shared" si="736"/>
        <v>False</v>
      </c>
      <c r="U1125" s="1" t="str">
        <f t="shared" si="737"/>
        <v>True</v>
      </c>
      <c r="V1125" s="1" t="str">
        <f>"U0033264"</f>
        <v>U0033264</v>
      </c>
      <c r="W1125" s="1">
        <v>1</v>
      </c>
      <c r="Y1125" s="1">
        <v>0</v>
      </c>
      <c r="Z1125" s="1">
        <v>0</v>
      </c>
      <c r="AB1125" s="1" t="str">
        <f t="shared" si="720"/>
        <v>SMU</v>
      </c>
      <c r="AI1125" s="1" t="str">
        <f t="shared" si="758"/>
        <v>106</v>
      </c>
      <c r="AJ1125" s="1" t="str">
        <f t="shared" si="759"/>
        <v>MAN</v>
      </c>
      <c r="AK1125" s="1" t="str">
        <f t="shared" si="738"/>
        <v>PA</v>
      </c>
      <c r="AP1125" s="1" t="str">
        <f t="shared" si="739"/>
        <v>False</v>
      </c>
      <c r="AR1125" s="1" t="str">
        <f t="shared" si="760"/>
        <v>MARCS</v>
      </c>
      <c r="AY1125" s="1" t="str">
        <f t="shared" si="740"/>
        <v>PF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 t="str">
        <f t="shared" si="761"/>
        <v>RCS GOMMA TWILL CANVAS+PU LEAT</v>
      </c>
      <c r="BF1125" s="1" t="str">
        <f t="shared" si="741"/>
        <v>Bonis SpA</v>
      </c>
    </row>
    <row r="1126" spans="2:58" x14ac:dyDescent="0.25">
      <c r="B1126" s="1">
        <v>2479</v>
      </c>
      <c r="C1126" s="1" t="str">
        <f t="shared" si="755"/>
        <v>MARCS4137S7/C1A</v>
      </c>
      <c r="E1126" s="1" t="str">
        <f>"40"</f>
        <v>40</v>
      </c>
      <c r="F1126" s="1" t="str">
        <f t="shared" si="730"/>
        <v>BONIS SPA</v>
      </c>
      <c r="G1126" s="1" t="str">
        <f t="shared" si="716"/>
        <v>STOCK SCAFFALE MP</v>
      </c>
      <c r="H1126" s="1" t="str">
        <f t="shared" si="756"/>
        <v>BLK</v>
      </c>
      <c r="K1126" s="1">
        <v>2</v>
      </c>
      <c r="L1126" s="1" t="str">
        <f t="shared" si="731"/>
        <v>01</v>
      </c>
      <c r="M1126" s="1" t="str">
        <f t="shared" si="717"/>
        <v>408</v>
      </c>
      <c r="N1126" s="1" t="str">
        <f t="shared" si="757"/>
        <v>008</v>
      </c>
      <c r="O1126" s="1" t="str">
        <f t="shared" si="732"/>
        <v>00</v>
      </c>
      <c r="P1126" s="1" t="str">
        <f t="shared" si="733"/>
        <v>S</v>
      </c>
      <c r="Q1126" s="1" t="str">
        <f t="shared" si="734"/>
        <v>P</v>
      </c>
      <c r="R1126" s="1" t="str">
        <f t="shared" si="735"/>
        <v>01</v>
      </c>
      <c r="S1126" s="1" t="str">
        <f t="shared" si="718"/>
        <v>04</v>
      </c>
      <c r="T1126" s="1" t="str">
        <f t="shared" si="736"/>
        <v>False</v>
      </c>
      <c r="U1126" s="1" t="str">
        <f t="shared" si="737"/>
        <v>True</v>
      </c>
      <c r="V1126" s="1" t="str">
        <f>"U0033264"</f>
        <v>U0033264</v>
      </c>
      <c r="W1126" s="1">
        <v>1</v>
      </c>
      <c r="Y1126" s="1">
        <v>0</v>
      </c>
      <c r="Z1126" s="1">
        <v>0</v>
      </c>
      <c r="AB1126" s="1" t="str">
        <f t="shared" si="720"/>
        <v>SMU</v>
      </c>
      <c r="AI1126" s="1" t="str">
        <f t="shared" si="758"/>
        <v>106</v>
      </c>
      <c r="AJ1126" s="1" t="str">
        <f t="shared" si="759"/>
        <v>MAN</v>
      </c>
      <c r="AK1126" s="1" t="str">
        <f t="shared" si="738"/>
        <v>PA</v>
      </c>
      <c r="AP1126" s="1" t="str">
        <f t="shared" si="739"/>
        <v>False</v>
      </c>
      <c r="AR1126" s="1" t="str">
        <f t="shared" si="760"/>
        <v>MARCS</v>
      </c>
      <c r="AY1126" s="1" t="str">
        <f t="shared" si="740"/>
        <v>PF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 t="str">
        <f t="shared" si="761"/>
        <v>RCS GOMMA TWILL CANVAS+PU LEAT</v>
      </c>
      <c r="BF1126" s="1" t="str">
        <f t="shared" si="741"/>
        <v>Bonis SpA</v>
      </c>
    </row>
    <row r="1127" spans="2:58" x14ac:dyDescent="0.25">
      <c r="B1127" s="1">
        <v>2479</v>
      </c>
      <c r="C1127" s="1" t="str">
        <f t="shared" si="755"/>
        <v>MARCS4137S7/C1A</v>
      </c>
      <c r="E1127" s="1" t="str">
        <f>"42"</f>
        <v>42</v>
      </c>
      <c r="F1127" s="1" t="str">
        <f t="shared" si="730"/>
        <v>BONIS SPA</v>
      </c>
      <c r="G1127" s="1" t="str">
        <f t="shared" si="716"/>
        <v>STOCK SCAFFALE MP</v>
      </c>
      <c r="H1127" s="1" t="str">
        <f t="shared" si="756"/>
        <v>BLK</v>
      </c>
      <c r="K1127" s="1">
        <v>3</v>
      </c>
      <c r="L1127" s="1" t="str">
        <f t="shared" si="731"/>
        <v>01</v>
      </c>
      <c r="M1127" s="1" t="str">
        <f t="shared" si="717"/>
        <v>408</v>
      </c>
      <c r="N1127" s="1" t="str">
        <f t="shared" si="757"/>
        <v>008</v>
      </c>
      <c r="O1127" s="1" t="str">
        <f t="shared" si="732"/>
        <v>00</v>
      </c>
      <c r="P1127" s="1" t="str">
        <f t="shared" si="733"/>
        <v>S</v>
      </c>
      <c r="Q1127" s="1" t="str">
        <f t="shared" si="734"/>
        <v>P</v>
      </c>
      <c r="R1127" s="1" t="str">
        <f t="shared" si="735"/>
        <v>01</v>
      </c>
      <c r="S1127" s="1" t="str">
        <f t="shared" si="718"/>
        <v>04</v>
      </c>
      <c r="T1127" s="1" t="str">
        <f t="shared" si="736"/>
        <v>False</v>
      </c>
      <c r="U1127" s="1" t="str">
        <f t="shared" si="737"/>
        <v>True</v>
      </c>
      <c r="V1127" s="1" t="str">
        <f>"U0033264"</f>
        <v>U0033264</v>
      </c>
      <c r="W1127" s="1">
        <v>1</v>
      </c>
      <c r="Y1127" s="1">
        <v>0</v>
      </c>
      <c r="Z1127" s="1">
        <v>0</v>
      </c>
      <c r="AB1127" s="1" t="str">
        <f t="shared" si="720"/>
        <v>SMU</v>
      </c>
      <c r="AI1127" s="1" t="str">
        <f t="shared" si="758"/>
        <v>106</v>
      </c>
      <c r="AJ1127" s="1" t="str">
        <f t="shared" si="759"/>
        <v>MAN</v>
      </c>
      <c r="AK1127" s="1" t="str">
        <f t="shared" si="738"/>
        <v>PA</v>
      </c>
      <c r="AP1127" s="1" t="str">
        <f t="shared" si="739"/>
        <v>False</v>
      </c>
      <c r="AR1127" s="1" t="str">
        <f t="shared" si="760"/>
        <v>MARCS</v>
      </c>
      <c r="AY1127" s="1" t="str">
        <f t="shared" si="740"/>
        <v>PF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 t="str">
        <f t="shared" si="761"/>
        <v>RCS GOMMA TWILL CANVAS+PU LEAT</v>
      </c>
      <c r="BF1127" s="1" t="str">
        <f t="shared" si="741"/>
        <v>Bonis SpA</v>
      </c>
    </row>
    <row r="1128" spans="2:58" x14ac:dyDescent="0.25">
      <c r="B1128" s="1">
        <v>2479</v>
      </c>
      <c r="C1128" s="1" t="str">
        <f t="shared" si="755"/>
        <v>MARCS4137S7/C1A</v>
      </c>
      <c r="E1128" s="1" t="str">
        <f>"44"</f>
        <v>44</v>
      </c>
      <c r="F1128" s="1" t="str">
        <f t="shared" si="730"/>
        <v>BONIS SPA</v>
      </c>
      <c r="G1128" s="1" t="str">
        <f t="shared" si="716"/>
        <v>STOCK SCAFFALE MP</v>
      </c>
      <c r="H1128" s="1" t="str">
        <f t="shared" si="756"/>
        <v>BLK</v>
      </c>
      <c r="K1128" s="1">
        <v>2</v>
      </c>
      <c r="L1128" s="1" t="str">
        <f t="shared" si="731"/>
        <v>01</v>
      </c>
      <c r="M1128" s="1" t="str">
        <f t="shared" si="717"/>
        <v>408</v>
      </c>
      <c r="N1128" s="1" t="str">
        <f t="shared" si="757"/>
        <v>008</v>
      </c>
      <c r="O1128" s="1" t="str">
        <f t="shared" si="732"/>
        <v>00</v>
      </c>
      <c r="P1128" s="1" t="str">
        <f t="shared" si="733"/>
        <v>S</v>
      </c>
      <c r="Q1128" s="1" t="str">
        <f t="shared" si="734"/>
        <v>P</v>
      </c>
      <c r="R1128" s="1" t="str">
        <f t="shared" si="735"/>
        <v>01</v>
      </c>
      <c r="S1128" s="1" t="str">
        <f t="shared" si="718"/>
        <v>04</v>
      </c>
      <c r="T1128" s="1" t="str">
        <f t="shared" si="736"/>
        <v>False</v>
      </c>
      <c r="U1128" s="1" t="str">
        <f t="shared" si="737"/>
        <v>True</v>
      </c>
      <c r="V1128" s="1" t="str">
        <f>"U0033264"</f>
        <v>U0033264</v>
      </c>
      <c r="W1128" s="1">
        <v>1</v>
      </c>
      <c r="Y1128" s="1">
        <v>0</v>
      </c>
      <c r="Z1128" s="1">
        <v>0</v>
      </c>
      <c r="AB1128" s="1" t="str">
        <f t="shared" si="720"/>
        <v>SMU</v>
      </c>
      <c r="AI1128" s="1" t="str">
        <f t="shared" si="758"/>
        <v>106</v>
      </c>
      <c r="AJ1128" s="1" t="str">
        <f t="shared" si="759"/>
        <v>MAN</v>
      </c>
      <c r="AK1128" s="1" t="str">
        <f t="shared" si="738"/>
        <v>PA</v>
      </c>
      <c r="AP1128" s="1" t="str">
        <f t="shared" si="739"/>
        <v>False</v>
      </c>
      <c r="AR1128" s="1" t="str">
        <f t="shared" si="760"/>
        <v>MARCS</v>
      </c>
      <c r="AY1128" s="1" t="str">
        <f t="shared" si="740"/>
        <v>PF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 t="str">
        <f t="shared" si="761"/>
        <v>RCS GOMMA TWILL CANVAS+PU LEAT</v>
      </c>
      <c r="BF1128" s="1" t="str">
        <f t="shared" si="741"/>
        <v>Bonis SpA</v>
      </c>
    </row>
    <row r="1129" spans="2:58" x14ac:dyDescent="0.25">
      <c r="B1129" s="1">
        <v>2479</v>
      </c>
      <c r="C1129" s="1" t="str">
        <f t="shared" si="755"/>
        <v>MARCS4137S7/C1A</v>
      </c>
      <c r="E1129" s="1" t="str">
        <f>"44"</f>
        <v>44</v>
      </c>
      <c r="F1129" s="1" t="str">
        <f t="shared" si="730"/>
        <v>BONIS SPA</v>
      </c>
      <c r="G1129" s="1" t="str">
        <f t="shared" si="716"/>
        <v>STOCK SCAFFALE MP</v>
      </c>
      <c r="H1129" s="1" t="str">
        <f t="shared" si="756"/>
        <v>BLK</v>
      </c>
      <c r="K1129" s="1">
        <v>4</v>
      </c>
      <c r="L1129" s="1" t="str">
        <f t="shared" si="731"/>
        <v>01</v>
      </c>
      <c r="M1129" s="1" t="str">
        <f t="shared" si="717"/>
        <v>408</v>
      </c>
      <c r="N1129" s="1" t="str">
        <f t="shared" si="757"/>
        <v>008</v>
      </c>
      <c r="O1129" s="1" t="str">
        <f t="shared" si="732"/>
        <v>00</v>
      </c>
      <c r="P1129" s="1" t="str">
        <f t="shared" si="733"/>
        <v>S</v>
      </c>
      <c r="Q1129" s="1" t="str">
        <f t="shared" si="734"/>
        <v>P</v>
      </c>
      <c r="R1129" s="1" t="str">
        <f t="shared" si="735"/>
        <v>01</v>
      </c>
      <c r="S1129" s="1" t="str">
        <f t="shared" si="718"/>
        <v>04</v>
      </c>
      <c r="T1129" s="1" t="str">
        <f t="shared" si="736"/>
        <v>False</v>
      </c>
      <c r="U1129" s="1" t="str">
        <f t="shared" si="737"/>
        <v>True</v>
      </c>
      <c r="V1129" s="1" t="str">
        <f>"U0033263"</f>
        <v>U0033263</v>
      </c>
      <c r="W1129" s="1">
        <v>1</v>
      </c>
      <c r="Y1129" s="1">
        <v>0</v>
      </c>
      <c r="Z1129" s="1">
        <v>0</v>
      </c>
      <c r="AB1129" s="1" t="str">
        <f t="shared" si="720"/>
        <v>SMU</v>
      </c>
      <c r="AI1129" s="1" t="str">
        <f t="shared" si="758"/>
        <v>106</v>
      </c>
      <c r="AJ1129" s="1" t="str">
        <f t="shared" si="759"/>
        <v>MAN</v>
      </c>
      <c r="AK1129" s="1" t="str">
        <f t="shared" si="738"/>
        <v>PA</v>
      </c>
      <c r="AP1129" s="1" t="str">
        <f t="shared" si="739"/>
        <v>False</v>
      </c>
      <c r="AR1129" s="1" t="str">
        <f t="shared" si="760"/>
        <v>MARCS</v>
      </c>
      <c r="AY1129" s="1" t="str">
        <f t="shared" si="740"/>
        <v>PF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 t="str">
        <f t="shared" si="761"/>
        <v>RCS GOMMA TWILL CANVAS+PU LEAT</v>
      </c>
      <c r="BF1129" s="1" t="str">
        <f t="shared" si="741"/>
        <v>Bonis SpA</v>
      </c>
    </row>
    <row r="1130" spans="2:58" x14ac:dyDescent="0.25">
      <c r="B1130" s="1">
        <v>2479</v>
      </c>
      <c r="C1130" s="1" t="str">
        <f t="shared" si="755"/>
        <v>MARCS4137S7/C1A</v>
      </c>
      <c r="E1130" s="1" t="str">
        <f>"40"</f>
        <v>40</v>
      </c>
      <c r="F1130" s="1" t="str">
        <f t="shared" si="730"/>
        <v>BONIS SPA</v>
      </c>
      <c r="G1130" s="1" t="str">
        <f t="shared" si="716"/>
        <v>STOCK SCAFFALE MP</v>
      </c>
      <c r="H1130" s="1" t="str">
        <f t="shared" si="756"/>
        <v>BLK</v>
      </c>
      <c r="K1130" s="1">
        <v>2</v>
      </c>
      <c r="L1130" s="1" t="str">
        <f t="shared" si="731"/>
        <v>01</v>
      </c>
      <c r="M1130" s="1" t="str">
        <f t="shared" si="717"/>
        <v>408</v>
      </c>
      <c r="N1130" s="1" t="str">
        <f t="shared" si="757"/>
        <v>008</v>
      </c>
      <c r="O1130" s="1" t="str">
        <f t="shared" si="732"/>
        <v>00</v>
      </c>
      <c r="P1130" s="1" t="str">
        <f t="shared" si="733"/>
        <v>S</v>
      </c>
      <c r="Q1130" s="1" t="str">
        <f t="shared" si="734"/>
        <v>P</v>
      </c>
      <c r="R1130" s="1" t="str">
        <f t="shared" si="735"/>
        <v>01</v>
      </c>
      <c r="S1130" s="1" t="str">
        <f t="shared" si="718"/>
        <v>04</v>
      </c>
      <c r="T1130" s="1" t="str">
        <f t="shared" si="736"/>
        <v>False</v>
      </c>
      <c r="U1130" s="1" t="str">
        <f t="shared" si="737"/>
        <v>True</v>
      </c>
      <c r="V1130" s="1" t="str">
        <f>"U0033263"</f>
        <v>U0033263</v>
      </c>
      <c r="W1130" s="1">
        <v>1</v>
      </c>
      <c r="Y1130" s="1">
        <v>0</v>
      </c>
      <c r="Z1130" s="1">
        <v>0</v>
      </c>
      <c r="AB1130" s="1" t="str">
        <f t="shared" si="720"/>
        <v>SMU</v>
      </c>
      <c r="AI1130" s="1" t="str">
        <f t="shared" si="758"/>
        <v>106</v>
      </c>
      <c r="AJ1130" s="1" t="str">
        <f t="shared" si="759"/>
        <v>MAN</v>
      </c>
      <c r="AK1130" s="1" t="str">
        <f t="shared" si="738"/>
        <v>PA</v>
      </c>
      <c r="AP1130" s="1" t="str">
        <f t="shared" si="739"/>
        <v>False</v>
      </c>
      <c r="AR1130" s="1" t="str">
        <f t="shared" si="760"/>
        <v>MARCS</v>
      </c>
      <c r="AY1130" s="1" t="str">
        <f t="shared" si="740"/>
        <v>PF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 t="str">
        <f t="shared" si="761"/>
        <v>RCS GOMMA TWILL CANVAS+PU LEAT</v>
      </c>
      <c r="BF1130" s="1" t="str">
        <f t="shared" si="741"/>
        <v>Bonis SpA</v>
      </c>
    </row>
    <row r="1131" spans="2:58" x14ac:dyDescent="0.25">
      <c r="B1131" s="1">
        <v>2479</v>
      </c>
      <c r="C1131" s="1" t="str">
        <f t="shared" si="755"/>
        <v>MARCS4137S7/C1A</v>
      </c>
      <c r="E1131" s="1" t="str">
        <f>"42"</f>
        <v>42</v>
      </c>
      <c r="F1131" s="1" t="str">
        <f t="shared" si="730"/>
        <v>BONIS SPA</v>
      </c>
      <c r="G1131" s="1" t="str">
        <f t="shared" si="716"/>
        <v>STOCK SCAFFALE MP</v>
      </c>
      <c r="H1131" s="1" t="str">
        <f t="shared" si="756"/>
        <v>BLK</v>
      </c>
      <c r="K1131" s="1">
        <v>5</v>
      </c>
      <c r="L1131" s="1" t="str">
        <f t="shared" si="731"/>
        <v>01</v>
      </c>
      <c r="M1131" s="1" t="str">
        <f t="shared" si="717"/>
        <v>408</v>
      </c>
      <c r="N1131" s="1" t="str">
        <f t="shared" si="757"/>
        <v>008</v>
      </c>
      <c r="O1131" s="1" t="str">
        <f t="shared" si="732"/>
        <v>00</v>
      </c>
      <c r="P1131" s="1" t="str">
        <f t="shared" si="733"/>
        <v>S</v>
      </c>
      <c r="Q1131" s="1" t="str">
        <f t="shared" si="734"/>
        <v>P</v>
      </c>
      <c r="R1131" s="1" t="str">
        <f t="shared" si="735"/>
        <v>01</v>
      </c>
      <c r="S1131" s="1" t="str">
        <f t="shared" si="718"/>
        <v>04</v>
      </c>
      <c r="T1131" s="1" t="str">
        <f t="shared" si="736"/>
        <v>False</v>
      </c>
      <c r="U1131" s="1" t="str">
        <f t="shared" si="737"/>
        <v>True</v>
      </c>
      <c r="V1131" s="1" t="str">
        <f>"U0033263"</f>
        <v>U0033263</v>
      </c>
      <c r="W1131" s="1">
        <v>1</v>
      </c>
      <c r="Y1131" s="1">
        <v>0</v>
      </c>
      <c r="Z1131" s="1">
        <v>0</v>
      </c>
      <c r="AB1131" s="1" t="str">
        <f t="shared" si="720"/>
        <v>SMU</v>
      </c>
      <c r="AI1131" s="1" t="str">
        <f t="shared" si="758"/>
        <v>106</v>
      </c>
      <c r="AJ1131" s="1" t="str">
        <f t="shared" si="759"/>
        <v>MAN</v>
      </c>
      <c r="AK1131" s="1" t="str">
        <f t="shared" si="738"/>
        <v>PA</v>
      </c>
      <c r="AP1131" s="1" t="str">
        <f t="shared" si="739"/>
        <v>False</v>
      </c>
      <c r="AR1131" s="1" t="str">
        <f t="shared" si="760"/>
        <v>MARCS</v>
      </c>
      <c r="AY1131" s="1" t="str">
        <f t="shared" si="740"/>
        <v>PF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 t="str">
        <f t="shared" si="761"/>
        <v>RCS GOMMA TWILL CANVAS+PU LEAT</v>
      </c>
      <c r="BF1131" s="1" t="str">
        <f t="shared" si="741"/>
        <v>Bonis SpA</v>
      </c>
    </row>
    <row r="1132" spans="2:58" x14ac:dyDescent="0.25">
      <c r="B1132" s="1">
        <v>2479</v>
      </c>
      <c r="C1132" s="1" t="str">
        <f t="shared" si="755"/>
        <v>MARCS4137S7/C1A</v>
      </c>
      <c r="E1132" s="1" t="str">
        <f>"41"</f>
        <v>41</v>
      </c>
      <c r="F1132" s="1" t="str">
        <f t="shared" si="730"/>
        <v>BONIS SPA</v>
      </c>
      <c r="G1132" s="1" t="str">
        <f t="shared" si="716"/>
        <v>STOCK SCAFFALE MP</v>
      </c>
      <c r="H1132" s="1" t="str">
        <f t="shared" si="756"/>
        <v>BLK</v>
      </c>
      <c r="K1132" s="1">
        <v>1</v>
      </c>
      <c r="L1132" s="1" t="str">
        <f t="shared" si="731"/>
        <v>01</v>
      </c>
      <c r="M1132" s="1" t="str">
        <f t="shared" si="717"/>
        <v>408</v>
      </c>
      <c r="N1132" s="1" t="str">
        <f t="shared" si="757"/>
        <v>008</v>
      </c>
      <c r="O1132" s="1" t="str">
        <f t="shared" si="732"/>
        <v>00</v>
      </c>
      <c r="P1132" s="1" t="str">
        <f t="shared" si="733"/>
        <v>S</v>
      </c>
      <c r="Q1132" s="1" t="str">
        <f t="shared" si="734"/>
        <v>P</v>
      </c>
      <c r="R1132" s="1" t="str">
        <f t="shared" si="735"/>
        <v>01</v>
      </c>
      <c r="S1132" s="1" t="str">
        <f t="shared" si="718"/>
        <v>04</v>
      </c>
      <c r="T1132" s="1" t="str">
        <f t="shared" si="736"/>
        <v>False</v>
      </c>
      <c r="U1132" s="1" t="str">
        <f t="shared" si="737"/>
        <v>True</v>
      </c>
      <c r="V1132" s="1" t="str">
        <f>"U0033263"</f>
        <v>U0033263</v>
      </c>
      <c r="W1132" s="1">
        <v>1</v>
      </c>
      <c r="Y1132" s="1">
        <v>0</v>
      </c>
      <c r="Z1132" s="1">
        <v>0</v>
      </c>
      <c r="AB1132" s="1" t="str">
        <f t="shared" si="720"/>
        <v>SMU</v>
      </c>
      <c r="AI1132" s="1" t="str">
        <f t="shared" si="758"/>
        <v>106</v>
      </c>
      <c r="AJ1132" s="1" t="str">
        <f t="shared" si="759"/>
        <v>MAN</v>
      </c>
      <c r="AK1132" s="1" t="str">
        <f t="shared" si="738"/>
        <v>PA</v>
      </c>
      <c r="AP1132" s="1" t="str">
        <f t="shared" si="739"/>
        <v>False</v>
      </c>
      <c r="AR1132" s="1" t="str">
        <f t="shared" si="760"/>
        <v>MARCS</v>
      </c>
      <c r="AY1132" s="1" t="str">
        <f t="shared" si="740"/>
        <v>PF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 t="str">
        <f t="shared" si="761"/>
        <v>RCS GOMMA TWILL CANVAS+PU LEAT</v>
      </c>
      <c r="BF1132" s="1" t="str">
        <f t="shared" si="741"/>
        <v>Bonis SpA</v>
      </c>
    </row>
    <row r="1133" spans="2:58" x14ac:dyDescent="0.25">
      <c r="B1133" s="1">
        <v>2479</v>
      </c>
      <c r="C1133" s="1" t="str">
        <f t="shared" si="755"/>
        <v>MARCS4137S7/C1A</v>
      </c>
      <c r="E1133" s="1" t="str">
        <f>"44"</f>
        <v>44</v>
      </c>
      <c r="F1133" s="1" t="str">
        <f t="shared" si="730"/>
        <v>BONIS SPA</v>
      </c>
      <c r="G1133" s="1" t="str">
        <f t="shared" si="716"/>
        <v>STOCK SCAFFALE MP</v>
      </c>
      <c r="H1133" s="1" t="str">
        <f t="shared" si="756"/>
        <v>BLK</v>
      </c>
      <c r="K1133" s="1">
        <v>4</v>
      </c>
      <c r="L1133" s="1" t="str">
        <f t="shared" si="731"/>
        <v>01</v>
      </c>
      <c r="M1133" s="1" t="str">
        <f t="shared" si="717"/>
        <v>408</v>
      </c>
      <c r="N1133" s="1" t="str">
        <f t="shared" si="757"/>
        <v>008</v>
      </c>
      <c r="O1133" s="1" t="str">
        <f t="shared" si="732"/>
        <v>00</v>
      </c>
      <c r="P1133" s="1" t="str">
        <f t="shared" si="733"/>
        <v>S</v>
      </c>
      <c r="Q1133" s="1" t="str">
        <f t="shared" si="734"/>
        <v>P</v>
      </c>
      <c r="R1133" s="1" t="str">
        <f t="shared" si="735"/>
        <v>01</v>
      </c>
      <c r="S1133" s="1" t="str">
        <f t="shared" si="718"/>
        <v>04</v>
      </c>
      <c r="T1133" s="1" t="str">
        <f t="shared" si="736"/>
        <v>False</v>
      </c>
      <c r="U1133" s="1" t="str">
        <f t="shared" si="737"/>
        <v>True</v>
      </c>
      <c r="V1133" s="1" t="str">
        <f>"U0033262"</f>
        <v>U0033262</v>
      </c>
      <c r="W1133" s="1">
        <v>1</v>
      </c>
      <c r="Y1133" s="1">
        <v>0</v>
      </c>
      <c r="Z1133" s="1">
        <v>0</v>
      </c>
      <c r="AB1133" s="1" t="str">
        <f t="shared" si="720"/>
        <v>SMU</v>
      </c>
      <c r="AI1133" s="1" t="str">
        <f t="shared" si="758"/>
        <v>106</v>
      </c>
      <c r="AJ1133" s="1" t="str">
        <f t="shared" si="759"/>
        <v>MAN</v>
      </c>
      <c r="AK1133" s="1" t="str">
        <f t="shared" si="738"/>
        <v>PA</v>
      </c>
      <c r="AP1133" s="1" t="str">
        <f t="shared" si="739"/>
        <v>False</v>
      </c>
      <c r="AR1133" s="1" t="str">
        <f t="shared" si="760"/>
        <v>MARCS</v>
      </c>
      <c r="AY1133" s="1" t="str">
        <f t="shared" si="740"/>
        <v>PF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 t="str">
        <f t="shared" si="761"/>
        <v>RCS GOMMA TWILL CANVAS+PU LEAT</v>
      </c>
      <c r="BF1133" s="1" t="str">
        <f t="shared" si="741"/>
        <v>Bonis SpA</v>
      </c>
    </row>
    <row r="1134" spans="2:58" x14ac:dyDescent="0.25">
      <c r="B1134" s="1">
        <v>2479</v>
      </c>
      <c r="C1134" s="1" t="str">
        <f t="shared" si="755"/>
        <v>MARCS4137S7/C1A</v>
      </c>
      <c r="E1134" s="1" t="str">
        <f>"40"</f>
        <v>40</v>
      </c>
      <c r="F1134" s="1" t="str">
        <f t="shared" si="730"/>
        <v>BONIS SPA</v>
      </c>
      <c r="G1134" s="1" t="str">
        <f t="shared" si="716"/>
        <v>STOCK SCAFFALE MP</v>
      </c>
      <c r="H1134" s="1" t="str">
        <f t="shared" si="756"/>
        <v>BLK</v>
      </c>
      <c r="K1134" s="1">
        <v>1</v>
      </c>
      <c r="L1134" s="1" t="str">
        <f t="shared" si="731"/>
        <v>01</v>
      </c>
      <c r="M1134" s="1" t="str">
        <f t="shared" si="717"/>
        <v>408</v>
      </c>
      <c r="N1134" s="1" t="str">
        <f t="shared" si="757"/>
        <v>008</v>
      </c>
      <c r="O1134" s="1" t="str">
        <f t="shared" si="732"/>
        <v>00</v>
      </c>
      <c r="P1134" s="1" t="str">
        <f t="shared" si="733"/>
        <v>S</v>
      </c>
      <c r="Q1134" s="1" t="str">
        <f t="shared" si="734"/>
        <v>P</v>
      </c>
      <c r="R1134" s="1" t="str">
        <f t="shared" si="735"/>
        <v>01</v>
      </c>
      <c r="S1134" s="1" t="str">
        <f t="shared" si="718"/>
        <v>04</v>
      </c>
      <c r="T1134" s="1" t="str">
        <f t="shared" si="736"/>
        <v>False</v>
      </c>
      <c r="U1134" s="1" t="str">
        <f t="shared" si="737"/>
        <v>True</v>
      </c>
      <c r="V1134" s="1" t="str">
        <f>"U0033262"</f>
        <v>U0033262</v>
      </c>
      <c r="W1134" s="1">
        <v>1</v>
      </c>
      <c r="Y1134" s="1">
        <v>0</v>
      </c>
      <c r="Z1134" s="1">
        <v>0</v>
      </c>
      <c r="AB1134" s="1" t="str">
        <f t="shared" si="720"/>
        <v>SMU</v>
      </c>
      <c r="AI1134" s="1" t="str">
        <f t="shared" si="758"/>
        <v>106</v>
      </c>
      <c r="AJ1134" s="1" t="str">
        <f t="shared" si="759"/>
        <v>MAN</v>
      </c>
      <c r="AK1134" s="1" t="str">
        <f t="shared" si="738"/>
        <v>PA</v>
      </c>
      <c r="AP1134" s="1" t="str">
        <f t="shared" si="739"/>
        <v>False</v>
      </c>
      <c r="AR1134" s="1" t="str">
        <f t="shared" si="760"/>
        <v>MARCS</v>
      </c>
      <c r="AY1134" s="1" t="str">
        <f t="shared" si="740"/>
        <v>PF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 t="str">
        <f t="shared" si="761"/>
        <v>RCS GOMMA TWILL CANVAS+PU LEAT</v>
      </c>
      <c r="BF1134" s="1" t="str">
        <f t="shared" si="741"/>
        <v>Bonis SpA</v>
      </c>
    </row>
    <row r="1135" spans="2:58" x14ac:dyDescent="0.25">
      <c r="B1135" s="1">
        <v>2479</v>
      </c>
      <c r="C1135" s="1" t="str">
        <f t="shared" si="755"/>
        <v>MARCS4137S7/C1A</v>
      </c>
      <c r="E1135" s="1" t="str">
        <f>"42"</f>
        <v>42</v>
      </c>
      <c r="F1135" s="1" t="str">
        <f t="shared" si="730"/>
        <v>BONIS SPA</v>
      </c>
      <c r="G1135" s="1" t="str">
        <f t="shared" si="716"/>
        <v>STOCK SCAFFALE MP</v>
      </c>
      <c r="H1135" s="1" t="str">
        <f t="shared" si="756"/>
        <v>BLK</v>
      </c>
      <c r="K1135" s="1">
        <v>4</v>
      </c>
      <c r="L1135" s="1" t="str">
        <f t="shared" si="731"/>
        <v>01</v>
      </c>
      <c r="M1135" s="1" t="str">
        <f t="shared" si="717"/>
        <v>408</v>
      </c>
      <c r="N1135" s="1" t="str">
        <f t="shared" si="757"/>
        <v>008</v>
      </c>
      <c r="O1135" s="1" t="str">
        <f t="shared" si="732"/>
        <v>00</v>
      </c>
      <c r="P1135" s="1" t="str">
        <f t="shared" si="733"/>
        <v>S</v>
      </c>
      <c r="Q1135" s="1" t="str">
        <f t="shared" si="734"/>
        <v>P</v>
      </c>
      <c r="R1135" s="1" t="str">
        <f t="shared" si="735"/>
        <v>01</v>
      </c>
      <c r="S1135" s="1" t="str">
        <f t="shared" si="718"/>
        <v>04</v>
      </c>
      <c r="T1135" s="1" t="str">
        <f t="shared" si="736"/>
        <v>False</v>
      </c>
      <c r="U1135" s="1" t="str">
        <f t="shared" si="737"/>
        <v>True</v>
      </c>
      <c r="V1135" s="1" t="str">
        <f>"U0033262"</f>
        <v>U0033262</v>
      </c>
      <c r="W1135" s="1">
        <v>1</v>
      </c>
      <c r="Y1135" s="1">
        <v>0</v>
      </c>
      <c r="Z1135" s="1">
        <v>0</v>
      </c>
      <c r="AB1135" s="1" t="str">
        <f t="shared" si="720"/>
        <v>SMU</v>
      </c>
      <c r="AI1135" s="1" t="str">
        <f t="shared" si="758"/>
        <v>106</v>
      </c>
      <c r="AJ1135" s="1" t="str">
        <f t="shared" si="759"/>
        <v>MAN</v>
      </c>
      <c r="AK1135" s="1" t="str">
        <f t="shared" si="738"/>
        <v>PA</v>
      </c>
      <c r="AP1135" s="1" t="str">
        <f t="shared" si="739"/>
        <v>False</v>
      </c>
      <c r="AR1135" s="1" t="str">
        <f t="shared" si="760"/>
        <v>MARCS</v>
      </c>
      <c r="AY1135" s="1" t="str">
        <f t="shared" si="740"/>
        <v>PF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 t="str">
        <f t="shared" si="761"/>
        <v>RCS GOMMA TWILL CANVAS+PU LEAT</v>
      </c>
      <c r="BF1135" s="1" t="str">
        <f t="shared" si="741"/>
        <v>Bonis SpA</v>
      </c>
    </row>
    <row r="1136" spans="2:58" x14ac:dyDescent="0.25">
      <c r="B1136" s="1">
        <v>2479</v>
      </c>
      <c r="C1136" s="1" t="str">
        <f t="shared" si="755"/>
        <v>MARCS4137S7/C1A</v>
      </c>
      <c r="E1136" s="1" t="str">
        <f>"41"</f>
        <v>41</v>
      </c>
      <c r="F1136" s="1" t="str">
        <f t="shared" si="730"/>
        <v>BONIS SPA</v>
      </c>
      <c r="G1136" s="1" t="str">
        <f t="shared" ref="G1136:G1199" si="762">"STOCK SCAFFALE MP"</f>
        <v>STOCK SCAFFALE MP</v>
      </c>
      <c r="H1136" s="1" t="str">
        <f t="shared" si="756"/>
        <v>BLK</v>
      </c>
      <c r="K1136" s="1">
        <v>3</v>
      </c>
      <c r="L1136" s="1" t="str">
        <f t="shared" si="731"/>
        <v>01</v>
      </c>
      <c r="M1136" s="1" t="str">
        <f t="shared" ref="M1136:M1199" si="763">"408"</f>
        <v>408</v>
      </c>
      <c r="N1136" s="1" t="str">
        <f t="shared" si="757"/>
        <v>008</v>
      </c>
      <c r="O1136" s="1" t="str">
        <f t="shared" si="732"/>
        <v>00</v>
      </c>
      <c r="P1136" s="1" t="str">
        <f t="shared" si="733"/>
        <v>S</v>
      </c>
      <c r="Q1136" s="1" t="str">
        <f t="shared" si="734"/>
        <v>P</v>
      </c>
      <c r="R1136" s="1" t="str">
        <f t="shared" si="735"/>
        <v>01</v>
      </c>
      <c r="S1136" s="1" t="str">
        <f t="shared" ref="S1136:S1199" si="764">"04"</f>
        <v>04</v>
      </c>
      <c r="T1136" s="1" t="str">
        <f t="shared" si="736"/>
        <v>False</v>
      </c>
      <c r="U1136" s="1" t="str">
        <f t="shared" si="737"/>
        <v>True</v>
      </c>
      <c r="V1136" s="1" t="str">
        <f>"U0033262"</f>
        <v>U0033262</v>
      </c>
      <c r="W1136" s="1">
        <v>1</v>
      </c>
      <c r="Y1136" s="1">
        <v>0</v>
      </c>
      <c r="Z1136" s="1">
        <v>0</v>
      </c>
      <c r="AB1136" s="1" t="str">
        <f t="shared" si="720"/>
        <v>SMU</v>
      </c>
      <c r="AI1136" s="1" t="str">
        <f t="shared" si="758"/>
        <v>106</v>
      </c>
      <c r="AJ1136" s="1" t="str">
        <f t="shared" si="759"/>
        <v>MAN</v>
      </c>
      <c r="AK1136" s="1" t="str">
        <f t="shared" si="738"/>
        <v>PA</v>
      </c>
      <c r="AP1136" s="1" t="str">
        <f t="shared" si="739"/>
        <v>False</v>
      </c>
      <c r="AR1136" s="1" t="str">
        <f t="shared" si="760"/>
        <v>MARCS</v>
      </c>
      <c r="AY1136" s="1" t="str">
        <f t="shared" si="740"/>
        <v>PF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 t="str">
        <f t="shared" si="761"/>
        <v>RCS GOMMA TWILL CANVAS+PU LEAT</v>
      </c>
      <c r="BF1136" s="1" t="str">
        <f t="shared" si="741"/>
        <v>Bonis SpA</v>
      </c>
    </row>
    <row r="1137" spans="2:58" x14ac:dyDescent="0.25">
      <c r="B1137" s="1">
        <v>2479</v>
      </c>
      <c r="C1137" s="1" t="str">
        <f t="shared" si="755"/>
        <v>MARCS4137S7/C1A</v>
      </c>
      <c r="E1137" s="1" t="str">
        <f>"43"</f>
        <v>43</v>
      </c>
      <c r="F1137" s="1" t="str">
        <f t="shared" si="730"/>
        <v>BONIS SPA</v>
      </c>
      <c r="G1137" s="1" t="str">
        <f t="shared" si="762"/>
        <v>STOCK SCAFFALE MP</v>
      </c>
      <c r="H1137" s="1" t="str">
        <f t="shared" si="756"/>
        <v>BLK</v>
      </c>
      <c r="K1137" s="1">
        <v>3</v>
      </c>
      <c r="L1137" s="1" t="str">
        <f t="shared" si="731"/>
        <v>01</v>
      </c>
      <c r="M1137" s="1" t="str">
        <f t="shared" si="763"/>
        <v>408</v>
      </c>
      <c r="N1137" s="1" t="str">
        <f t="shared" si="757"/>
        <v>008</v>
      </c>
      <c r="O1137" s="1" t="str">
        <f t="shared" si="732"/>
        <v>00</v>
      </c>
      <c r="P1137" s="1" t="str">
        <f t="shared" si="733"/>
        <v>S</v>
      </c>
      <c r="Q1137" s="1" t="str">
        <f t="shared" si="734"/>
        <v>P</v>
      </c>
      <c r="R1137" s="1" t="str">
        <f t="shared" si="735"/>
        <v>01</v>
      </c>
      <c r="S1137" s="1" t="str">
        <f t="shared" si="764"/>
        <v>04</v>
      </c>
      <c r="T1137" s="1" t="str">
        <f t="shared" si="736"/>
        <v>False</v>
      </c>
      <c r="U1137" s="1" t="str">
        <f t="shared" si="737"/>
        <v>True</v>
      </c>
      <c r="V1137" s="1" t="str">
        <f>"U0033261"</f>
        <v>U0033261</v>
      </c>
      <c r="W1137" s="1">
        <v>1</v>
      </c>
      <c r="Y1137" s="1">
        <v>0</v>
      </c>
      <c r="Z1137" s="1">
        <v>0</v>
      </c>
      <c r="AB1137" s="1" t="str">
        <f t="shared" si="720"/>
        <v>SMU</v>
      </c>
      <c r="AI1137" s="1" t="str">
        <f t="shared" si="758"/>
        <v>106</v>
      </c>
      <c r="AJ1137" s="1" t="str">
        <f t="shared" si="759"/>
        <v>MAN</v>
      </c>
      <c r="AK1137" s="1" t="str">
        <f t="shared" si="738"/>
        <v>PA</v>
      </c>
      <c r="AP1137" s="1" t="str">
        <f t="shared" si="739"/>
        <v>False</v>
      </c>
      <c r="AR1137" s="1" t="str">
        <f t="shared" si="760"/>
        <v>MARCS</v>
      </c>
      <c r="AY1137" s="1" t="str">
        <f t="shared" si="740"/>
        <v>PF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 t="str">
        <f t="shared" si="761"/>
        <v>RCS GOMMA TWILL CANVAS+PU LEAT</v>
      </c>
      <c r="BF1137" s="1" t="str">
        <f t="shared" si="741"/>
        <v>Bonis SpA</v>
      </c>
    </row>
    <row r="1138" spans="2:58" x14ac:dyDescent="0.25">
      <c r="B1138" s="1">
        <v>2479</v>
      </c>
      <c r="C1138" s="1" t="str">
        <f t="shared" si="755"/>
        <v>MARCS4137S7/C1A</v>
      </c>
      <c r="E1138" s="1" t="str">
        <f>"40"</f>
        <v>40</v>
      </c>
      <c r="F1138" s="1" t="str">
        <f t="shared" si="730"/>
        <v>BONIS SPA</v>
      </c>
      <c r="G1138" s="1" t="str">
        <f t="shared" si="762"/>
        <v>STOCK SCAFFALE MP</v>
      </c>
      <c r="H1138" s="1" t="str">
        <f t="shared" si="756"/>
        <v>BLK</v>
      </c>
      <c r="K1138" s="1">
        <v>2</v>
      </c>
      <c r="L1138" s="1" t="str">
        <f t="shared" si="731"/>
        <v>01</v>
      </c>
      <c r="M1138" s="1" t="str">
        <f t="shared" si="763"/>
        <v>408</v>
      </c>
      <c r="N1138" s="1" t="str">
        <f t="shared" si="757"/>
        <v>008</v>
      </c>
      <c r="O1138" s="1" t="str">
        <f t="shared" si="732"/>
        <v>00</v>
      </c>
      <c r="P1138" s="1" t="str">
        <f t="shared" si="733"/>
        <v>S</v>
      </c>
      <c r="Q1138" s="1" t="str">
        <f t="shared" si="734"/>
        <v>P</v>
      </c>
      <c r="R1138" s="1" t="str">
        <f t="shared" si="735"/>
        <v>01</v>
      </c>
      <c r="S1138" s="1" t="str">
        <f t="shared" si="764"/>
        <v>04</v>
      </c>
      <c r="T1138" s="1" t="str">
        <f t="shared" si="736"/>
        <v>False</v>
      </c>
      <c r="U1138" s="1" t="str">
        <f t="shared" si="737"/>
        <v>True</v>
      </c>
      <c r="V1138" s="1" t="str">
        <f>"U0033261"</f>
        <v>U0033261</v>
      </c>
      <c r="W1138" s="1">
        <v>1</v>
      </c>
      <c r="Y1138" s="1">
        <v>0</v>
      </c>
      <c r="Z1138" s="1">
        <v>0</v>
      </c>
      <c r="AB1138" s="1" t="str">
        <f t="shared" si="720"/>
        <v>SMU</v>
      </c>
      <c r="AI1138" s="1" t="str">
        <f t="shared" si="758"/>
        <v>106</v>
      </c>
      <c r="AJ1138" s="1" t="str">
        <f t="shared" si="759"/>
        <v>MAN</v>
      </c>
      <c r="AK1138" s="1" t="str">
        <f t="shared" si="738"/>
        <v>PA</v>
      </c>
      <c r="AP1138" s="1" t="str">
        <f t="shared" si="739"/>
        <v>False</v>
      </c>
      <c r="AR1138" s="1" t="str">
        <f t="shared" si="760"/>
        <v>MARCS</v>
      </c>
      <c r="AY1138" s="1" t="str">
        <f t="shared" si="740"/>
        <v>PF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 t="str">
        <f t="shared" si="761"/>
        <v>RCS GOMMA TWILL CANVAS+PU LEAT</v>
      </c>
      <c r="BF1138" s="1" t="str">
        <f t="shared" si="741"/>
        <v>Bonis SpA</v>
      </c>
    </row>
    <row r="1139" spans="2:58" x14ac:dyDescent="0.25">
      <c r="B1139" s="1">
        <v>2479</v>
      </c>
      <c r="C1139" s="1" t="str">
        <f t="shared" si="755"/>
        <v>MARCS4137S7/C1A</v>
      </c>
      <c r="E1139" s="1" t="str">
        <f>"41"</f>
        <v>41</v>
      </c>
      <c r="F1139" s="1" t="str">
        <f t="shared" si="730"/>
        <v>BONIS SPA</v>
      </c>
      <c r="G1139" s="1" t="str">
        <f t="shared" si="762"/>
        <v>STOCK SCAFFALE MP</v>
      </c>
      <c r="H1139" s="1" t="str">
        <f t="shared" si="756"/>
        <v>BLK</v>
      </c>
      <c r="K1139" s="1">
        <v>2</v>
      </c>
      <c r="L1139" s="1" t="str">
        <f t="shared" si="731"/>
        <v>01</v>
      </c>
      <c r="M1139" s="1" t="str">
        <f t="shared" si="763"/>
        <v>408</v>
      </c>
      <c r="N1139" s="1" t="str">
        <f t="shared" si="757"/>
        <v>008</v>
      </c>
      <c r="O1139" s="1" t="str">
        <f t="shared" si="732"/>
        <v>00</v>
      </c>
      <c r="P1139" s="1" t="str">
        <f t="shared" si="733"/>
        <v>S</v>
      </c>
      <c r="Q1139" s="1" t="str">
        <f t="shared" si="734"/>
        <v>P</v>
      </c>
      <c r="R1139" s="1" t="str">
        <f t="shared" si="735"/>
        <v>01</v>
      </c>
      <c r="S1139" s="1" t="str">
        <f t="shared" si="764"/>
        <v>04</v>
      </c>
      <c r="T1139" s="1" t="str">
        <f t="shared" si="736"/>
        <v>False</v>
      </c>
      <c r="U1139" s="1" t="str">
        <f t="shared" si="737"/>
        <v>True</v>
      </c>
      <c r="V1139" s="1" t="str">
        <f>"U0033261"</f>
        <v>U0033261</v>
      </c>
      <c r="W1139" s="1">
        <v>1</v>
      </c>
      <c r="Y1139" s="1">
        <v>0</v>
      </c>
      <c r="Z1139" s="1">
        <v>0</v>
      </c>
      <c r="AB1139" s="1" t="str">
        <f t="shared" si="720"/>
        <v>SMU</v>
      </c>
      <c r="AI1139" s="1" t="str">
        <f t="shared" si="758"/>
        <v>106</v>
      </c>
      <c r="AJ1139" s="1" t="str">
        <f t="shared" si="759"/>
        <v>MAN</v>
      </c>
      <c r="AK1139" s="1" t="str">
        <f t="shared" si="738"/>
        <v>PA</v>
      </c>
      <c r="AP1139" s="1" t="str">
        <f t="shared" si="739"/>
        <v>False</v>
      </c>
      <c r="AR1139" s="1" t="str">
        <f t="shared" si="760"/>
        <v>MARCS</v>
      </c>
      <c r="AY1139" s="1" t="str">
        <f t="shared" si="740"/>
        <v>PF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 t="str">
        <f t="shared" si="761"/>
        <v>RCS GOMMA TWILL CANVAS+PU LEAT</v>
      </c>
      <c r="BF1139" s="1" t="str">
        <f t="shared" si="741"/>
        <v>Bonis SpA</v>
      </c>
    </row>
    <row r="1140" spans="2:58" x14ac:dyDescent="0.25">
      <c r="B1140" s="1">
        <v>2479</v>
      </c>
      <c r="C1140" s="1" t="str">
        <f t="shared" si="755"/>
        <v>MARCS4137S7/C1A</v>
      </c>
      <c r="E1140" s="1" t="str">
        <f>"44"</f>
        <v>44</v>
      </c>
      <c r="F1140" s="1" t="str">
        <f t="shared" si="730"/>
        <v>BONIS SPA</v>
      </c>
      <c r="G1140" s="1" t="str">
        <f t="shared" si="762"/>
        <v>STOCK SCAFFALE MP</v>
      </c>
      <c r="H1140" s="1" t="str">
        <f t="shared" si="756"/>
        <v>BLK</v>
      </c>
      <c r="K1140" s="1">
        <v>2</v>
      </c>
      <c r="L1140" s="1" t="str">
        <f t="shared" si="731"/>
        <v>01</v>
      </c>
      <c r="M1140" s="1" t="str">
        <f t="shared" si="763"/>
        <v>408</v>
      </c>
      <c r="N1140" s="1" t="str">
        <f t="shared" si="757"/>
        <v>008</v>
      </c>
      <c r="O1140" s="1" t="str">
        <f t="shared" si="732"/>
        <v>00</v>
      </c>
      <c r="P1140" s="1" t="str">
        <f t="shared" si="733"/>
        <v>S</v>
      </c>
      <c r="Q1140" s="1" t="str">
        <f t="shared" si="734"/>
        <v>P</v>
      </c>
      <c r="R1140" s="1" t="str">
        <f t="shared" si="735"/>
        <v>01</v>
      </c>
      <c r="S1140" s="1" t="str">
        <f t="shared" si="764"/>
        <v>04</v>
      </c>
      <c r="T1140" s="1" t="str">
        <f t="shared" si="736"/>
        <v>False</v>
      </c>
      <c r="U1140" s="1" t="str">
        <f t="shared" si="737"/>
        <v>True</v>
      </c>
      <c r="V1140" s="1" t="str">
        <f>"U0033261"</f>
        <v>U0033261</v>
      </c>
      <c r="W1140" s="1">
        <v>1</v>
      </c>
      <c r="Y1140" s="1">
        <v>0</v>
      </c>
      <c r="Z1140" s="1">
        <v>0</v>
      </c>
      <c r="AB1140" s="1" t="str">
        <f t="shared" si="720"/>
        <v>SMU</v>
      </c>
      <c r="AI1140" s="1" t="str">
        <f t="shared" si="758"/>
        <v>106</v>
      </c>
      <c r="AJ1140" s="1" t="str">
        <f t="shared" si="759"/>
        <v>MAN</v>
      </c>
      <c r="AK1140" s="1" t="str">
        <f t="shared" si="738"/>
        <v>PA</v>
      </c>
      <c r="AP1140" s="1" t="str">
        <f t="shared" si="739"/>
        <v>False</v>
      </c>
      <c r="AR1140" s="1" t="str">
        <f t="shared" si="760"/>
        <v>MARCS</v>
      </c>
      <c r="AY1140" s="1" t="str">
        <f t="shared" si="740"/>
        <v>PF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 t="str">
        <f t="shared" si="761"/>
        <v>RCS GOMMA TWILL CANVAS+PU LEAT</v>
      </c>
      <c r="BF1140" s="1" t="str">
        <f t="shared" si="741"/>
        <v>Bonis SpA</v>
      </c>
    </row>
    <row r="1141" spans="2:58" x14ac:dyDescent="0.25">
      <c r="B1141" s="1">
        <v>2479</v>
      </c>
      <c r="C1141" s="1" t="str">
        <f t="shared" si="755"/>
        <v>MARCS4137S7/C1A</v>
      </c>
      <c r="E1141" s="1" t="str">
        <f>"42"</f>
        <v>42</v>
      </c>
      <c r="F1141" s="1" t="str">
        <f t="shared" si="730"/>
        <v>BONIS SPA</v>
      </c>
      <c r="G1141" s="1" t="str">
        <f t="shared" si="762"/>
        <v>STOCK SCAFFALE MP</v>
      </c>
      <c r="H1141" s="1" t="str">
        <f t="shared" si="756"/>
        <v>BLK</v>
      </c>
      <c r="K1141" s="1">
        <v>3</v>
      </c>
      <c r="L1141" s="1" t="str">
        <f t="shared" si="731"/>
        <v>01</v>
      </c>
      <c r="M1141" s="1" t="str">
        <f t="shared" si="763"/>
        <v>408</v>
      </c>
      <c r="N1141" s="1" t="str">
        <f t="shared" si="757"/>
        <v>008</v>
      </c>
      <c r="O1141" s="1" t="str">
        <f t="shared" si="732"/>
        <v>00</v>
      </c>
      <c r="P1141" s="1" t="str">
        <f t="shared" si="733"/>
        <v>S</v>
      </c>
      <c r="Q1141" s="1" t="str">
        <f t="shared" si="734"/>
        <v>P</v>
      </c>
      <c r="R1141" s="1" t="str">
        <f t="shared" si="735"/>
        <v>01</v>
      </c>
      <c r="S1141" s="1" t="str">
        <f t="shared" si="764"/>
        <v>04</v>
      </c>
      <c r="T1141" s="1" t="str">
        <f t="shared" si="736"/>
        <v>False</v>
      </c>
      <c r="U1141" s="1" t="str">
        <f t="shared" si="737"/>
        <v>True</v>
      </c>
      <c r="V1141" s="1" t="str">
        <f>"U0033261"</f>
        <v>U0033261</v>
      </c>
      <c r="W1141" s="1">
        <v>1</v>
      </c>
      <c r="Y1141" s="1">
        <v>0</v>
      </c>
      <c r="Z1141" s="1">
        <v>0</v>
      </c>
      <c r="AB1141" s="1" t="str">
        <f t="shared" ref="AB1141:AB1202" si="765">"SMU"</f>
        <v>SMU</v>
      </c>
      <c r="AI1141" s="1" t="str">
        <f t="shared" si="758"/>
        <v>106</v>
      </c>
      <c r="AJ1141" s="1" t="str">
        <f t="shared" si="759"/>
        <v>MAN</v>
      </c>
      <c r="AK1141" s="1" t="str">
        <f t="shared" si="738"/>
        <v>PA</v>
      </c>
      <c r="AP1141" s="1" t="str">
        <f t="shared" si="739"/>
        <v>False</v>
      </c>
      <c r="AR1141" s="1" t="str">
        <f t="shared" si="760"/>
        <v>MARCS</v>
      </c>
      <c r="AY1141" s="1" t="str">
        <f t="shared" si="740"/>
        <v>PF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 t="str">
        <f t="shared" si="761"/>
        <v>RCS GOMMA TWILL CANVAS+PU LEAT</v>
      </c>
      <c r="BF1141" s="1" t="str">
        <f t="shared" si="741"/>
        <v>Bonis SpA</v>
      </c>
    </row>
    <row r="1142" spans="2:58" x14ac:dyDescent="0.25">
      <c r="B1142" s="1">
        <v>2479</v>
      </c>
      <c r="C1142" s="1" t="str">
        <f t="shared" si="755"/>
        <v>MARCS4137S7/C1A</v>
      </c>
      <c r="E1142" s="1" t="str">
        <f>"42"</f>
        <v>42</v>
      </c>
      <c r="F1142" s="1" t="str">
        <f t="shared" si="730"/>
        <v>BONIS SPA</v>
      </c>
      <c r="G1142" s="1" t="str">
        <f t="shared" si="762"/>
        <v>STOCK SCAFFALE MP</v>
      </c>
      <c r="H1142" s="1" t="str">
        <f t="shared" si="756"/>
        <v>BLK</v>
      </c>
      <c r="K1142" s="1">
        <v>6</v>
      </c>
      <c r="L1142" s="1" t="str">
        <f t="shared" si="731"/>
        <v>01</v>
      </c>
      <c r="M1142" s="1" t="str">
        <f t="shared" si="763"/>
        <v>408</v>
      </c>
      <c r="N1142" s="1" t="str">
        <f t="shared" si="757"/>
        <v>008</v>
      </c>
      <c r="O1142" s="1" t="str">
        <f t="shared" si="732"/>
        <v>00</v>
      </c>
      <c r="P1142" s="1" t="str">
        <f t="shared" si="733"/>
        <v>S</v>
      </c>
      <c r="Q1142" s="1" t="str">
        <f t="shared" si="734"/>
        <v>P</v>
      </c>
      <c r="R1142" s="1" t="str">
        <f t="shared" si="735"/>
        <v>01</v>
      </c>
      <c r="S1142" s="1" t="str">
        <f t="shared" si="764"/>
        <v>04</v>
      </c>
      <c r="T1142" s="1" t="str">
        <f t="shared" si="736"/>
        <v>False</v>
      </c>
      <c r="U1142" s="1" t="str">
        <f t="shared" si="737"/>
        <v>True</v>
      </c>
      <c r="V1142" s="1" t="str">
        <f>"U0033260"</f>
        <v>U0033260</v>
      </c>
      <c r="W1142" s="1">
        <v>1</v>
      </c>
      <c r="Y1142" s="1">
        <v>0</v>
      </c>
      <c r="Z1142" s="1">
        <v>0</v>
      </c>
      <c r="AB1142" s="1" t="str">
        <f t="shared" si="765"/>
        <v>SMU</v>
      </c>
      <c r="AI1142" s="1" t="str">
        <f t="shared" si="758"/>
        <v>106</v>
      </c>
      <c r="AJ1142" s="1" t="str">
        <f t="shared" si="759"/>
        <v>MAN</v>
      </c>
      <c r="AK1142" s="1" t="str">
        <f t="shared" si="738"/>
        <v>PA</v>
      </c>
      <c r="AP1142" s="1" t="str">
        <f t="shared" si="739"/>
        <v>False</v>
      </c>
      <c r="AR1142" s="1" t="str">
        <f t="shared" si="760"/>
        <v>MARCS</v>
      </c>
      <c r="AY1142" s="1" t="str">
        <f t="shared" si="740"/>
        <v>PF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 t="str">
        <f t="shared" si="761"/>
        <v>RCS GOMMA TWILL CANVAS+PU LEAT</v>
      </c>
      <c r="BF1142" s="1" t="str">
        <f t="shared" si="741"/>
        <v>Bonis SpA</v>
      </c>
    </row>
    <row r="1143" spans="2:58" x14ac:dyDescent="0.25">
      <c r="B1143" s="1">
        <v>2479</v>
      </c>
      <c r="C1143" s="1" t="str">
        <f t="shared" si="755"/>
        <v>MARCS4137S7/C1A</v>
      </c>
      <c r="E1143" s="1" t="str">
        <f>"44"</f>
        <v>44</v>
      </c>
      <c r="F1143" s="1" t="str">
        <f t="shared" si="730"/>
        <v>BONIS SPA</v>
      </c>
      <c r="G1143" s="1" t="str">
        <f t="shared" si="762"/>
        <v>STOCK SCAFFALE MP</v>
      </c>
      <c r="H1143" s="1" t="str">
        <f t="shared" si="756"/>
        <v>BLK</v>
      </c>
      <c r="K1143" s="1">
        <v>3</v>
      </c>
      <c r="L1143" s="1" t="str">
        <f t="shared" si="731"/>
        <v>01</v>
      </c>
      <c r="M1143" s="1" t="str">
        <f t="shared" si="763"/>
        <v>408</v>
      </c>
      <c r="N1143" s="1" t="str">
        <f t="shared" si="757"/>
        <v>008</v>
      </c>
      <c r="O1143" s="1" t="str">
        <f t="shared" si="732"/>
        <v>00</v>
      </c>
      <c r="P1143" s="1" t="str">
        <f t="shared" si="733"/>
        <v>S</v>
      </c>
      <c r="Q1143" s="1" t="str">
        <f t="shared" si="734"/>
        <v>P</v>
      </c>
      <c r="R1143" s="1" t="str">
        <f t="shared" si="735"/>
        <v>01</v>
      </c>
      <c r="S1143" s="1" t="str">
        <f t="shared" si="764"/>
        <v>04</v>
      </c>
      <c r="T1143" s="1" t="str">
        <f t="shared" si="736"/>
        <v>False</v>
      </c>
      <c r="U1143" s="1" t="str">
        <f t="shared" si="737"/>
        <v>True</v>
      </c>
      <c r="V1143" s="1" t="str">
        <f>"U0033260"</f>
        <v>U0033260</v>
      </c>
      <c r="W1143" s="1">
        <v>1</v>
      </c>
      <c r="Y1143" s="1">
        <v>0</v>
      </c>
      <c r="Z1143" s="1">
        <v>0</v>
      </c>
      <c r="AB1143" s="1" t="str">
        <f t="shared" si="765"/>
        <v>SMU</v>
      </c>
      <c r="AI1143" s="1" t="str">
        <f t="shared" si="758"/>
        <v>106</v>
      </c>
      <c r="AJ1143" s="1" t="str">
        <f t="shared" si="759"/>
        <v>MAN</v>
      </c>
      <c r="AK1143" s="1" t="str">
        <f t="shared" si="738"/>
        <v>PA</v>
      </c>
      <c r="AP1143" s="1" t="str">
        <f t="shared" si="739"/>
        <v>False</v>
      </c>
      <c r="AR1143" s="1" t="str">
        <f t="shared" si="760"/>
        <v>MARCS</v>
      </c>
      <c r="AY1143" s="1" t="str">
        <f t="shared" si="740"/>
        <v>PF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 t="str">
        <f t="shared" si="761"/>
        <v>RCS GOMMA TWILL CANVAS+PU LEAT</v>
      </c>
      <c r="BF1143" s="1" t="str">
        <f t="shared" si="741"/>
        <v>Bonis SpA</v>
      </c>
    </row>
    <row r="1144" spans="2:58" x14ac:dyDescent="0.25">
      <c r="B1144" s="1">
        <v>2479</v>
      </c>
      <c r="C1144" s="1" t="str">
        <f t="shared" si="755"/>
        <v>MARCS4137S7/C1A</v>
      </c>
      <c r="E1144" s="1" t="str">
        <f>"40"</f>
        <v>40</v>
      </c>
      <c r="F1144" s="1" t="str">
        <f t="shared" si="730"/>
        <v>BONIS SPA</v>
      </c>
      <c r="G1144" s="1" t="str">
        <f t="shared" si="762"/>
        <v>STOCK SCAFFALE MP</v>
      </c>
      <c r="H1144" s="1" t="str">
        <f t="shared" si="756"/>
        <v>BLK</v>
      </c>
      <c r="K1144" s="1">
        <v>1</v>
      </c>
      <c r="L1144" s="1" t="str">
        <f t="shared" si="731"/>
        <v>01</v>
      </c>
      <c r="M1144" s="1" t="str">
        <f t="shared" si="763"/>
        <v>408</v>
      </c>
      <c r="N1144" s="1" t="str">
        <f t="shared" si="757"/>
        <v>008</v>
      </c>
      <c r="O1144" s="1" t="str">
        <f t="shared" si="732"/>
        <v>00</v>
      </c>
      <c r="P1144" s="1" t="str">
        <f t="shared" si="733"/>
        <v>S</v>
      </c>
      <c r="Q1144" s="1" t="str">
        <f t="shared" si="734"/>
        <v>P</v>
      </c>
      <c r="R1144" s="1" t="str">
        <f t="shared" si="735"/>
        <v>01</v>
      </c>
      <c r="S1144" s="1" t="str">
        <f t="shared" si="764"/>
        <v>04</v>
      </c>
      <c r="T1144" s="1" t="str">
        <f t="shared" si="736"/>
        <v>False</v>
      </c>
      <c r="U1144" s="1" t="str">
        <f t="shared" si="737"/>
        <v>True</v>
      </c>
      <c r="V1144" s="1" t="str">
        <f>"U0033260"</f>
        <v>U0033260</v>
      </c>
      <c r="W1144" s="1">
        <v>1</v>
      </c>
      <c r="Y1144" s="1">
        <v>0</v>
      </c>
      <c r="Z1144" s="1">
        <v>0</v>
      </c>
      <c r="AB1144" s="1" t="str">
        <f t="shared" si="765"/>
        <v>SMU</v>
      </c>
      <c r="AI1144" s="1" t="str">
        <f t="shared" si="758"/>
        <v>106</v>
      </c>
      <c r="AJ1144" s="1" t="str">
        <f t="shared" si="759"/>
        <v>MAN</v>
      </c>
      <c r="AK1144" s="1" t="str">
        <f t="shared" si="738"/>
        <v>PA</v>
      </c>
      <c r="AP1144" s="1" t="str">
        <f t="shared" si="739"/>
        <v>False</v>
      </c>
      <c r="AR1144" s="1" t="str">
        <f t="shared" si="760"/>
        <v>MARCS</v>
      </c>
      <c r="AY1144" s="1" t="str">
        <f t="shared" si="740"/>
        <v>PF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 t="str">
        <f t="shared" si="761"/>
        <v>RCS GOMMA TWILL CANVAS+PU LEAT</v>
      </c>
      <c r="BF1144" s="1" t="str">
        <f t="shared" si="741"/>
        <v>Bonis SpA</v>
      </c>
    </row>
    <row r="1145" spans="2:58" x14ac:dyDescent="0.25">
      <c r="B1145" s="1">
        <v>2479</v>
      </c>
      <c r="C1145" s="1" t="str">
        <f t="shared" si="755"/>
        <v>MARCS4137S7/C1A</v>
      </c>
      <c r="E1145" s="1" t="str">
        <f>"41"</f>
        <v>41</v>
      </c>
      <c r="F1145" s="1" t="str">
        <f t="shared" si="730"/>
        <v>BONIS SPA</v>
      </c>
      <c r="G1145" s="1" t="str">
        <f t="shared" si="762"/>
        <v>STOCK SCAFFALE MP</v>
      </c>
      <c r="H1145" s="1" t="str">
        <f t="shared" si="756"/>
        <v>BLK</v>
      </c>
      <c r="K1145" s="1">
        <v>2</v>
      </c>
      <c r="L1145" s="1" t="str">
        <f t="shared" si="731"/>
        <v>01</v>
      </c>
      <c r="M1145" s="1" t="str">
        <f t="shared" si="763"/>
        <v>408</v>
      </c>
      <c r="N1145" s="1" t="str">
        <f t="shared" si="757"/>
        <v>008</v>
      </c>
      <c r="O1145" s="1" t="str">
        <f t="shared" si="732"/>
        <v>00</v>
      </c>
      <c r="P1145" s="1" t="str">
        <f t="shared" si="733"/>
        <v>S</v>
      </c>
      <c r="Q1145" s="1" t="str">
        <f t="shared" si="734"/>
        <v>P</v>
      </c>
      <c r="R1145" s="1" t="str">
        <f t="shared" si="735"/>
        <v>01</v>
      </c>
      <c r="S1145" s="1" t="str">
        <f t="shared" si="764"/>
        <v>04</v>
      </c>
      <c r="T1145" s="1" t="str">
        <f t="shared" si="736"/>
        <v>False</v>
      </c>
      <c r="U1145" s="1" t="str">
        <f t="shared" si="737"/>
        <v>True</v>
      </c>
      <c r="V1145" s="1" t="str">
        <f>"U0033260"</f>
        <v>U0033260</v>
      </c>
      <c r="W1145" s="1">
        <v>1</v>
      </c>
      <c r="Y1145" s="1">
        <v>0</v>
      </c>
      <c r="Z1145" s="1">
        <v>0</v>
      </c>
      <c r="AB1145" s="1" t="str">
        <f t="shared" si="765"/>
        <v>SMU</v>
      </c>
      <c r="AI1145" s="1" t="str">
        <f t="shared" si="758"/>
        <v>106</v>
      </c>
      <c r="AJ1145" s="1" t="str">
        <f t="shared" si="759"/>
        <v>MAN</v>
      </c>
      <c r="AK1145" s="1" t="str">
        <f t="shared" si="738"/>
        <v>PA</v>
      </c>
      <c r="AP1145" s="1" t="str">
        <f t="shared" si="739"/>
        <v>False</v>
      </c>
      <c r="AR1145" s="1" t="str">
        <f t="shared" si="760"/>
        <v>MARCS</v>
      </c>
      <c r="AY1145" s="1" t="str">
        <f t="shared" si="740"/>
        <v>PF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 t="str">
        <f t="shared" si="761"/>
        <v>RCS GOMMA TWILL CANVAS+PU LEAT</v>
      </c>
      <c r="BF1145" s="1" t="str">
        <f t="shared" si="741"/>
        <v>Bonis SpA</v>
      </c>
    </row>
    <row r="1146" spans="2:58" x14ac:dyDescent="0.25">
      <c r="B1146" s="1">
        <v>2479</v>
      </c>
      <c r="C1146" s="1" t="str">
        <f t="shared" si="755"/>
        <v>MARCS4137S7/C1A</v>
      </c>
      <c r="E1146" s="1" t="str">
        <f>"41"</f>
        <v>41</v>
      </c>
      <c r="F1146" s="1" t="str">
        <f t="shared" si="730"/>
        <v>BONIS SPA</v>
      </c>
      <c r="G1146" s="1" t="str">
        <f t="shared" si="762"/>
        <v>STOCK SCAFFALE MP</v>
      </c>
      <c r="H1146" s="1" t="str">
        <f t="shared" si="756"/>
        <v>BLK</v>
      </c>
      <c r="K1146" s="1">
        <v>3</v>
      </c>
      <c r="L1146" s="1" t="str">
        <f t="shared" si="731"/>
        <v>01</v>
      </c>
      <c r="M1146" s="1" t="str">
        <f t="shared" si="763"/>
        <v>408</v>
      </c>
      <c r="N1146" s="1" t="str">
        <f t="shared" si="757"/>
        <v>008</v>
      </c>
      <c r="O1146" s="1" t="str">
        <f t="shared" si="732"/>
        <v>00</v>
      </c>
      <c r="P1146" s="1" t="str">
        <f t="shared" si="733"/>
        <v>S</v>
      </c>
      <c r="Q1146" s="1" t="str">
        <f t="shared" si="734"/>
        <v>P</v>
      </c>
      <c r="R1146" s="1" t="str">
        <f t="shared" si="735"/>
        <v>01</v>
      </c>
      <c r="S1146" s="1" t="str">
        <f t="shared" si="764"/>
        <v>04</v>
      </c>
      <c r="T1146" s="1" t="str">
        <f t="shared" si="736"/>
        <v>False</v>
      </c>
      <c r="U1146" s="1" t="str">
        <f t="shared" si="737"/>
        <v>True</v>
      </c>
      <c r="V1146" s="1" t="str">
        <f>"U0033259"</f>
        <v>U0033259</v>
      </c>
      <c r="W1146" s="1">
        <v>1</v>
      </c>
      <c r="Y1146" s="1">
        <v>0</v>
      </c>
      <c r="Z1146" s="1">
        <v>0</v>
      </c>
      <c r="AB1146" s="1" t="str">
        <f t="shared" si="765"/>
        <v>SMU</v>
      </c>
      <c r="AI1146" s="1" t="str">
        <f t="shared" si="758"/>
        <v>106</v>
      </c>
      <c r="AJ1146" s="1" t="str">
        <f t="shared" si="759"/>
        <v>MAN</v>
      </c>
      <c r="AK1146" s="1" t="str">
        <f t="shared" si="738"/>
        <v>PA</v>
      </c>
      <c r="AP1146" s="1" t="str">
        <f t="shared" si="739"/>
        <v>False</v>
      </c>
      <c r="AR1146" s="1" t="str">
        <f t="shared" si="760"/>
        <v>MARCS</v>
      </c>
      <c r="AY1146" s="1" t="str">
        <f t="shared" si="740"/>
        <v>PF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 t="str">
        <f t="shared" si="761"/>
        <v>RCS GOMMA TWILL CANVAS+PU LEAT</v>
      </c>
      <c r="BF1146" s="1" t="str">
        <f t="shared" si="741"/>
        <v>Bonis SpA</v>
      </c>
    </row>
    <row r="1147" spans="2:58" x14ac:dyDescent="0.25">
      <c r="B1147" s="1">
        <v>2479</v>
      </c>
      <c r="C1147" s="1" t="str">
        <f t="shared" si="755"/>
        <v>MARCS4137S7/C1A</v>
      </c>
      <c r="E1147" s="1" t="str">
        <f>"44"</f>
        <v>44</v>
      </c>
      <c r="F1147" s="1" t="str">
        <f t="shared" si="730"/>
        <v>BONIS SPA</v>
      </c>
      <c r="G1147" s="1" t="str">
        <f t="shared" si="762"/>
        <v>STOCK SCAFFALE MP</v>
      </c>
      <c r="H1147" s="1" t="str">
        <f t="shared" si="756"/>
        <v>BLK</v>
      </c>
      <c r="K1147" s="1">
        <v>3</v>
      </c>
      <c r="L1147" s="1" t="str">
        <f t="shared" si="731"/>
        <v>01</v>
      </c>
      <c r="M1147" s="1" t="str">
        <f t="shared" si="763"/>
        <v>408</v>
      </c>
      <c r="N1147" s="1" t="str">
        <f t="shared" si="757"/>
        <v>008</v>
      </c>
      <c r="O1147" s="1" t="str">
        <f t="shared" si="732"/>
        <v>00</v>
      </c>
      <c r="P1147" s="1" t="str">
        <f t="shared" si="733"/>
        <v>S</v>
      </c>
      <c r="Q1147" s="1" t="str">
        <f t="shared" si="734"/>
        <v>P</v>
      </c>
      <c r="R1147" s="1" t="str">
        <f t="shared" si="735"/>
        <v>01</v>
      </c>
      <c r="S1147" s="1" t="str">
        <f t="shared" si="764"/>
        <v>04</v>
      </c>
      <c r="T1147" s="1" t="str">
        <f t="shared" si="736"/>
        <v>False</v>
      </c>
      <c r="U1147" s="1" t="str">
        <f t="shared" si="737"/>
        <v>True</v>
      </c>
      <c r="V1147" s="1" t="str">
        <f>"U0033259"</f>
        <v>U0033259</v>
      </c>
      <c r="W1147" s="1">
        <v>1</v>
      </c>
      <c r="Y1147" s="1">
        <v>0</v>
      </c>
      <c r="Z1147" s="1">
        <v>0</v>
      </c>
      <c r="AB1147" s="1" t="str">
        <f t="shared" si="765"/>
        <v>SMU</v>
      </c>
      <c r="AI1147" s="1" t="str">
        <f t="shared" si="758"/>
        <v>106</v>
      </c>
      <c r="AJ1147" s="1" t="str">
        <f t="shared" si="759"/>
        <v>MAN</v>
      </c>
      <c r="AK1147" s="1" t="str">
        <f t="shared" si="738"/>
        <v>PA</v>
      </c>
      <c r="AP1147" s="1" t="str">
        <f t="shared" si="739"/>
        <v>False</v>
      </c>
      <c r="AR1147" s="1" t="str">
        <f t="shared" si="760"/>
        <v>MARCS</v>
      </c>
      <c r="AY1147" s="1" t="str">
        <f t="shared" si="740"/>
        <v>PF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 t="str">
        <f t="shared" si="761"/>
        <v>RCS GOMMA TWILL CANVAS+PU LEAT</v>
      </c>
      <c r="BF1147" s="1" t="str">
        <f t="shared" si="741"/>
        <v>Bonis SpA</v>
      </c>
    </row>
    <row r="1148" spans="2:58" x14ac:dyDescent="0.25">
      <c r="B1148" s="1">
        <v>2479</v>
      </c>
      <c r="C1148" s="1" t="str">
        <f t="shared" si="755"/>
        <v>MARCS4137S7/C1A</v>
      </c>
      <c r="E1148" s="1" t="str">
        <f>"42"</f>
        <v>42</v>
      </c>
      <c r="F1148" s="1" t="str">
        <f t="shared" si="730"/>
        <v>BONIS SPA</v>
      </c>
      <c r="G1148" s="1" t="str">
        <f t="shared" si="762"/>
        <v>STOCK SCAFFALE MP</v>
      </c>
      <c r="H1148" s="1" t="str">
        <f t="shared" si="756"/>
        <v>BLK</v>
      </c>
      <c r="K1148" s="1">
        <v>3</v>
      </c>
      <c r="L1148" s="1" t="str">
        <f t="shared" si="731"/>
        <v>01</v>
      </c>
      <c r="M1148" s="1" t="str">
        <f t="shared" si="763"/>
        <v>408</v>
      </c>
      <c r="N1148" s="1" t="str">
        <f t="shared" si="757"/>
        <v>008</v>
      </c>
      <c r="O1148" s="1" t="str">
        <f t="shared" si="732"/>
        <v>00</v>
      </c>
      <c r="P1148" s="1" t="str">
        <f t="shared" si="733"/>
        <v>S</v>
      </c>
      <c r="Q1148" s="1" t="str">
        <f t="shared" si="734"/>
        <v>P</v>
      </c>
      <c r="R1148" s="1" t="str">
        <f t="shared" si="735"/>
        <v>01</v>
      </c>
      <c r="S1148" s="1" t="str">
        <f t="shared" si="764"/>
        <v>04</v>
      </c>
      <c r="T1148" s="1" t="str">
        <f t="shared" si="736"/>
        <v>False</v>
      </c>
      <c r="U1148" s="1" t="str">
        <f t="shared" si="737"/>
        <v>True</v>
      </c>
      <c r="V1148" s="1" t="str">
        <f>"U0033259"</f>
        <v>U0033259</v>
      </c>
      <c r="W1148" s="1">
        <v>1</v>
      </c>
      <c r="Y1148" s="1">
        <v>0</v>
      </c>
      <c r="Z1148" s="1">
        <v>0</v>
      </c>
      <c r="AB1148" s="1" t="str">
        <f t="shared" si="765"/>
        <v>SMU</v>
      </c>
      <c r="AI1148" s="1" t="str">
        <f t="shared" si="758"/>
        <v>106</v>
      </c>
      <c r="AJ1148" s="1" t="str">
        <f t="shared" si="759"/>
        <v>MAN</v>
      </c>
      <c r="AK1148" s="1" t="str">
        <f t="shared" si="738"/>
        <v>PA</v>
      </c>
      <c r="AP1148" s="1" t="str">
        <f t="shared" si="739"/>
        <v>False</v>
      </c>
      <c r="AR1148" s="1" t="str">
        <f t="shared" si="760"/>
        <v>MARCS</v>
      </c>
      <c r="AY1148" s="1" t="str">
        <f t="shared" si="740"/>
        <v>PF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 t="str">
        <f t="shared" si="761"/>
        <v>RCS GOMMA TWILL CANVAS+PU LEAT</v>
      </c>
      <c r="BF1148" s="1" t="str">
        <f t="shared" si="741"/>
        <v>Bonis SpA</v>
      </c>
    </row>
    <row r="1149" spans="2:58" x14ac:dyDescent="0.25">
      <c r="B1149" s="1">
        <v>2479</v>
      </c>
      <c r="C1149" s="1" t="str">
        <f t="shared" si="755"/>
        <v>MARCS4137S7/C1A</v>
      </c>
      <c r="E1149" s="1" t="str">
        <f>"40"</f>
        <v>40</v>
      </c>
      <c r="F1149" s="1" t="str">
        <f t="shared" si="730"/>
        <v>BONIS SPA</v>
      </c>
      <c r="G1149" s="1" t="str">
        <f t="shared" si="762"/>
        <v>STOCK SCAFFALE MP</v>
      </c>
      <c r="H1149" s="1" t="str">
        <f t="shared" si="756"/>
        <v>BLK</v>
      </c>
      <c r="K1149" s="1">
        <v>3</v>
      </c>
      <c r="L1149" s="1" t="str">
        <f t="shared" si="731"/>
        <v>01</v>
      </c>
      <c r="M1149" s="1" t="str">
        <f t="shared" si="763"/>
        <v>408</v>
      </c>
      <c r="N1149" s="1" t="str">
        <f t="shared" si="757"/>
        <v>008</v>
      </c>
      <c r="O1149" s="1" t="str">
        <f t="shared" si="732"/>
        <v>00</v>
      </c>
      <c r="P1149" s="1" t="str">
        <f t="shared" si="733"/>
        <v>S</v>
      </c>
      <c r="Q1149" s="1" t="str">
        <f t="shared" si="734"/>
        <v>P</v>
      </c>
      <c r="R1149" s="1" t="str">
        <f t="shared" si="735"/>
        <v>01</v>
      </c>
      <c r="S1149" s="1" t="str">
        <f t="shared" si="764"/>
        <v>04</v>
      </c>
      <c r="T1149" s="1" t="str">
        <f t="shared" si="736"/>
        <v>False</v>
      </c>
      <c r="U1149" s="1" t="str">
        <f t="shared" si="737"/>
        <v>True</v>
      </c>
      <c r="V1149" s="1" t="str">
        <f>"U0033259"</f>
        <v>U0033259</v>
      </c>
      <c r="W1149" s="1">
        <v>1</v>
      </c>
      <c r="Y1149" s="1">
        <v>0</v>
      </c>
      <c r="Z1149" s="1">
        <v>0</v>
      </c>
      <c r="AB1149" s="1" t="str">
        <f t="shared" si="765"/>
        <v>SMU</v>
      </c>
      <c r="AI1149" s="1" t="str">
        <f t="shared" si="758"/>
        <v>106</v>
      </c>
      <c r="AJ1149" s="1" t="str">
        <f t="shared" si="759"/>
        <v>MAN</v>
      </c>
      <c r="AK1149" s="1" t="str">
        <f t="shared" si="738"/>
        <v>PA</v>
      </c>
      <c r="AP1149" s="1" t="str">
        <f t="shared" si="739"/>
        <v>False</v>
      </c>
      <c r="AR1149" s="1" t="str">
        <f t="shared" si="760"/>
        <v>MARCS</v>
      </c>
      <c r="AY1149" s="1" t="str">
        <f t="shared" si="740"/>
        <v>PF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 t="str">
        <f t="shared" si="761"/>
        <v>RCS GOMMA TWILL CANVAS+PU LEAT</v>
      </c>
      <c r="BF1149" s="1" t="str">
        <f t="shared" si="741"/>
        <v>Bonis SpA</v>
      </c>
    </row>
    <row r="1150" spans="2:58" x14ac:dyDescent="0.25">
      <c r="B1150" s="1">
        <v>2479</v>
      </c>
      <c r="C1150" s="1" t="str">
        <f t="shared" si="755"/>
        <v>MARCS4137S7/C1A</v>
      </c>
      <c r="E1150" s="1" t="str">
        <f>"44"</f>
        <v>44</v>
      </c>
      <c r="F1150" s="1" t="str">
        <f t="shared" si="730"/>
        <v>BONIS SPA</v>
      </c>
      <c r="G1150" s="1" t="str">
        <f t="shared" si="762"/>
        <v>STOCK SCAFFALE MP</v>
      </c>
      <c r="H1150" s="1" t="str">
        <f t="shared" si="756"/>
        <v>BLK</v>
      </c>
      <c r="K1150" s="1">
        <v>3</v>
      </c>
      <c r="L1150" s="1" t="str">
        <f t="shared" si="731"/>
        <v>01</v>
      </c>
      <c r="M1150" s="1" t="str">
        <f t="shared" si="763"/>
        <v>408</v>
      </c>
      <c r="N1150" s="1" t="str">
        <f t="shared" si="757"/>
        <v>008</v>
      </c>
      <c r="O1150" s="1" t="str">
        <f t="shared" si="732"/>
        <v>00</v>
      </c>
      <c r="P1150" s="1" t="str">
        <f t="shared" si="733"/>
        <v>S</v>
      </c>
      <c r="Q1150" s="1" t="str">
        <f t="shared" si="734"/>
        <v>P</v>
      </c>
      <c r="R1150" s="1" t="str">
        <f t="shared" si="735"/>
        <v>01</v>
      </c>
      <c r="S1150" s="1" t="str">
        <f t="shared" si="764"/>
        <v>04</v>
      </c>
      <c r="T1150" s="1" t="str">
        <f t="shared" si="736"/>
        <v>False</v>
      </c>
      <c r="U1150" s="1" t="str">
        <f t="shared" si="737"/>
        <v>True</v>
      </c>
      <c r="V1150" s="1" t="str">
        <f>"U0033258"</f>
        <v>U0033258</v>
      </c>
      <c r="W1150" s="1">
        <v>1</v>
      </c>
      <c r="Y1150" s="1">
        <v>0</v>
      </c>
      <c r="Z1150" s="1">
        <v>0</v>
      </c>
      <c r="AB1150" s="1" t="str">
        <f t="shared" si="765"/>
        <v>SMU</v>
      </c>
      <c r="AI1150" s="1" t="str">
        <f t="shared" si="758"/>
        <v>106</v>
      </c>
      <c r="AJ1150" s="1" t="str">
        <f t="shared" si="759"/>
        <v>MAN</v>
      </c>
      <c r="AK1150" s="1" t="str">
        <f t="shared" si="738"/>
        <v>PA</v>
      </c>
      <c r="AP1150" s="1" t="str">
        <f t="shared" si="739"/>
        <v>False</v>
      </c>
      <c r="AR1150" s="1" t="str">
        <f t="shared" si="760"/>
        <v>MARCS</v>
      </c>
      <c r="AY1150" s="1" t="str">
        <f t="shared" si="740"/>
        <v>PF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 t="str">
        <f t="shared" si="761"/>
        <v>RCS GOMMA TWILL CANVAS+PU LEAT</v>
      </c>
      <c r="BF1150" s="1" t="str">
        <f t="shared" si="741"/>
        <v>Bonis SpA</v>
      </c>
    </row>
    <row r="1151" spans="2:58" x14ac:dyDescent="0.25">
      <c r="B1151" s="1">
        <v>2479</v>
      </c>
      <c r="C1151" s="1" t="str">
        <f t="shared" si="755"/>
        <v>MARCS4137S7/C1A</v>
      </c>
      <c r="E1151" s="1" t="str">
        <f>"41"</f>
        <v>41</v>
      </c>
      <c r="F1151" s="1" t="str">
        <f t="shared" si="730"/>
        <v>BONIS SPA</v>
      </c>
      <c r="G1151" s="1" t="str">
        <f t="shared" si="762"/>
        <v>STOCK SCAFFALE MP</v>
      </c>
      <c r="H1151" s="1" t="str">
        <f t="shared" si="756"/>
        <v>BLK</v>
      </c>
      <c r="K1151" s="1">
        <v>4</v>
      </c>
      <c r="L1151" s="1" t="str">
        <f t="shared" si="731"/>
        <v>01</v>
      </c>
      <c r="M1151" s="1" t="str">
        <f t="shared" si="763"/>
        <v>408</v>
      </c>
      <c r="N1151" s="1" t="str">
        <f t="shared" si="757"/>
        <v>008</v>
      </c>
      <c r="O1151" s="1" t="str">
        <f t="shared" si="732"/>
        <v>00</v>
      </c>
      <c r="P1151" s="1" t="str">
        <f t="shared" si="733"/>
        <v>S</v>
      </c>
      <c r="Q1151" s="1" t="str">
        <f t="shared" si="734"/>
        <v>P</v>
      </c>
      <c r="R1151" s="1" t="str">
        <f t="shared" si="735"/>
        <v>01</v>
      </c>
      <c r="S1151" s="1" t="str">
        <f t="shared" si="764"/>
        <v>04</v>
      </c>
      <c r="T1151" s="1" t="str">
        <f t="shared" si="736"/>
        <v>False</v>
      </c>
      <c r="U1151" s="1" t="str">
        <f t="shared" si="737"/>
        <v>True</v>
      </c>
      <c r="V1151" s="1" t="str">
        <f>"U0033258"</f>
        <v>U0033258</v>
      </c>
      <c r="W1151" s="1">
        <v>1</v>
      </c>
      <c r="Y1151" s="1">
        <v>0</v>
      </c>
      <c r="Z1151" s="1">
        <v>0</v>
      </c>
      <c r="AB1151" s="1" t="str">
        <f t="shared" si="765"/>
        <v>SMU</v>
      </c>
      <c r="AI1151" s="1" t="str">
        <f t="shared" si="758"/>
        <v>106</v>
      </c>
      <c r="AJ1151" s="1" t="str">
        <f t="shared" si="759"/>
        <v>MAN</v>
      </c>
      <c r="AK1151" s="1" t="str">
        <f t="shared" si="738"/>
        <v>PA</v>
      </c>
      <c r="AP1151" s="1" t="str">
        <f t="shared" si="739"/>
        <v>False</v>
      </c>
      <c r="AR1151" s="1" t="str">
        <f t="shared" si="760"/>
        <v>MARCS</v>
      </c>
      <c r="AY1151" s="1" t="str">
        <f t="shared" si="740"/>
        <v>PF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 t="str">
        <f t="shared" si="761"/>
        <v>RCS GOMMA TWILL CANVAS+PU LEAT</v>
      </c>
      <c r="BF1151" s="1" t="str">
        <f t="shared" si="741"/>
        <v>Bonis SpA</v>
      </c>
    </row>
    <row r="1152" spans="2:58" x14ac:dyDescent="0.25">
      <c r="B1152" s="1">
        <v>2479</v>
      </c>
      <c r="C1152" s="1" t="str">
        <f t="shared" si="755"/>
        <v>MARCS4137S7/C1A</v>
      </c>
      <c r="E1152" s="1" t="str">
        <f>"42"</f>
        <v>42</v>
      </c>
      <c r="F1152" s="1" t="str">
        <f t="shared" si="730"/>
        <v>BONIS SPA</v>
      </c>
      <c r="G1152" s="1" t="str">
        <f t="shared" si="762"/>
        <v>STOCK SCAFFALE MP</v>
      </c>
      <c r="H1152" s="1" t="str">
        <f t="shared" si="756"/>
        <v>BLK</v>
      </c>
      <c r="K1152" s="1">
        <v>1</v>
      </c>
      <c r="L1152" s="1" t="str">
        <f t="shared" si="731"/>
        <v>01</v>
      </c>
      <c r="M1152" s="1" t="str">
        <f t="shared" si="763"/>
        <v>408</v>
      </c>
      <c r="N1152" s="1" t="str">
        <f t="shared" si="757"/>
        <v>008</v>
      </c>
      <c r="O1152" s="1" t="str">
        <f t="shared" si="732"/>
        <v>00</v>
      </c>
      <c r="P1152" s="1" t="str">
        <f t="shared" si="733"/>
        <v>S</v>
      </c>
      <c r="Q1152" s="1" t="str">
        <f t="shared" si="734"/>
        <v>P</v>
      </c>
      <c r="R1152" s="1" t="str">
        <f t="shared" si="735"/>
        <v>01</v>
      </c>
      <c r="S1152" s="1" t="str">
        <f t="shared" si="764"/>
        <v>04</v>
      </c>
      <c r="T1152" s="1" t="str">
        <f t="shared" si="736"/>
        <v>False</v>
      </c>
      <c r="U1152" s="1" t="str">
        <f t="shared" si="737"/>
        <v>True</v>
      </c>
      <c r="V1152" s="1" t="str">
        <f>"U0033252"</f>
        <v>U0033252</v>
      </c>
      <c r="W1152" s="1">
        <v>1</v>
      </c>
      <c r="Y1152" s="1">
        <v>0</v>
      </c>
      <c r="Z1152" s="1">
        <v>0</v>
      </c>
      <c r="AB1152" s="1" t="str">
        <f t="shared" si="765"/>
        <v>SMU</v>
      </c>
      <c r="AI1152" s="1" t="str">
        <f t="shared" si="758"/>
        <v>106</v>
      </c>
      <c r="AJ1152" s="1" t="str">
        <f t="shared" si="759"/>
        <v>MAN</v>
      </c>
      <c r="AK1152" s="1" t="str">
        <f t="shared" si="738"/>
        <v>PA</v>
      </c>
      <c r="AP1152" s="1" t="str">
        <f t="shared" si="739"/>
        <v>False</v>
      </c>
      <c r="AR1152" s="1" t="str">
        <f t="shared" si="760"/>
        <v>MARCS</v>
      </c>
      <c r="AY1152" s="1" t="str">
        <f t="shared" si="740"/>
        <v>PF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 t="str">
        <f t="shared" si="761"/>
        <v>RCS GOMMA TWILL CANVAS+PU LEAT</v>
      </c>
      <c r="BF1152" s="1" t="str">
        <f t="shared" si="741"/>
        <v>Bonis SpA</v>
      </c>
    </row>
    <row r="1153" spans="2:58" x14ac:dyDescent="0.25">
      <c r="B1153" s="1">
        <v>2479</v>
      </c>
      <c r="C1153" s="1" t="str">
        <f t="shared" si="755"/>
        <v>MARCS4137S7/C1A</v>
      </c>
      <c r="E1153" s="1" t="str">
        <f>"42"</f>
        <v>42</v>
      </c>
      <c r="F1153" s="1" t="str">
        <f t="shared" si="730"/>
        <v>BONIS SPA</v>
      </c>
      <c r="G1153" s="1" t="str">
        <f t="shared" si="762"/>
        <v>STOCK SCAFFALE MP</v>
      </c>
      <c r="H1153" s="1" t="str">
        <f t="shared" si="756"/>
        <v>BLK</v>
      </c>
      <c r="K1153" s="1">
        <v>2</v>
      </c>
      <c r="L1153" s="1" t="str">
        <f t="shared" si="731"/>
        <v>01</v>
      </c>
      <c r="M1153" s="1" t="str">
        <f t="shared" si="763"/>
        <v>408</v>
      </c>
      <c r="N1153" s="1" t="str">
        <f t="shared" si="757"/>
        <v>008</v>
      </c>
      <c r="O1153" s="1" t="str">
        <f t="shared" si="732"/>
        <v>00</v>
      </c>
      <c r="P1153" s="1" t="str">
        <f t="shared" si="733"/>
        <v>S</v>
      </c>
      <c r="Q1153" s="1" t="str">
        <f t="shared" si="734"/>
        <v>P</v>
      </c>
      <c r="R1153" s="1" t="str">
        <f t="shared" si="735"/>
        <v>01</v>
      </c>
      <c r="S1153" s="1" t="str">
        <f t="shared" si="764"/>
        <v>04</v>
      </c>
      <c r="T1153" s="1" t="str">
        <f t="shared" si="736"/>
        <v>False</v>
      </c>
      <c r="U1153" s="1" t="str">
        <f t="shared" si="737"/>
        <v>True</v>
      </c>
      <c r="V1153" s="1" t="str">
        <f>"U0033247"</f>
        <v>U0033247</v>
      </c>
      <c r="W1153" s="1">
        <v>1</v>
      </c>
      <c r="Y1153" s="1">
        <v>0</v>
      </c>
      <c r="Z1153" s="1">
        <v>0</v>
      </c>
      <c r="AB1153" s="1" t="str">
        <f t="shared" si="765"/>
        <v>SMU</v>
      </c>
      <c r="AI1153" s="1" t="str">
        <f t="shared" si="758"/>
        <v>106</v>
      </c>
      <c r="AJ1153" s="1" t="str">
        <f t="shared" si="759"/>
        <v>MAN</v>
      </c>
      <c r="AK1153" s="1" t="str">
        <f t="shared" si="738"/>
        <v>PA</v>
      </c>
      <c r="AP1153" s="1" t="str">
        <f t="shared" si="739"/>
        <v>False</v>
      </c>
      <c r="AR1153" s="1" t="str">
        <f t="shared" si="760"/>
        <v>MARCS</v>
      </c>
      <c r="AY1153" s="1" t="str">
        <f t="shared" si="740"/>
        <v>PF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 t="str">
        <f t="shared" si="761"/>
        <v>RCS GOMMA TWILL CANVAS+PU LEAT</v>
      </c>
      <c r="BF1153" s="1" t="str">
        <f t="shared" si="741"/>
        <v>Bonis SpA</v>
      </c>
    </row>
    <row r="1154" spans="2:58" x14ac:dyDescent="0.25">
      <c r="B1154" s="1">
        <v>2479</v>
      </c>
      <c r="C1154" s="1" t="str">
        <f t="shared" si="755"/>
        <v>MARCS4137S7/C1A</v>
      </c>
      <c r="E1154" s="1" t="str">
        <f>"44"</f>
        <v>44</v>
      </c>
      <c r="F1154" s="1" t="str">
        <f t="shared" ref="F1154:F1217" si="766">"BONIS SPA"</f>
        <v>BONIS SPA</v>
      </c>
      <c r="G1154" s="1" t="str">
        <f t="shared" si="762"/>
        <v>STOCK SCAFFALE MP</v>
      </c>
      <c r="H1154" s="1" t="str">
        <f t="shared" ref="H1154:H1159" si="767">"DKBL"</f>
        <v>DKBL</v>
      </c>
      <c r="K1154" s="1">
        <v>1</v>
      </c>
      <c r="L1154" s="1" t="str">
        <f t="shared" ref="L1154:L1217" si="768">"01"</f>
        <v>01</v>
      </c>
      <c r="M1154" s="1" t="str">
        <f t="shared" si="763"/>
        <v>408</v>
      </c>
      <c r="N1154" s="1" t="str">
        <f t="shared" si="757"/>
        <v>008</v>
      </c>
      <c r="O1154" s="1" t="str">
        <f t="shared" ref="O1154:O1217" si="769">"00"</f>
        <v>00</v>
      </c>
      <c r="P1154" s="1" t="str">
        <f t="shared" ref="P1154:P1217" si="770">"S"</f>
        <v>S</v>
      </c>
      <c r="Q1154" s="1" t="str">
        <f t="shared" ref="Q1154:Q1217" si="771">"P"</f>
        <v>P</v>
      </c>
      <c r="R1154" s="1" t="str">
        <f t="shared" ref="R1154:R1217" si="772">"01"</f>
        <v>01</v>
      </c>
      <c r="S1154" s="1" t="str">
        <f t="shared" si="764"/>
        <v>04</v>
      </c>
      <c r="T1154" s="1" t="str">
        <f t="shared" ref="T1154:T1217" si="773">"False"</f>
        <v>False</v>
      </c>
      <c r="U1154" s="1" t="str">
        <f t="shared" ref="U1154:U1217" si="774">"True"</f>
        <v>True</v>
      </c>
      <c r="V1154" s="1" t="str">
        <f>"U0033258"</f>
        <v>U0033258</v>
      </c>
      <c r="W1154" s="1">
        <v>1</v>
      </c>
      <c r="Y1154" s="1">
        <v>0</v>
      </c>
      <c r="Z1154" s="1">
        <v>0</v>
      </c>
      <c r="AB1154" s="1" t="str">
        <f t="shared" si="765"/>
        <v>SMU</v>
      </c>
      <c r="AI1154" s="1" t="str">
        <f t="shared" si="758"/>
        <v>106</v>
      </c>
      <c r="AJ1154" s="1" t="str">
        <f t="shared" si="759"/>
        <v>MAN</v>
      </c>
      <c r="AK1154" s="1" t="str">
        <f t="shared" ref="AK1154:AK1217" si="775">"PA"</f>
        <v>PA</v>
      </c>
      <c r="AP1154" s="1" t="str">
        <f t="shared" ref="AP1154:AP1217" si="776">"False"</f>
        <v>False</v>
      </c>
      <c r="AR1154" s="1" t="str">
        <f t="shared" si="760"/>
        <v>MARCS</v>
      </c>
      <c r="AY1154" s="1" t="str">
        <f t="shared" ref="AY1154:AY1217" si="777">"PF"</f>
        <v>PF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 t="str">
        <f t="shared" si="761"/>
        <v>RCS GOMMA TWILL CANVAS+PU LEAT</v>
      </c>
      <c r="BF1154" s="1" t="str">
        <f t="shared" ref="BF1154:BF1217" si="778">"Bonis SpA"</f>
        <v>Bonis SpA</v>
      </c>
    </row>
    <row r="1155" spans="2:58" x14ac:dyDescent="0.25">
      <c r="B1155" s="1">
        <v>2479</v>
      </c>
      <c r="C1155" s="1" t="str">
        <f t="shared" si="755"/>
        <v>MARCS4137S7/C1A</v>
      </c>
      <c r="E1155" s="1" t="str">
        <f>"42"</f>
        <v>42</v>
      </c>
      <c r="F1155" s="1" t="str">
        <f t="shared" si="766"/>
        <v>BONIS SPA</v>
      </c>
      <c r="G1155" s="1" t="str">
        <f t="shared" si="762"/>
        <v>STOCK SCAFFALE MP</v>
      </c>
      <c r="H1155" s="1" t="str">
        <f t="shared" si="767"/>
        <v>DKBL</v>
      </c>
      <c r="K1155" s="1">
        <v>1</v>
      </c>
      <c r="L1155" s="1" t="str">
        <f t="shared" si="768"/>
        <v>01</v>
      </c>
      <c r="M1155" s="1" t="str">
        <f t="shared" si="763"/>
        <v>408</v>
      </c>
      <c r="N1155" s="1" t="str">
        <f t="shared" si="757"/>
        <v>008</v>
      </c>
      <c r="O1155" s="1" t="str">
        <f t="shared" si="769"/>
        <v>00</v>
      </c>
      <c r="P1155" s="1" t="str">
        <f t="shared" si="770"/>
        <v>S</v>
      </c>
      <c r="Q1155" s="1" t="str">
        <f t="shared" si="771"/>
        <v>P</v>
      </c>
      <c r="R1155" s="1" t="str">
        <f t="shared" si="772"/>
        <v>01</v>
      </c>
      <c r="S1155" s="1" t="str">
        <f t="shared" si="764"/>
        <v>04</v>
      </c>
      <c r="T1155" s="1" t="str">
        <f t="shared" si="773"/>
        <v>False</v>
      </c>
      <c r="U1155" s="1" t="str">
        <f t="shared" si="774"/>
        <v>True</v>
      </c>
      <c r="V1155" s="1" t="str">
        <f>"U0033253"</f>
        <v>U0033253</v>
      </c>
      <c r="W1155" s="1">
        <v>1</v>
      </c>
      <c r="Y1155" s="1">
        <v>0</v>
      </c>
      <c r="Z1155" s="1">
        <v>0</v>
      </c>
      <c r="AB1155" s="1" t="str">
        <f t="shared" si="765"/>
        <v>SMU</v>
      </c>
      <c r="AI1155" s="1" t="str">
        <f t="shared" si="758"/>
        <v>106</v>
      </c>
      <c r="AJ1155" s="1" t="str">
        <f t="shared" si="759"/>
        <v>MAN</v>
      </c>
      <c r="AK1155" s="1" t="str">
        <f t="shared" si="775"/>
        <v>PA</v>
      </c>
      <c r="AP1155" s="1" t="str">
        <f t="shared" si="776"/>
        <v>False</v>
      </c>
      <c r="AR1155" s="1" t="str">
        <f t="shared" si="760"/>
        <v>MARCS</v>
      </c>
      <c r="AY1155" s="1" t="str">
        <f t="shared" si="777"/>
        <v>PF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 t="str">
        <f t="shared" si="761"/>
        <v>RCS GOMMA TWILL CANVAS+PU LEAT</v>
      </c>
      <c r="BF1155" s="1" t="str">
        <f t="shared" si="778"/>
        <v>Bonis SpA</v>
      </c>
    </row>
    <row r="1156" spans="2:58" x14ac:dyDescent="0.25">
      <c r="B1156" s="1">
        <v>2479</v>
      </c>
      <c r="C1156" s="1" t="str">
        <f t="shared" si="755"/>
        <v>MARCS4137S7/C1A</v>
      </c>
      <c r="E1156" s="1" t="str">
        <f>"43"</f>
        <v>43</v>
      </c>
      <c r="F1156" s="1" t="str">
        <f t="shared" si="766"/>
        <v>BONIS SPA</v>
      </c>
      <c r="G1156" s="1" t="str">
        <f t="shared" si="762"/>
        <v>STOCK SCAFFALE MP</v>
      </c>
      <c r="H1156" s="1" t="str">
        <f t="shared" si="767"/>
        <v>DKBL</v>
      </c>
      <c r="K1156" s="1">
        <v>3</v>
      </c>
      <c r="L1156" s="1" t="str">
        <f t="shared" si="768"/>
        <v>01</v>
      </c>
      <c r="M1156" s="1" t="str">
        <f t="shared" si="763"/>
        <v>408</v>
      </c>
      <c r="N1156" s="1" t="str">
        <f t="shared" ref="N1156:N1190" si="779">"008"</f>
        <v>008</v>
      </c>
      <c r="O1156" s="1" t="str">
        <f t="shared" si="769"/>
        <v>00</v>
      </c>
      <c r="P1156" s="1" t="str">
        <f t="shared" si="770"/>
        <v>S</v>
      </c>
      <c r="Q1156" s="1" t="str">
        <f t="shared" si="771"/>
        <v>P</v>
      </c>
      <c r="R1156" s="1" t="str">
        <f t="shared" si="772"/>
        <v>01</v>
      </c>
      <c r="S1156" s="1" t="str">
        <f t="shared" si="764"/>
        <v>04</v>
      </c>
      <c r="T1156" s="1" t="str">
        <f t="shared" si="773"/>
        <v>False</v>
      </c>
      <c r="U1156" s="1" t="str">
        <f t="shared" si="774"/>
        <v>True</v>
      </c>
      <c r="V1156" s="1" t="str">
        <f>"U0033255"</f>
        <v>U0033255</v>
      </c>
      <c r="W1156" s="1">
        <v>1</v>
      </c>
      <c r="Y1156" s="1">
        <v>0</v>
      </c>
      <c r="Z1156" s="1">
        <v>0</v>
      </c>
      <c r="AB1156" s="1" t="str">
        <f t="shared" si="765"/>
        <v>SMU</v>
      </c>
      <c r="AI1156" s="1" t="str">
        <f t="shared" ref="AI1156:AI1190" si="780">"106"</f>
        <v>106</v>
      </c>
      <c r="AJ1156" s="1" t="str">
        <f t="shared" si="759"/>
        <v>MAN</v>
      </c>
      <c r="AK1156" s="1" t="str">
        <f t="shared" si="775"/>
        <v>PA</v>
      </c>
      <c r="AP1156" s="1" t="str">
        <f t="shared" si="776"/>
        <v>False</v>
      </c>
      <c r="AR1156" s="1" t="str">
        <f t="shared" si="760"/>
        <v>MARCS</v>
      </c>
      <c r="AY1156" s="1" t="str">
        <f t="shared" si="777"/>
        <v>PF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 t="str">
        <f t="shared" si="761"/>
        <v>RCS GOMMA TWILL CANVAS+PU LEAT</v>
      </c>
      <c r="BF1156" s="1" t="str">
        <f t="shared" si="778"/>
        <v>Bonis SpA</v>
      </c>
    </row>
    <row r="1157" spans="2:58" x14ac:dyDescent="0.25">
      <c r="B1157" s="1">
        <v>2479</v>
      </c>
      <c r="C1157" s="1" t="str">
        <f t="shared" si="755"/>
        <v>MARCS4137S7/C1A</v>
      </c>
      <c r="E1157" s="1" t="str">
        <f>"41"</f>
        <v>41</v>
      </c>
      <c r="F1157" s="1" t="str">
        <f t="shared" si="766"/>
        <v>BONIS SPA</v>
      </c>
      <c r="G1157" s="1" t="str">
        <f t="shared" si="762"/>
        <v>STOCK SCAFFALE MP</v>
      </c>
      <c r="H1157" s="1" t="str">
        <f t="shared" si="767"/>
        <v>DKBL</v>
      </c>
      <c r="K1157" s="1">
        <v>2</v>
      </c>
      <c r="L1157" s="1" t="str">
        <f t="shared" si="768"/>
        <v>01</v>
      </c>
      <c r="M1157" s="1" t="str">
        <f t="shared" si="763"/>
        <v>408</v>
      </c>
      <c r="N1157" s="1" t="str">
        <f t="shared" si="779"/>
        <v>008</v>
      </c>
      <c r="O1157" s="1" t="str">
        <f t="shared" si="769"/>
        <v>00</v>
      </c>
      <c r="P1157" s="1" t="str">
        <f t="shared" si="770"/>
        <v>S</v>
      </c>
      <c r="Q1157" s="1" t="str">
        <f t="shared" si="771"/>
        <v>P</v>
      </c>
      <c r="R1157" s="1" t="str">
        <f t="shared" si="772"/>
        <v>01</v>
      </c>
      <c r="S1157" s="1" t="str">
        <f t="shared" si="764"/>
        <v>04</v>
      </c>
      <c r="T1157" s="1" t="str">
        <f t="shared" si="773"/>
        <v>False</v>
      </c>
      <c r="U1157" s="1" t="str">
        <f t="shared" si="774"/>
        <v>True</v>
      </c>
      <c r="V1157" s="1" t="str">
        <f>"U0033255"</f>
        <v>U0033255</v>
      </c>
      <c r="W1157" s="1">
        <v>1</v>
      </c>
      <c r="Y1157" s="1">
        <v>0</v>
      </c>
      <c r="Z1157" s="1">
        <v>0</v>
      </c>
      <c r="AB1157" s="1" t="str">
        <f t="shared" si="765"/>
        <v>SMU</v>
      </c>
      <c r="AI1157" s="1" t="str">
        <f t="shared" si="780"/>
        <v>106</v>
      </c>
      <c r="AJ1157" s="1" t="str">
        <f t="shared" si="759"/>
        <v>MAN</v>
      </c>
      <c r="AK1157" s="1" t="str">
        <f t="shared" si="775"/>
        <v>PA</v>
      </c>
      <c r="AP1157" s="1" t="str">
        <f t="shared" si="776"/>
        <v>False</v>
      </c>
      <c r="AR1157" s="1" t="str">
        <f t="shared" si="760"/>
        <v>MARCS</v>
      </c>
      <c r="AY1157" s="1" t="str">
        <f t="shared" si="777"/>
        <v>PF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 t="str">
        <f t="shared" si="761"/>
        <v>RCS GOMMA TWILL CANVAS+PU LEAT</v>
      </c>
      <c r="BF1157" s="1" t="str">
        <f t="shared" si="778"/>
        <v>Bonis SpA</v>
      </c>
    </row>
    <row r="1158" spans="2:58" x14ac:dyDescent="0.25">
      <c r="B1158" s="1">
        <v>2479</v>
      </c>
      <c r="C1158" s="1" t="str">
        <f t="shared" si="755"/>
        <v>MARCS4137S7/C1A</v>
      </c>
      <c r="E1158" s="1" t="str">
        <f>"44"</f>
        <v>44</v>
      </c>
      <c r="F1158" s="1" t="str">
        <f t="shared" si="766"/>
        <v>BONIS SPA</v>
      </c>
      <c r="G1158" s="1" t="str">
        <f t="shared" si="762"/>
        <v>STOCK SCAFFALE MP</v>
      </c>
      <c r="H1158" s="1" t="str">
        <f t="shared" si="767"/>
        <v>DKBL</v>
      </c>
      <c r="K1158" s="1">
        <v>3</v>
      </c>
      <c r="L1158" s="1" t="str">
        <f t="shared" si="768"/>
        <v>01</v>
      </c>
      <c r="M1158" s="1" t="str">
        <f t="shared" si="763"/>
        <v>408</v>
      </c>
      <c r="N1158" s="1" t="str">
        <f t="shared" si="779"/>
        <v>008</v>
      </c>
      <c r="O1158" s="1" t="str">
        <f t="shared" si="769"/>
        <v>00</v>
      </c>
      <c r="P1158" s="1" t="str">
        <f t="shared" si="770"/>
        <v>S</v>
      </c>
      <c r="Q1158" s="1" t="str">
        <f t="shared" si="771"/>
        <v>P</v>
      </c>
      <c r="R1158" s="1" t="str">
        <f t="shared" si="772"/>
        <v>01</v>
      </c>
      <c r="S1158" s="1" t="str">
        <f t="shared" si="764"/>
        <v>04</v>
      </c>
      <c r="T1158" s="1" t="str">
        <f t="shared" si="773"/>
        <v>False</v>
      </c>
      <c r="U1158" s="1" t="str">
        <f t="shared" si="774"/>
        <v>True</v>
      </c>
      <c r="V1158" s="1" t="str">
        <f>"U0033255"</f>
        <v>U0033255</v>
      </c>
      <c r="W1158" s="1">
        <v>1</v>
      </c>
      <c r="Y1158" s="1">
        <v>0</v>
      </c>
      <c r="Z1158" s="1">
        <v>0</v>
      </c>
      <c r="AB1158" s="1" t="str">
        <f t="shared" si="765"/>
        <v>SMU</v>
      </c>
      <c r="AI1158" s="1" t="str">
        <f t="shared" si="780"/>
        <v>106</v>
      </c>
      <c r="AJ1158" s="1" t="str">
        <f t="shared" si="759"/>
        <v>MAN</v>
      </c>
      <c r="AK1158" s="1" t="str">
        <f t="shared" si="775"/>
        <v>PA</v>
      </c>
      <c r="AP1158" s="1" t="str">
        <f t="shared" si="776"/>
        <v>False</v>
      </c>
      <c r="AR1158" s="1" t="str">
        <f t="shared" si="760"/>
        <v>MARCS</v>
      </c>
      <c r="AY1158" s="1" t="str">
        <f t="shared" si="777"/>
        <v>PF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 t="str">
        <f t="shared" si="761"/>
        <v>RCS GOMMA TWILL CANVAS+PU LEAT</v>
      </c>
      <c r="BF1158" s="1" t="str">
        <f t="shared" si="778"/>
        <v>Bonis SpA</v>
      </c>
    </row>
    <row r="1159" spans="2:58" x14ac:dyDescent="0.25">
      <c r="B1159" s="1">
        <v>2479</v>
      </c>
      <c r="C1159" s="1" t="str">
        <f t="shared" si="755"/>
        <v>MARCS4137S7/C1A</v>
      </c>
      <c r="E1159" s="1" t="str">
        <f>"42"</f>
        <v>42</v>
      </c>
      <c r="F1159" s="1" t="str">
        <f t="shared" si="766"/>
        <v>BONIS SPA</v>
      </c>
      <c r="G1159" s="1" t="str">
        <f t="shared" si="762"/>
        <v>STOCK SCAFFALE MP</v>
      </c>
      <c r="H1159" s="1" t="str">
        <f t="shared" si="767"/>
        <v>DKBL</v>
      </c>
      <c r="K1159" s="1">
        <v>4</v>
      </c>
      <c r="L1159" s="1" t="str">
        <f t="shared" si="768"/>
        <v>01</v>
      </c>
      <c r="M1159" s="1" t="str">
        <f t="shared" si="763"/>
        <v>408</v>
      </c>
      <c r="N1159" s="1" t="str">
        <f t="shared" si="779"/>
        <v>008</v>
      </c>
      <c r="O1159" s="1" t="str">
        <f t="shared" si="769"/>
        <v>00</v>
      </c>
      <c r="P1159" s="1" t="str">
        <f t="shared" si="770"/>
        <v>S</v>
      </c>
      <c r="Q1159" s="1" t="str">
        <f t="shared" si="771"/>
        <v>P</v>
      </c>
      <c r="R1159" s="1" t="str">
        <f t="shared" si="772"/>
        <v>01</v>
      </c>
      <c r="S1159" s="1" t="str">
        <f t="shared" si="764"/>
        <v>04</v>
      </c>
      <c r="T1159" s="1" t="str">
        <f t="shared" si="773"/>
        <v>False</v>
      </c>
      <c r="U1159" s="1" t="str">
        <f t="shared" si="774"/>
        <v>True</v>
      </c>
      <c r="V1159" s="1" t="str">
        <f>"U0033255"</f>
        <v>U0033255</v>
      </c>
      <c r="W1159" s="1">
        <v>1</v>
      </c>
      <c r="Y1159" s="1">
        <v>0</v>
      </c>
      <c r="Z1159" s="1">
        <v>0</v>
      </c>
      <c r="AB1159" s="1" t="str">
        <f t="shared" si="765"/>
        <v>SMU</v>
      </c>
      <c r="AI1159" s="1" t="str">
        <f t="shared" si="780"/>
        <v>106</v>
      </c>
      <c r="AJ1159" s="1" t="str">
        <f t="shared" si="759"/>
        <v>MAN</v>
      </c>
      <c r="AK1159" s="1" t="str">
        <f t="shared" si="775"/>
        <v>PA</v>
      </c>
      <c r="AP1159" s="1" t="str">
        <f t="shared" si="776"/>
        <v>False</v>
      </c>
      <c r="AR1159" s="1" t="str">
        <f t="shared" si="760"/>
        <v>MARCS</v>
      </c>
      <c r="AY1159" s="1" t="str">
        <f t="shared" si="777"/>
        <v>PF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 t="str">
        <f t="shared" si="761"/>
        <v>RCS GOMMA TWILL CANVAS+PU LEAT</v>
      </c>
      <c r="BF1159" s="1" t="str">
        <f t="shared" si="778"/>
        <v>Bonis SpA</v>
      </c>
    </row>
    <row r="1160" spans="2:58" x14ac:dyDescent="0.25">
      <c r="B1160" s="1">
        <v>2479</v>
      </c>
      <c r="C1160" s="1" t="str">
        <f t="shared" si="755"/>
        <v>MARCS4137S7/C1A</v>
      </c>
      <c r="E1160" s="1" t="str">
        <f>"41"</f>
        <v>41</v>
      </c>
      <c r="F1160" s="1" t="str">
        <f t="shared" si="766"/>
        <v>BONIS SPA</v>
      </c>
      <c r="G1160" s="1" t="str">
        <f t="shared" si="762"/>
        <v>STOCK SCAFFALE MP</v>
      </c>
      <c r="H1160" s="1" t="str">
        <f>"BLK"</f>
        <v>BLK</v>
      </c>
      <c r="K1160" s="1">
        <v>2</v>
      </c>
      <c r="L1160" s="1" t="str">
        <f t="shared" si="768"/>
        <v>01</v>
      </c>
      <c r="M1160" s="1" t="str">
        <f t="shared" si="763"/>
        <v>408</v>
      </c>
      <c r="N1160" s="1" t="str">
        <f t="shared" si="779"/>
        <v>008</v>
      </c>
      <c r="O1160" s="1" t="str">
        <f t="shared" si="769"/>
        <v>00</v>
      </c>
      <c r="P1160" s="1" t="str">
        <f t="shared" si="770"/>
        <v>S</v>
      </c>
      <c r="Q1160" s="1" t="str">
        <f t="shared" si="771"/>
        <v>P</v>
      </c>
      <c r="R1160" s="1" t="str">
        <f t="shared" si="772"/>
        <v>01</v>
      </c>
      <c r="S1160" s="1" t="str">
        <f t="shared" si="764"/>
        <v>04</v>
      </c>
      <c r="T1160" s="1" t="str">
        <f t="shared" si="773"/>
        <v>False</v>
      </c>
      <c r="U1160" s="1" t="str">
        <f t="shared" si="774"/>
        <v>True</v>
      </c>
      <c r="V1160" s="1" t="str">
        <f>"U0033254"</f>
        <v>U0033254</v>
      </c>
      <c r="W1160" s="1">
        <v>1</v>
      </c>
      <c r="Y1160" s="1">
        <v>0</v>
      </c>
      <c r="Z1160" s="1">
        <v>0</v>
      </c>
      <c r="AB1160" s="1" t="str">
        <f t="shared" si="765"/>
        <v>SMU</v>
      </c>
      <c r="AI1160" s="1" t="str">
        <f t="shared" si="780"/>
        <v>106</v>
      </c>
      <c r="AJ1160" s="1" t="str">
        <f t="shared" si="759"/>
        <v>MAN</v>
      </c>
      <c r="AK1160" s="1" t="str">
        <f t="shared" si="775"/>
        <v>PA</v>
      </c>
      <c r="AP1160" s="1" t="str">
        <f t="shared" si="776"/>
        <v>False</v>
      </c>
      <c r="AR1160" s="1" t="str">
        <f t="shared" si="760"/>
        <v>MARCS</v>
      </c>
      <c r="AY1160" s="1" t="str">
        <f t="shared" si="777"/>
        <v>PF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 t="str">
        <f t="shared" si="761"/>
        <v>RCS GOMMA TWILL CANVAS+PU LEAT</v>
      </c>
      <c r="BF1160" s="1" t="str">
        <f t="shared" si="778"/>
        <v>Bonis SpA</v>
      </c>
    </row>
    <row r="1161" spans="2:58" x14ac:dyDescent="0.25">
      <c r="B1161" s="1">
        <v>2479</v>
      </c>
      <c r="C1161" s="1" t="str">
        <f t="shared" si="755"/>
        <v>MARCS4137S7/C1A</v>
      </c>
      <c r="E1161" s="1" t="str">
        <f>"44"</f>
        <v>44</v>
      </c>
      <c r="F1161" s="1" t="str">
        <f t="shared" si="766"/>
        <v>BONIS SPA</v>
      </c>
      <c r="G1161" s="1" t="str">
        <f t="shared" si="762"/>
        <v>STOCK SCAFFALE MP</v>
      </c>
      <c r="H1161" s="1" t="str">
        <f>"BLK"</f>
        <v>BLK</v>
      </c>
      <c r="K1161" s="1">
        <v>2</v>
      </c>
      <c r="L1161" s="1" t="str">
        <f t="shared" si="768"/>
        <v>01</v>
      </c>
      <c r="M1161" s="1" t="str">
        <f t="shared" si="763"/>
        <v>408</v>
      </c>
      <c r="N1161" s="1" t="str">
        <f t="shared" si="779"/>
        <v>008</v>
      </c>
      <c r="O1161" s="1" t="str">
        <f t="shared" si="769"/>
        <v>00</v>
      </c>
      <c r="P1161" s="1" t="str">
        <f t="shared" si="770"/>
        <v>S</v>
      </c>
      <c r="Q1161" s="1" t="str">
        <f t="shared" si="771"/>
        <v>P</v>
      </c>
      <c r="R1161" s="1" t="str">
        <f t="shared" si="772"/>
        <v>01</v>
      </c>
      <c r="S1161" s="1" t="str">
        <f t="shared" si="764"/>
        <v>04</v>
      </c>
      <c r="T1161" s="1" t="str">
        <f t="shared" si="773"/>
        <v>False</v>
      </c>
      <c r="U1161" s="1" t="str">
        <f t="shared" si="774"/>
        <v>True</v>
      </c>
      <c r="V1161" s="1" t="str">
        <f>"U0033254"</f>
        <v>U0033254</v>
      </c>
      <c r="W1161" s="1">
        <v>1</v>
      </c>
      <c r="Y1161" s="1">
        <v>0</v>
      </c>
      <c r="Z1161" s="1">
        <v>0</v>
      </c>
      <c r="AB1161" s="1" t="str">
        <f t="shared" si="765"/>
        <v>SMU</v>
      </c>
      <c r="AI1161" s="1" t="str">
        <f t="shared" si="780"/>
        <v>106</v>
      </c>
      <c r="AJ1161" s="1" t="str">
        <f t="shared" si="759"/>
        <v>MAN</v>
      </c>
      <c r="AK1161" s="1" t="str">
        <f t="shared" si="775"/>
        <v>PA</v>
      </c>
      <c r="AP1161" s="1" t="str">
        <f t="shared" si="776"/>
        <v>False</v>
      </c>
      <c r="AR1161" s="1" t="str">
        <f t="shared" si="760"/>
        <v>MARCS</v>
      </c>
      <c r="AY1161" s="1" t="str">
        <f t="shared" si="777"/>
        <v>PF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 t="str">
        <f t="shared" si="761"/>
        <v>RCS GOMMA TWILL CANVAS+PU LEAT</v>
      </c>
      <c r="BF1161" s="1" t="str">
        <f t="shared" si="778"/>
        <v>Bonis SpA</v>
      </c>
    </row>
    <row r="1162" spans="2:58" x14ac:dyDescent="0.25">
      <c r="B1162" s="1">
        <v>2479</v>
      </c>
      <c r="C1162" s="1" t="str">
        <f t="shared" si="755"/>
        <v>MARCS4137S7/C1A</v>
      </c>
      <c r="E1162" s="1" t="str">
        <f>"40"</f>
        <v>40</v>
      </c>
      <c r="F1162" s="1" t="str">
        <f t="shared" si="766"/>
        <v>BONIS SPA</v>
      </c>
      <c r="G1162" s="1" t="str">
        <f t="shared" si="762"/>
        <v>STOCK SCAFFALE MP</v>
      </c>
      <c r="H1162" s="1" t="str">
        <f>"BLK"</f>
        <v>BLK</v>
      </c>
      <c r="K1162" s="1">
        <v>1</v>
      </c>
      <c r="L1162" s="1" t="str">
        <f t="shared" si="768"/>
        <v>01</v>
      </c>
      <c r="M1162" s="1" t="str">
        <f t="shared" si="763"/>
        <v>408</v>
      </c>
      <c r="N1162" s="1" t="str">
        <f t="shared" si="779"/>
        <v>008</v>
      </c>
      <c r="O1162" s="1" t="str">
        <f t="shared" si="769"/>
        <v>00</v>
      </c>
      <c r="P1162" s="1" t="str">
        <f t="shared" si="770"/>
        <v>S</v>
      </c>
      <c r="Q1162" s="1" t="str">
        <f t="shared" si="771"/>
        <v>P</v>
      </c>
      <c r="R1162" s="1" t="str">
        <f t="shared" si="772"/>
        <v>01</v>
      </c>
      <c r="S1162" s="1" t="str">
        <f t="shared" si="764"/>
        <v>04</v>
      </c>
      <c r="T1162" s="1" t="str">
        <f t="shared" si="773"/>
        <v>False</v>
      </c>
      <c r="U1162" s="1" t="str">
        <f t="shared" si="774"/>
        <v>True</v>
      </c>
      <c r="V1162" s="1" t="str">
        <f>"U0033254"</f>
        <v>U0033254</v>
      </c>
      <c r="W1162" s="1">
        <v>1</v>
      </c>
      <c r="Y1162" s="1">
        <v>0</v>
      </c>
      <c r="Z1162" s="1">
        <v>0</v>
      </c>
      <c r="AB1162" s="1" t="str">
        <f t="shared" si="765"/>
        <v>SMU</v>
      </c>
      <c r="AI1162" s="1" t="str">
        <f t="shared" si="780"/>
        <v>106</v>
      </c>
      <c r="AJ1162" s="1" t="str">
        <f t="shared" si="759"/>
        <v>MAN</v>
      </c>
      <c r="AK1162" s="1" t="str">
        <f t="shared" si="775"/>
        <v>PA</v>
      </c>
      <c r="AP1162" s="1" t="str">
        <f t="shared" si="776"/>
        <v>False</v>
      </c>
      <c r="AR1162" s="1" t="str">
        <f t="shared" si="760"/>
        <v>MARCS</v>
      </c>
      <c r="AY1162" s="1" t="str">
        <f t="shared" si="777"/>
        <v>PF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 t="str">
        <f t="shared" si="761"/>
        <v>RCS GOMMA TWILL CANVAS+PU LEAT</v>
      </c>
      <c r="BF1162" s="1" t="str">
        <f t="shared" si="778"/>
        <v>Bonis SpA</v>
      </c>
    </row>
    <row r="1163" spans="2:58" x14ac:dyDescent="0.25">
      <c r="B1163" s="1">
        <v>2479</v>
      </c>
      <c r="C1163" s="1" t="str">
        <f t="shared" si="755"/>
        <v>MARCS4137S7/C1A</v>
      </c>
      <c r="E1163" s="1" t="str">
        <f>"42"</f>
        <v>42</v>
      </c>
      <c r="F1163" s="1" t="str">
        <f t="shared" si="766"/>
        <v>BONIS SPA</v>
      </c>
      <c r="G1163" s="1" t="str">
        <f t="shared" si="762"/>
        <v>STOCK SCAFFALE MP</v>
      </c>
      <c r="H1163" s="1" t="str">
        <f>"BLK"</f>
        <v>BLK</v>
      </c>
      <c r="K1163" s="1">
        <v>3</v>
      </c>
      <c r="L1163" s="1" t="str">
        <f t="shared" si="768"/>
        <v>01</v>
      </c>
      <c r="M1163" s="1" t="str">
        <f t="shared" si="763"/>
        <v>408</v>
      </c>
      <c r="N1163" s="1" t="str">
        <f t="shared" si="779"/>
        <v>008</v>
      </c>
      <c r="O1163" s="1" t="str">
        <f t="shared" si="769"/>
        <v>00</v>
      </c>
      <c r="P1163" s="1" t="str">
        <f t="shared" si="770"/>
        <v>S</v>
      </c>
      <c r="Q1163" s="1" t="str">
        <f t="shared" si="771"/>
        <v>P</v>
      </c>
      <c r="R1163" s="1" t="str">
        <f t="shared" si="772"/>
        <v>01</v>
      </c>
      <c r="S1163" s="1" t="str">
        <f t="shared" si="764"/>
        <v>04</v>
      </c>
      <c r="T1163" s="1" t="str">
        <f t="shared" si="773"/>
        <v>False</v>
      </c>
      <c r="U1163" s="1" t="str">
        <f t="shared" si="774"/>
        <v>True</v>
      </c>
      <c r="V1163" s="1" t="str">
        <f>"U0033254"</f>
        <v>U0033254</v>
      </c>
      <c r="W1163" s="1">
        <v>1</v>
      </c>
      <c r="Y1163" s="1">
        <v>0</v>
      </c>
      <c r="Z1163" s="1">
        <v>0</v>
      </c>
      <c r="AB1163" s="1" t="str">
        <f t="shared" si="765"/>
        <v>SMU</v>
      </c>
      <c r="AI1163" s="1" t="str">
        <f t="shared" si="780"/>
        <v>106</v>
      </c>
      <c r="AJ1163" s="1" t="str">
        <f t="shared" si="759"/>
        <v>MAN</v>
      </c>
      <c r="AK1163" s="1" t="str">
        <f t="shared" si="775"/>
        <v>PA</v>
      </c>
      <c r="AP1163" s="1" t="str">
        <f t="shared" si="776"/>
        <v>False</v>
      </c>
      <c r="AR1163" s="1" t="str">
        <f t="shared" si="760"/>
        <v>MARCS</v>
      </c>
      <c r="AY1163" s="1" t="str">
        <f t="shared" si="777"/>
        <v>PF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 t="str">
        <f t="shared" si="761"/>
        <v>RCS GOMMA TWILL CANVAS+PU LEAT</v>
      </c>
      <c r="BF1163" s="1" t="str">
        <f t="shared" si="778"/>
        <v>Bonis SpA</v>
      </c>
    </row>
    <row r="1164" spans="2:58" x14ac:dyDescent="0.25">
      <c r="B1164" s="1">
        <v>2479</v>
      </c>
      <c r="C1164" s="1" t="str">
        <f t="shared" si="755"/>
        <v>MARCS4137S7/C1A</v>
      </c>
      <c r="E1164" s="1" t="str">
        <f>"43"</f>
        <v>43</v>
      </c>
      <c r="F1164" s="1" t="str">
        <f t="shared" si="766"/>
        <v>BONIS SPA</v>
      </c>
      <c r="G1164" s="1" t="str">
        <f t="shared" si="762"/>
        <v>STOCK SCAFFALE MP</v>
      </c>
      <c r="H1164" s="1" t="str">
        <f>"BLK"</f>
        <v>BLK</v>
      </c>
      <c r="K1164" s="1">
        <v>3</v>
      </c>
      <c r="L1164" s="1" t="str">
        <f t="shared" si="768"/>
        <v>01</v>
      </c>
      <c r="M1164" s="1" t="str">
        <f t="shared" si="763"/>
        <v>408</v>
      </c>
      <c r="N1164" s="1" t="str">
        <f t="shared" si="779"/>
        <v>008</v>
      </c>
      <c r="O1164" s="1" t="str">
        <f t="shared" si="769"/>
        <v>00</v>
      </c>
      <c r="P1164" s="1" t="str">
        <f t="shared" si="770"/>
        <v>S</v>
      </c>
      <c r="Q1164" s="1" t="str">
        <f t="shared" si="771"/>
        <v>P</v>
      </c>
      <c r="R1164" s="1" t="str">
        <f t="shared" si="772"/>
        <v>01</v>
      </c>
      <c r="S1164" s="1" t="str">
        <f t="shared" si="764"/>
        <v>04</v>
      </c>
      <c r="T1164" s="1" t="str">
        <f t="shared" si="773"/>
        <v>False</v>
      </c>
      <c r="U1164" s="1" t="str">
        <f t="shared" si="774"/>
        <v>True</v>
      </c>
      <c r="V1164" s="1" t="str">
        <f>"U0033254"</f>
        <v>U0033254</v>
      </c>
      <c r="W1164" s="1">
        <v>1</v>
      </c>
      <c r="Y1164" s="1">
        <v>0</v>
      </c>
      <c r="Z1164" s="1">
        <v>0</v>
      </c>
      <c r="AB1164" s="1" t="str">
        <f t="shared" si="765"/>
        <v>SMU</v>
      </c>
      <c r="AI1164" s="1" t="str">
        <f t="shared" si="780"/>
        <v>106</v>
      </c>
      <c r="AJ1164" s="1" t="str">
        <f t="shared" si="759"/>
        <v>MAN</v>
      </c>
      <c r="AK1164" s="1" t="str">
        <f t="shared" si="775"/>
        <v>PA</v>
      </c>
      <c r="AP1164" s="1" t="str">
        <f t="shared" si="776"/>
        <v>False</v>
      </c>
      <c r="AR1164" s="1" t="str">
        <f t="shared" si="760"/>
        <v>MARCS</v>
      </c>
      <c r="AY1164" s="1" t="str">
        <f t="shared" si="777"/>
        <v>PF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 t="str">
        <f t="shared" si="761"/>
        <v>RCS GOMMA TWILL CANVAS+PU LEAT</v>
      </c>
      <c r="BF1164" s="1" t="str">
        <f t="shared" si="778"/>
        <v>Bonis SpA</v>
      </c>
    </row>
    <row r="1165" spans="2:58" x14ac:dyDescent="0.25">
      <c r="B1165" s="1">
        <v>2479</v>
      </c>
      <c r="C1165" s="1" t="str">
        <f t="shared" si="755"/>
        <v>MARCS4137S7/C1A</v>
      </c>
      <c r="E1165" s="1" t="str">
        <f>"42"</f>
        <v>42</v>
      </c>
      <c r="F1165" s="1" t="str">
        <f t="shared" si="766"/>
        <v>BONIS SPA</v>
      </c>
      <c r="G1165" s="1" t="str">
        <f t="shared" si="762"/>
        <v>STOCK SCAFFALE MP</v>
      </c>
      <c r="H1165" s="1" t="str">
        <f>"WHI"</f>
        <v>WHI</v>
      </c>
      <c r="K1165" s="1">
        <v>2</v>
      </c>
      <c r="L1165" s="1" t="str">
        <f t="shared" si="768"/>
        <v>01</v>
      </c>
      <c r="M1165" s="1" t="str">
        <f t="shared" si="763"/>
        <v>408</v>
      </c>
      <c r="N1165" s="1" t="str">
        <f t="shared" si="779"/>
        <v>008</v>
      </c>
      <c r="O1165" s="1" t="str">
        <f t="shared" si="769"/>
        <v>00</v>
      </c>
      <c r="P1165" s="1" t="str">
        <f t="shared" si="770"/>
        <v>S</v>
      </c>
      <c r="Q1165" s="1" t="str">
        <f t="shared" si="771"/>
        <v>P</v>
      </c>
      <c r="R1165" s="1" t="str">
        <f t="shared" si="772"/>
        <v>01</v>
      </c>
      <c r="S1165" s="1" t="str">
        <f t="shared" si="764"/>
        <v>04</v>
      </c>
      <c r="T1165" s="1" t="str">
        <f t="shared" si="773"/>
        <v>False</v>
      </c>
      <c r="U1165" s="1" t="str">
        <f t="shared" si="774"/>
        <v>True</v>
      </c>
      <c r="V1165" s="1" t="str">
        <f>"U0033253"</f>
        <v>U0033253</v>
      </c>
      <c r="W1165" s="1">
        <v>1</v>
      </c>
      <c r="Y1165" s="1">
        <v>0</v>
      </c>
      <c r="Z1165" s="1">
        <v>0</v>
      </c>
      <c r="AB1165" s="1" t="str">
        <f t="shared" si="765"/>
        <v>SMU</v>
      </c>
      <c r="AI1165" s="1" t="str">
        <f t="shared" si="780"/>
        <v>106</v>
      </c>
      <c r="AJ1165" s="1" t="str">
        <f t="shared" si="759"/>
        <v>MAN</v>
      </c>
      <c r="AK1165" s="1" t="str">
        <f t="shared" si="775"/>
        <v>PA</v>
      </c>
      <c r="AP1165" s="1" t="str">
        <f t="shared" si="776"/>
        <v>False</v>
      </c>
      <c r="AR1165" s="1" t="str">
        <f t="shared" si="760"/>
        <v>MARCS</v>
      </c>
      <c r="AY1165" s="1" t="str">
        <f t="shared" si="777"/>
        <v>PF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 t="str">
        <f t="shared" si="761"/>
        <v>RCS GOMMA TWILL CANVAS+PU LEAT</v>
      </c>
      <c r="BF1165" s="1" t="str">
        <f t="shared" si="778"/>
        <v>Bonis SpA</v>
      </c>
    </row>
    <row r="1166" spans="2:58" x14ac:dyDescent="0.25">
      <c r="B1166" s="1">
        <v>2479</v>
      </c>
      <c r="C1166" s="1" t="str">
        <f t="shared" si="755"/>
        <v>MARCS4137S7/C1A</v>
      </c>
      <c r="E1166" s="1" t="str">
        <f>"40"</f>
        <v>40</v>
      </c>
      <c r="F1166" s="1" t="str">
        <f t="shared" si="766"/>
        <v>BONIS SPA</v>
      </c>
      <c r="G1166" s="1" t="str">
        <f t="shared" si="762"/>
        <v>STOCK SCAFFALE MP</v>
      </c>
      <c r="H1166" s="1" t="str">
        <f>"WHI"</f>
        <v>WHI</v>
      </c>
      <c r="K1166" s="1">
        <v>1</v>
      </c>
      <c r="L1166" s="1" t="str">
        <f t="shared" si="768"/>
        <v>01</v>
      </c>
      <c r="M1166" s="1" t="str">
        <f t="shared" si="763"/>
        <v>408</v>
      </c>
      <c r="N1166" s="1" t="str">
        <f t="shared" si="779"/>
        <v>008</v>
      </c>
      <c r="O1166" s="1" t="str">
        <f t="shared" si="769"/>
        <v>00</v>
      </c>
      <c r="P1166" s="1" t="str">
        <f t="shared" si="770"/>
        <v>S</v>
      </c>
      <c r="Q1166" s="1" t="str">
        <f t="shared" si="771"/>
        <v>P</v>
      </c>
      <c r="R1166" s="1" t="str">
        <f t="shared" si="772"/>
        <v>01</v>
      </c>
      <c r="S1166" s="1" t="str">
        <f t="shared" si="764"/>
        <v>04</v>
      </c>
      <c r="T1166" s="1" t="str">
        <f t="shared" si="773"/>
        <v>False</v>
      </c>
      <c r="U1166" s="1" t="str">
        <f t="shared" si="774"/>
        <v>True</v>
      </c>
      <c r="V1166" s="1" t="str">
        <f>"U0033253"</f>
        <v>U0033253</v>
      </c>
      <c r="W1166" s="1">
        <v>1</v>
      </c>
      <c r="Y1166" s="1">
        <v>0</v>
      </c>
      <c r="Z1166" s="1">
        <v>0</v>
      </c>
      <c r="AB1166" s="1" t="str">
        <f t="shared" si="765"/>
        <v>SMU</v>
      </c>
      <c r="AI1166" s="1" t="str">
        <f t="shared" si="780"/>
        <v>106</v>
      </c>
      <c r="AJ1166" s="1" t="str">
        <f t="shared" si="759"/>
        <v>MAN</v>
      </c>
      <c r="AK1166" s="1" t="str">
        <f t="shared" si="775"/>
        <v>PA</v>
      </c>
      <c r="AP1166" s="1" t="str">
        <f t="shared" si="776"/>
        <v>False</v>
      </c>
      <c r="AR1166" s="1" t="str">
        <f t="shared" si="760"/>
        <v>MARCS</v>
      </c>
      <c r="AY1166" s="1" t="str">
        <f t="shared" si="777"/>
        <v>PF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 t="str">
        <f t="shared" si="761"/>
        <v>RCS GOMMA TWILL CANVAS+PU LEAT</v>
      </c>
      <c r="BF1166" s="1" t="str">
        <f t="shared" si="778"/>
        <v>Bonis SpA</v>
      </c>
    </row>
    <row r="1167" spans="2:58" x14ac:dyDescent="0.25">
      <c r="B1167" s="1">
        <v>2479</v>
      </c>
      <c r="C1167" s="1" t="str">
        <f t="shared" si="755"/>
        <v>MARCS4137S7/C1A</v>
      </c>
      <c r="E1167" s="1" t="str">
        <f>"41"</f>
        <v>41</v>
      </c>
      <c r="F1167" s="1" t="str">
        <f t="shared" si="766"/>
        <v>BONIS SPA</v>
      </c>
      <c r="G1167" s="1" t="str">
        <f t="shared" si="762"/>
        <v>STOCK SCAFFALE MP</v>
      </c>
      <c r="H1167" s="1" t="str">
        <f>"WHI"</f>
        <v>WHI</v>
      </c>
      <c r="K1167" s="1">
        <v>4</v>
      </c>
      <c r="L1167" s="1" t="str">
        <f t="shared" si="768"/>
        <v>01</v>
      </c>
      <c r="M1167" s="1" t="str">
        <f t="shared" si="763"/>
        <v>408</v>
      </c>
      <c r="N1167" s="1" t="str">
        <f t="shared" si="779"/>
        <v>008</v>
      </c>
      <c r="O1167" s="1" t="str">
        <f t="shared" si="769"/>
        <v>00</v>
      </c>
      <c r="P1167" s="1" t="str">
        <f t="shared" si="770"/>
        <v>S</v>
      </c>
      <c r="Q1167" s="1" t="str">
        <f t="shared" si="771"/>
        <v>P</v>
      </c>
      <c r="R1167" s="1" t="str">
        <f t="shared" si="772"/>
        <v>01</v>
      </c>
      <c r="S1167" s="1" t="str">
        <f t="shared" si="764"/>
        <v>04</v>
      </c>
      <c r="T1167" s="1" t="str">
        <f t="shared" si="773"/>
        <v>False</v>
      </c>
      <c r="U1167" s="1" t="str">
        <f t="shared" si="774"/>
        <v>True</v>
      </c>
      <c r="V1167" s="1" t="str">
        <f>"U0033253"</f>
        <v>U0033253</v>
      </c>
      <c r="W1167" s="1">
        <v>1</v>
      </c>
      <c r="Y1167" s="1">
        <v>0</v>
      </c>
      <c r="Z1167" s="1">
        <v>0</v>
      </c>
      <c r="AB1167" s="1" t="str">
        <f t="shared" si="765"/>
        <v>SMU</v>
      </c>
      <c r="AI1167" s="1" t="str">
        <f t="shared" si="780"/>
        <v>106</v>
      </c>
      <c r="AJ1167" s="1" t="str">
        <f t="shared" si="759"/>
        <v>MAN</v>
      </c>
      <c r="AK1167" s="1" t="str">
        <f t="shared" si="775"/>
        <v>PA</v>
      </c>
      <c r="AP1167" s="1" t="str">
        <f t="shared" si="776"/>
        <v>False</v>
      </c>
      <c r="AR1167" s="1" t="str">
        <f t="shared" si="760"/>
        <v>MARCS</v>
      </c>
      <c r="AY1167" s="1" t="str">
        <f t="shared" si="777"/>
        <v>PF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 t="str">
        <f t="shared" si="761"/>
        <v>RCS GOMMA TWILL CANVAS+PU LEAT</v>
      </c>
      <c r="BF1167" s="1" t="str">
        <f t="shared" si="778"/>
        <v>Bonis SpA</v>
      </c>
    </row>
    <row r="1168" spans="2:58" x14ac:dyDescent="0.25">
      <c r="B1168" s="1">
        <v>2479</v>
      </c>
      <c r="C1168" s="1" t="str">
        <f t="shared" si="755"/>
        <v>MARCS4137S7/C1A</v>
      </c>
      <c r="E1168" s="1" t="str">
        <f>"44"</f>
        <v>44</v>
      </c>
      <c r="F1168" s="1" t="str">
        <f t="shared" si="766"/>
        <v>BONIS SPA</v>
      </c>
      <c r="G1168" s="1" t="str">
        <f t="shared" si="762"/>
        <v>STOCK SCAFFALE MP</v>
      </c>
      <c r="H1168" s="1" t="str">
        <f>"WHI"</f>
        <v>WHI</v>
      </c>
      <c r="K1168" s="1">
        <v>3</v>
      </c>
      <c r="L1168" s="1" t="str">
        <f t="shared" si="768"/>
        <v>01</v>
      </c>
      <c r="M1168" s="1" t="str">
        <f t="shared" si="763"/>
        <v>408</v>
      </c>
      <c r="N1168" s="1" t="str">
        <f t="shared" si="779"/>
        <v>008</v>
      </c>
      <c r="O1168" s="1" t="str">
        <f t="shared" si="769"/>
        <v>00</v>
      </c>
      <c r="P1168" s="1" t="str">
        <f t="shared" si="770"/>
        <v>S</v>
      </c>
      <c r="Q1168" s="1" t="str">
        <f t="shared" si="771"/>
        <v>P</v>
      </c>
      <c r="R1168" s="1" t="str">
        <f t="shared" si="772"/>
        <v>01</v>
      </c>
      <c r="S1168" s="1" t="str">
        <f t="shared" si="764"/>
        <v>04</v>
      </c>
      <c r="T1168" s="1" t="str">
        <f t="shared" si="773"/>
        <v>False</v>
      </c>
      <c r="U1168" s="1" t="str">
        <f t="shared" si="774"/>
        <v>True</v>
      </c>
      <c r="V1168" s="1" t="str">
        <f>"U0033253"</f>
        <v>U0033253</v>
      </c>
      <c r="W1168" s="1">
        <v>1</v>
      </c>
      <c r="Y1168" s="1">
        <v>0</v>
      </c>
      <c r="Z1168" s="1">
        <v>0</v>
      </c>
      <c r="AB1168" s="1" t="str">
        <f t="shared" si="765"/>
        <v>SMU</v>
      </c>
      <c r="AI1168" s="1" t="str">
        <f t="shared" si="780"/>
        <v>106</v>
      </c>
      <c r="AJ1168" s="1" t="str">
        <f t="shared" si="759"/>
        <v>MAN</v>
      </c>
      <c r="AK1168" s="1" t="str">
        <f t="shared" si="775"/>
        <v>PA</v>
      </c>
      <c r="AP1168" s="1" t="str">
        <f t="shared" si="776"/>
        <v>False</v>
      </c>
      <c r="AR1168" s="1" t="str">
        <f t="shared" si="760"/>
        <v>MARCS</v>
      </c>
      <c r="AY1168" s="1" t="str">
        <f t="shared" si="777"/>
        <v>PF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 t="str">
        <f t="shared" si="761"/>
        <v>RCS GOMMA TWILL CANVAS+PU LEAT</v>
      </c>
      <c r="BF1168" s="1" t="str">
        <f t="shared" si="778"/>
        <v>Bonis SpA</v>
      </c>
    </row>
    <row r="1169" spans="2:58" x14ac:dyDescent="0.25">
      <c r="B1169" s="1">
        <v>2479</v>
      </c>
      <c r="C1169" s="1" t="str">
        <f>"DYON4154S7/C1A"</f>
        <v>DYON4154S7/C1A</v>
      </c>
      <c r="E1169" s="1" t="str">
        <f>"40"</f>
        <v>40</v>
      </c>
      <c r="F1169" s="1" t="str">
        <f t="shared" si="766"/>
        <v>BONIS SPA</v>
      </c>
      <c r="G1169" s="1" t="str">
        <f t="shared" si="762"/>
        <v>STOCK SCAFFALE MP</v>
      </c>
      <c r="H1169" s="1" t="str">
        <f>"WHI"</f>
        <v>WHI</v>
      </c>
      <c r="K1169" s="1">
        <v>1</v>
      </c>
      <c r="L1169" s="1" t="str">
        <f t="shared" si="768"/>
        <v>01</v>
      </c>
      <c r="M1169" s="1" t="str">
        <f t="shared" si="763"/>
        <v>408</v>
      </c>
      <c r="N1169" s="1" t="str">
        <f t="shared" si="779"/>
        <v>008</v>
      </c>
      <c r="O1169" s="1" t="str">
        <f t="shared" si="769"/>
        <v>00</v>
      </c>
      <c r="P1169" s="1" t="str">
        <f t="shared" si="770"/>
        <v>S</v>
      </c>
      <c r="Q1169" s="1" t="str">
        <f t="shared" si="771"/>
        <v>P</v>
      </c>
      <c r="R1169" s="1" t="str">
        <f t="shared" si="772"/>
        <v>01</v>
      </c>
      <c r="S1169" s="1" t="str">
        <f t="shared" si="764"/>
        <v>04</v>
      </c>
      <c r="T1169" s="1" t="str">
        <f t="shared" si="773"/>
        <v>False</v>
      </c>
      <c r="U1169" s="1" t="str">
        <f t="shared" si="774"/>
        <v>True</v>
      </c>
      <c r="V1169" s="1" t="str">
        <f>"U0033253"</f>
        <v>U0033253</v>
      </c>
      <c r="W1169" s="1">
        <v>1</v>
      </c>
      <c r="Y1169" s="1">
        <v>0</v>
      </c>
      <c r="Z1169" s="1">
        <v>0</v>
      </c>
      <c r="AB1169" s="1" t="str">
        <f t="shared" si="765"/>
        <v>SMU</v>
      </c>
      <c r="AI1169" s="1" t="str">
        <f t="shared" si="780"/>
        <v>106</v>
      </c>
      <c r="AJ1169" s="1" t="str">
        <f>"WOMAN"</f>
        <v>WOMAN</v>
      </c>
      <c r="AK1169" s="1" t="str">
        <f t="shared" si="775"/>
        <v>PA</v>
      </c>
      <c r="AP1169" s="1" t="str">
        <f t="shared" si="776"/>
        <v>False</v>
      </c>
      <c r="AR1169" s="1" t="str">
        <f>"DYON"</f>
        <v>DYON</v>
      </c>
      <c r="AY1169" s="1" t="str">
        <f t="shared" si="777"/>
        <v>PF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 t="str">
        <f>"E GOMMA TWILL canvas"</f>
        <v>E GOMMA TWILL canvas</v>
      </c>
      <c r="BF1169" s="1" t="str">
        <f t="shared" si="778"/>
        <v>Bonis SpA</v>
      </c>
    </row>
    <row r="1170" spans="2:58" x14ac:dyDescent="0.25">
      <c r="B1170" s="1">
        <v>2479</v>
      </c>
      <c r="C1170" s="1" t="str">
        <f t="shared" ref="C1170:C1190" si="781">"MARCS4137S7/C1A"</f>
        <v>MARCS4137S7/C1A</v>
      </c>
      <c r="E1170" s="1" t="str">
        <f>"44"</f>
        <v>44</v>
      </c>
      <c r="F1170" s="1" t="str">
        <f t="shared" si="766"/>
        <v>BONIS SPA</v>
      </c>
      <c r="G1170" s="1" t="str">
        <f t="shared" si="762"/>
        <v>STOCK SCAFFALE MP</v>
      </c>
      <c r="H1170" s="1" t="str">
        <f t="shared" ref="H1170:H1182" si="782">"DKBL"</f>
        <v>DKBL</v>
      </c>
      <c r="K1170" s="1">
        <v>2</v>
      </c>
      <c r="L1170" s="1" t="str">
        <f t="shared" si="768"/>
        <v>01</v>
      </c>
      <c r="M1170" s="1" t="str">
        <f t="shared" si="763"/>
        <v>408</v>
      </c>
      <c r="N1170" s="1" t="str">
        <f t="shared" si="779"/>
        <v>008</v>
      </c>
      <c r="O1170" s="1" t="str">
        <f t="shared" si="769"/>
        <v>00</v>
      </c>
      <c r="P1170" s="1" t="str">
        <f t="shared" si="770"/>
        <v>S</v>
      </c>
      <c r="Q1170" s="1" t="str">
        <f t="shared" si="771"/>
        <v>P</v>
      </c>
      <c r="R1170" s="1" t="str">
        <f t="shared" si="772"/>
        <v>01</v>
      </c>
      <c r="S1170" s="1" t="str">
        <f t="shared" si="764"/>
        <v>04</v>
      </c>
      <c r="T1170" s="1" t="str">
        <f t="shared" si="773"/>
        <v>False</v>
      </c>
      <c r="U1170" s="1" t="str">
        <f t="shared" si="774"/>
        <v>True</v>
      </c>
      <c r="V1170" s="1" t="str">
        <f>"U0033252"</f>
        <v>U0033252</v>
      </c>
      <c r="W1170" s="1">
        <v>1</v>
      </c>
      <c r="Y1170" s="1">
        <v>0</v>
      </c>
      <c r="Z1170" s="1">
        <v>0</v>
      </c>
      <c r="AB1170" s="1" t="str">
        <f t="shared" si="765"/>
        <v>SMU</v>
      </c>
      <c r="AI1170" s="1" t="str">
        <f t="shared" si="780"/>
        <v>106</v>
      </c>
      <c r="AJ1170" s="1" t="str">
        <f t="shared" ref="AJ1170:AJ1202" si="783">"MAN"</f>
        <v>MAN</v>
      </c>
      <c r="AK1170" s="1" t="str">
        <f t="shared" si="775"/>
        <v>PA</v>
      </c>
      <c r="AP1170" s="1" t="str">
        <f t="shared" si="776"/>
        <v>False</v>
      </c>
      <c r="AR1170" s="1" t="str">
        <f t="shared" ref="AR1170:AR1190" si="784">"MARCS"</f>
        <v>MARCS</v>
      </c>
      <c r="AY1170" s="1" t="str">
        <f t="shared" si="777"/>
        <v>PF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 t="str">
        <f t="shared" ref="BE1170:BE1190" si="785">"RCS GOMMA TWILL CANVAS+PU LEAT"</f>
        <v>RCS GOMMA TWILL CANVAS+PU LEAT</v>
      </c>
      <c r="BF1170" s="1" t="str">
        <f t="shared" si="778"/>
        <v>Bonis SpA</v>
      </c>
    </row>
    <row r="1171" spans="2:58" x14ac:dyDescent="0.25">
      <c r="B1171" s="1">
        <v>2479</v>
      </c>
      <c r="C1171" s="1" t="str">
        <f t="shared" si="781"/>
        <v>MARCS4137S7/C1A</v>
      </c>
      <c r="E1171" s="1" t="str">
        <f>"41"</f>
        <v>41</v>
      </c>
      <c r="F1171" s="1" t="str">
        <f t="shared" si="766"/>
        <v>BONIS SPA</v>
      </c>
      <c r="G1171" s="1" t="str">
        <f t="shared" si="762"/>
        <v>STOCK SCAFFALE MP</v>
      </c>
      <c r="H1171" s="1" t="str">
        <f t="shared" si="782"/>
        <v>DKBL</v>
      </c>
      <c r="K1171" s="1">
        <v>1</v>
      </c>
      <c r="L1171" s="1" t="str">
        <f t="shared" si="768"/>
        <v>01</v>
      </c>
      <c r="M1171" s="1" t="str">
        <f t="shared" si="763"/>
        <v>408</v>
      </c>
      <c r="N1171" s="1" t="str">
        <f t="shared" si="779"/>
        <v>008</v>
      </c>
      <c r="O1171" s="1" t="str">
        <f t="shared" si="769"/>
        <v>00</v>
      </c>
      <c r="P1171" s="1" t="str">
        <f t="shared" si="770"/>
        <v>S</v>
      </c>
      <c r="Q1171" s="1" t="str">
        <f t="shared" si="771"/>
        <v>P</v>
      </c>
      <c r="R1171" s="1" t="str">
        <f t="shared" si="772"/>
        <v>01</v>
      </c>
      <c r="S1171" s="1" t="str">
        <f t="shared" si="764"/>
        <v>04</v>
      </c>
      <c r="T1171" s="1" t="str">
        <f t="shared" si="773"/>
        <v>False</v>
      </c>
      <c r="U1171" s="1" t="str">
        <f t="shared" si="774"/>
        <v>True</v>
      </c>
      <c r="V1171" s="1" t="str">
        <f>"U0033252"</f>
        <v>U0033252</v>
      </c>
      <c r="W1171" s="1">
        <v>1</v>
      </c>
      <c r="Y1171" s="1">
        <v>0</v>
      </c>
      <c r="Z1171" s="1">
        <v>0</v>
      </c>
      <c r="AB1171" s="1" t="str">
        <f t="shared" si="765"/>
        <v>SMU</v>
      </c>
      <c r="AI1171" s="1" t="str">
        <f t="shared" si="780"/>
        <v>106</v>
      </c>
      <c r="AJ1171" s="1" t="str">
        <f t="shared" si="783"/>
        <v>MAN</v>
      </c>
      <c r="AK1171" s="1" t="str">
        <f t="shared" si="775"/>
        <v>PA</v>
      </c>
      <c r="AP1171" s="1" t="str">
        <f t="shared" si="776"/>
        <v>False</v>
      </c>
      <c r="AR1171" s="1" t="str">
        <f t="shared" si="784"/>
        <v>MARCS</v>
      </c>
      <c r="AY1171" s="1" t="str">
        <f t="shared" si="777"/>
        <v>PF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 t="str">
        <f t="shared" si="785"/>
        <v>RCS GOMMA TWILL CANVAS+PU LEAT</v>
      </c>
      <c r="BF1171" s="1" t="str">
        <f t="shared" si="778"/>
        <v>Bonis SpA</v>
      </c>
    </row>
    <row r="1172" spans="2:58" x14ac:dyDescent="0.25">
      <c r="B1172" s="1">
        <v>2479</v>
      </c>
      <c r="C1172" s="1" t="str">
        <f t="shared" si="781"/>
        <v>MARCS4137S7/C1A</v>
      </c>
      <c r="E1172" s="1" t="str">
        <f>"41"</f>
        <v>41</v>
      </c>
      <c r="F1172" s="1" t="str">
        <f t="shared" si="766"/>
        <v>BONIS SPA</v>
      </c>
      <c r="G1172" s="1" t="str">
        <f t="shared" si="762"/>
        <v>STOCK SCAFFALE MP</v>
      </c>
      <c r="H1172" s="1" t="str">
        <f t="shared" si="782"/>
        <v>DKBL</v>
      </c>
      <c r="K1172" s="1">
        <v>1</v>
      </c>
      <c r="L1172" s="1" t="str">
        <f t="shared" si="768"/>
        <v>01</v>
      </c>
      <c r="M1172" s="1" t="str">
        <f t="shared" si="763"/>
        <v>408</v>
      </c>
      <c r="N1172" s="1" t="str">
        <f t="shared" si="779"/>
        <v>008</v>
      </c>
      <c r="O1172" s="1" t="str">
        <f t="shared" si="769"/>
        <v>00</v>
      </c>
      <c r="P1172" s="1" t="str">
        <f t="shared" si="770"/>
        <v>S</v>
      </c>
      <c r="Q1172" s="1" t="str">
        <f t="shared" si="771"/>
        <v>P</v>
      </c>
      <c r="R1172" s="1" t="str">
        <f t="shared" si="772"/>
        <v>01</v>
      </c>
      <c r="S1172" s="1" t="str">
        <f t="shared" si="764"/>
        <v>04</v>
      </c>
      <c r="T1172" s="1" t="str">
        <f t="shared" si="773"/>
        <v>False</v>
      </c>
      <c r="U1172" s="1" t="str">
        <f t="shared" si="774"/>
        <v>True</v>
      </c>
      <c r="V1172" s="1" t="str">
        <f>"U0033254"</f>
        <v>U0033254</v>
      </c>
      <c r="W1172" s="1">
        <v>1</v>
      </c>
      <c r="Y1172" s="1">
        <v>0</v>
      </c>
      <c r="Z1172" s="1">
        <v>0</v>
      </c>
      <c r="AB1172" s="1" t="str">
        <f t="shared" si="765"/>
        <v>SMU</v>
      </c>
      <c r="AI1172" s="1" t="str">
        <f t="shared" si="780"/>
        <v>106</v>
      </c>
      <c r="AJ1172" s="1" t="str">
        <f t="shared" si="783"/>
        <v>MAN</v>
      </c>
      <c r="AK1172" s="1" t="str">
        <f t="shared" si="775"/>
        <v>PA</v>
      </c>
      <c r="AP1172" s="1" t="str">
        <f t="shared" si="776"/>
        <v>False</v>
      </c>
      <c r="AR1172" s="1" t="str">
        <f t="shared" si="784"/>
        <v>MARCS</v>
      </c>
      <c r="AY1172" s="1" t="str">
        <f t="shared" si="777"/>
        <v>PF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 t="str">
        <f t="shared" si="785"/>
        <v>RCS GOMMA TWILL CANVAS+PU LEAT</v>
      </c>
      <c r="BF1172" s="1" t="str">
        <f t="shared" si="778"/>
        <v>Bonis SpA</v>
      </c>
    </row>
    <row r="1173" spans="2:58" x14ac:dyDescent="0.25">
      <c r="B1173" s="1">
        <v>2479</v>
      </c>
      <c r="C1173" s="1" t="str">
        <f t="shared" si="781"/>
        <v>MARCS4137S7/C1A</v>
      </c>
      <c r="E1173" s="1" t="str">
        <f>"42"</f>
        <v>42</v>
      </c>
      <c r="F1173" s="1" t="str">
        <f t="shared" si="766"/>
        <v>BONIS SPA</v>
      </c>
      <c r="G1173" s="1" t="str">
        <f t="shared" si="762"/>
        <v>STOCK SCAFFALE MP</v>
      </c>
      <c r="H1173" s="1" t="str">
        <f t="shared" si="782"/>
        <v>DKBL</v>
      </c>
      <c r="K1173" s="1">
        <v>4</v>
      </c>
      <c r="L1173" s="1" t="str">
        <f t="shared" si="768"/>
        <v>01</v>
      </c>
      <c r="M1173" s="1" t="str">
        <f t="shared" si="763"/>
        <v>408</v>
      </c>
      <c r="N1173" s="1" t="str">
        <f t="shared" si="779"/>
        <v>008</v>
      </c>
      <c r="O1173" s="1" t="str">
        <f t="shared" si="769"/>
        <v>00</v>
      </c>
      <c r="P1173" s="1" t="str">
        <f t="shared" si="770"/>
        <v>S</v>
      </c>
      <c r="Q1173" s="1" t="str">
        <f t="shared" si="771"/>
        <v>P</v>
      </c>
      <c r="R1173" s="1" t="str">
        <f t="shared" si="772"/>
        <v>01</v>
      </c>
      <c r="S1173" s="1" t="str">
        <f t="shared" si="764"/>
        <v>04</v>
      </c>
      <c r="T1173" s="1" t="str">
        <f t="shared" si="773"/>
        <v>False</v>
      </c>
      <c r="U1173" s="1" t="str">
        <f t="shared" si="774"/>
        <v>True</v>
      </c>
      <c r="V1173" s="1" t="str">
        <f>"U0033252"</f>
        <v>U0033252</v>
      </c>
      <c r="W1173" s="1">
        <v>1</v>
      </c>
      <c r="Y1173" s="1">
        <v>0</v>
      </c>
      <c r="Z1173" s="1">
        <v>0</v>
      </c>
      <c r="AB1173" s="1" t="str">
        <f t="shared" si="765"/>
        <v>SMU</v>
      </c>
      <c r="AI1173" s="1" t="str">
        <f t="shared" si="780"/>
        <v>106</v>
      </c>
      <c r="AJ1173" s="1" t="str">
        <f t="shared" si="783"/>
        <v>MAN</v>
      </c>
      <c r="AK1173" s="1" t="str">
        <f t="shared" si="775"/>
        <v>PA</v>
      </c>
      <c r="AP1173" s="1" t="str">
        <f t="shared" si="776"/>
        <v>False</v>
      </c>
      <c r="AR1173" s="1" t="str">
        <f t="shared" si="784"/>
        <v>MARCS</v>
      </c>
      <c r="AY1173" s="1" t="str">
        <f t="shared" si="777"/>
        <v>PF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 t="str">
        <f t="shared" si="785"/>
        <v>RCS GOMMA TWILL CANVAS+PU LEAT</v>
      </c>
      <c r="BF1173" s="1" t="str">
        <f t="shared" si="778"/>
        <v>Bonis SpA</v>
      </c>
    </row>
    <row r="1174" spans="2:58" x14ac:dyDescent="0.25">
      <c r="B1174" s="1">
        <v>2479</v>
      </c>
      <c r="C1174" s="1" t="str">
        <f t="shared" si="781"/>
        <v>MARCS4137S7/C1A</v>
      </c>
      <c r="E1174" s="1" t="str">
        <f>"43"</f>
        <v>43</v>
      </c>
      <c r="F1174" s="1" t="str">
        <f t="shared" si="766"/>
        <v>BONIS SPA</v>
      </c>
      <c r="G1174" s="1" t="str">
        <f t="shared" si="762"/>
        <v>STOCK SCAFFALE MP</v>
      </c>
      <c r="H1174" s="1" t="str">
        <f t="shared" si="782"/>
        <v>DKBL</v>
      </c>
      <c r="K1174" s="1">
        <v>1</v>
      </c>
      <c r="L1174" s="1" t="str">
        <f t="shared" si="768"/>
        <v>01</v>
      </c>
      <c r="M1174" s="1" t="str">
        <f t="shared" si="763"/>
        <v>408</v>
      </c>
      <c r="N1174" s="1" t="str">
        <f t="shared" si="779"/>
        <v>008</v>
      </c>
      <c r="O1174" s="1" t="str">
        <f t="shared" si="769"/>
        <v>00</v>
      </c>
      <c r="P1174" s="1" t="str">
        <f t="shared" si="770"/>
        <v>S</v>
      </c>
      <c r="Q1174" s="1" t="str">
        <f t="shared" si="771"/>
        <v>P</v>
      </c>
      <c r="R1174" s="1" t="str">
        <f t="shared" si="772"/>
        <v>01</v>
      </c>
      <c r="S1174" s="1" t="str">
        <f t="shared" si="764"/>
        <v>04</v>
      </c>
      <c r="T1174" s="1" t="str">
        <f t="shared" si="773"/>
        <v>False</v>
      </c>
      <c r="U1174" s="1" t="str">
        <f t="shared" si="774"/>
        <v>True</v>
      </c>
      <c r="V1174" s="1" t="str">
        <f>"U0033252"</f>
        <v>U0033252</v>
      </c>
      <c r="W1174" s="1">
        <v>1</v>
      </c>
      <c r="Y1174" s="1">
        <v>0</v>
      </c>
      <c r="Z1174" s="1">
        <v>0</v>
      </c>
      <c r="AB1174" s="1" t="str">
        <f t="shared" si="765"/>
        <v>SMU</v>
      </c>
      <c r="AI1174" s="1" t="str">
        <f t="shared" si="780"/>
        <v>106</v>
      </c>
      <c r="AJ1174" s="1" t="str">
        <f t="shared" si="783"/>
        <v>MAN</v>
      </c>
      <c r="AK1174" s="1" t="str">
        <f t="shared" si="775"/>
        <v>PA</v>
      </c>
      <c r="AP1174" s="1" t="str">
        <f t="shared" si="776"/>
        <v>False</v>
      </c>
      <c r="AR1174" s="1" t="str">
        <f t="shared" si="784"/>
        <v>MARCS</v>
      </c>
      <c r="AY1174" s="1" t="str">
        <f t="shared" si="777"/>
        <v>PF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 t="str">
        <f t="shared" si="785"/>
        <v>RCS GOMMA TWILL CANVAS+PU LEAT</v>
      </c>
      <c r="BF1174" s="1" t="str">
        <f t="shared" si="778"/>
        <v>Bonis SpA</v>
      </c>
    </row>
    <row r="1175" spans="2:58" x14ac:dyDescent="0.25">
      <c r="B1175" s="1">
        <v>2479</v>
      </c>
      <c r="C1175" s="1" t="str">
        <f t="shared" si="781"/>
        <v>MARCS4137S7/C1A</v>
      </c>
      <c r="E1175" s="1" t="str">
        <f>"44"</f>
        <v>44</v>
      </c>
      <c r="F1175" s="1" t="str">
        <f t="shared" si="766"/>
        <v>BONIS SPA</v>
      </c>
      <c r="G1175" s="1" t="str">
        <f t="shared" si="762"/>
        <v>STOCK SCAFFALE MP</v>
      </c>
      <c r="H1175" s="1" t="str">
        <f t="shared" si="782"/>
        <v>DKBL</v>
      </c>
      <c r="K1175" s="1">
        <v>2</v>
      </c>
      <c r="L1175" s="1" t="str">
        <f t="shared" si="768"/>
        <v>01</v>
      </c>
      <c r="M1175" s="1" t="str">
        <f t="shared" si="763"/>
        <v>408</v>
      </c>
      <c r="N1175" s="1" t="str">
        <f t="shared" si="779"/>
        <v>008</v>
      </c>
      <c r="O1175" s="1" t="str">
        <f t="shared" si="769"/>
        <v>00</v>
      </c>
      <c r="P1175" s="1" t="str">
        <f t="shared" si="770"/>
        <v>S</v>
      </c>
      <c r="Q1175" s="1" t="str">
        <f t="shared" si="771"/>
        <v>P</v>
      </c>
      <c r="R1175" s="1" t="str">
        <f t="shared" si="772"/>
        <v>01</v>
      </c>
      <c r="S1175" s="1" t="str">
        <f t="shared" si="764"/>
        <v>04</v>
      </c>
      <c r="T1175" s="1" t="str">
        <f t="shared" si="773"/>
        <v>False</v>
      </c>
      <c r="U1175" s="1" t="str">
        <f t="shared" si="774"/>
        <v>True</v>
      </c>
      <c r="V1175" s="1" t="str">
        <f>"U0033251"</f>
        <v>U0033251</v>
      </c>
      <c r="W1175" s="1">
        <v>1</v>
      </c>
      <c r="Y1175" s="1">
        <v>0</v>
      </c>
      <c r="Z1175" s="1">
        <v>0</v>
      </c>
      <c r="AB1175" s="1" t="str">
        <f t="shared" si="765"/>
        <v>SMU</v>
      </c>
      <c r="AI1175" s="1" t="str">
        <f t="shared" si="780"/>
        <v>106</v>
      </c>
      <c r="AJ1175" s="1" t="str">
        <f t="shared" si="783"/>
        <v>MAN</v>
      </c>
      <c r="AK1175" s="1" t="str">
        <f t="shared" si="775"/>
        <v>PA</v>
      </c>
      <c r="AP1175" s="1" t="str">
        <f t="shared" si="776"/>
        <v>False</v>
      </c>
      <c r="AR1175" s="1" t="str">
        <f t="shared" si="784"/>
        <v>MARCS</v>
      </c>
      <c r="AY1175" s="1" t="str">
        <f t="shared" si="777"/>
        <v>PF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 t="str">
        <f t="shared" si="785"/>
        <v>RCS GOMMA TWILL CANVAS+PU LEAT</v>
      </c>
      <c r="BF1175" s="1" t="str">
        <f t="shared" si="778"/>
        <v>Bonis SpA</v>
      </c>
    </row>
    <row r="1176" spans="2:58" x14ac:dyDescent="0.25">
      <c r="B1176" s="1">
        <v>2479</v>
      </c>
      <c r="C1176" s="1" t="str">
        <f t="shared" si="781"/>
        <v>MARCS4137S7/C1A</v>
      </c>
      <c r="E1176" s="1" t="str">
        <f>"43"</f>
        <v>43</v>
      </c>
      <c r="F1176" s="1" t="str">
        <f t="shared" si="766"/>
        <v>BONIS SPA</v>
      </c>
      <c r="G1176" s="1" t="str">
        <f t="shared" si="762"/>
        <v>STOCK SCAFFALE MP</v>
      </c>
      <c r="H1176" s="1" t="str">
        <f t="shared" si="782"/>
        <v>DKBL</v>
      </c>
      <c r="K1176" s="1">
        <v>3</v>
      </c>
      <c r="L1176" s="1" t="str">
        <f t="shared" si="768"/>
        <v>01</v>
      </c>
      <c r="M1176" s="1" t="str">
        <f t="shared" si="763"/>
        <v>408</v>
      </c>
      <c r="N1176" s="1" t="str">
        <f t="shared" si="779"/>
        <v>008</v>
      </c>
      <c r="O1176" s="1" t="str">
        <f t="shared" si="769"/>
        <v>00</v>
      </c>
      <c r="P1176" s="1" t="str">
        <f t="shared" si="770"/>
        <v>S</v>
      </c>
      <c r="Q1176" s="1" t="str">
        <f t="shared" si="771"/>
        <v>P</v>
      </c>
      <c r="R1176" s="1" t="str">
        <f t="shared" si="772"/>
        <v>01</v>
      </c>
      <c r="S1176" s="1" t="str">
        <f t="shared" si="764"/>
        <v>04</v>
      </c>
      <c r="T1176" s="1" t="str">
        <f t="shared" si="773"/>
        <v>False</v>
      </c>
      <c r="U1176" s="1" t="str">
        <f t="shared" si="774"/>
        <v>True</v>
      </c>
      <c r="V1176" s="1" t="str">
        <f>"U0033251"</f>
        <v>U0033251</v>
      </c>
      <c r="W1176" s="1">
        <v>1</v>
      </c>
      <c r="Y1176" s="1">
        <v>0</v>
      </c>
      <c r="Z1176" s="1">
        <v>0</v>
      </c>
      <c r="AB1176" s="1" t="str">
        <f t="shared" si="765"/>
        <v>SMU</v>
      </c>
      <c r="AI1176" s="1" t="str">
        <f t="shared" si="780"/>
        <v>106</v>
      </c>
      <c r="AJ1176" s="1" t="str">
        <f t="shared" si="783"/>
        <v>MAN</v>
      </c>
      <c r="AK1176" s="1" t="str">
        <f t="shared" si="775"/>
        <v>PA</v>
      </c>
      <c r="AP1176" s="1" t="str">
        <f t="shared" si="776"/>
        <v>False</v>
      </c>
      <c r="AR1176" s="1" t="str">
        <f t="shared" si="784"/>
        <v>MARCS</v>
      </c>
      <c r="AY1176" s="1" t="str">
        <f t="shared" si="777"/>
        <v>PF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 t="str">
        <f t="shared" si="785"/>
        <v>RCS GOMMA TWILL CANVAS+PU LEAT</v>
      </c>
      <c r="BF1176" s="1" t="str">
        <f t="shared" si="778"/>
        <v>Bonis SpA</v>
      </c>
    </row>
    <row r="1177" spans="2:58" x14ac:dyDescent="0.25">
      <c r="B1177" s="1">
        <v>2479</v>
      </c>
      <c r="C1177" s="1" t="str">
        <f t="shared" si="781"/>
        <v>MARCS4137S7/C1A</v>
      </c>
      <c r="E1177" s="1" t="str">
        <f>"42"</f>
        <v>42</v>
      </c>
      <c r="F1177" s="1" t="str">
        <f t="shared" si="766"/>
        <v>BONIS SPA</v>
      </c>
      <c r="G1177" s="1" t="str">
        <f t="shared" si="762"/>
        <v>STOCK SCAFFALE MP</v>
      </c>
      <c r="H1177" s="1" t="str">
        <f t="shared" si="782"/>
        <v>DKBL</v>
      </c>
      <c r="K1177" s="1">
        <v>5</v>
      </c>
      <c r="L1177" s="1" t="str">
        <f t="shared" si="768"/>
        <v>01</v>
      </c>
      <c r="M1177" s="1" t="str">
        <f t="shared" si="763"/>
        <v>408</v>
      </c>
      <c r="N1177" s="1" t="str">
        <f t="shared" si="779"/>
        <v>008</v>
      </c>
      <c r="O1177" s="1" t="str">
        <f t="shared" si="769"/>
        <v>00</v>
      </c>
      <c r="P1177" s="1" t="str">
        <f t="shared" si="770"/>
        <v>S</v>
      </c>
      <c r="Q1177" s="1" t="str">
        <f t="shared" si="771"/>
        <v>P</v>
      </c>
      <c r="R1177" s="1" t="str">
        <f t="shared" si="772"/>
        <v>01</v>
      </c>
      <c r="S1177" s="1" t="str">
        <f t="shared" si="764"/>
        <v>04</v>
      </c>
      <c r="T1177" s="1" t="str">
        <f t="shared" si="773"/>
        <v>False</v>
      </c>
      <c r="U1177" s="1" t="str">
        <f t="shared" si="774"/>
        <v>True</v>
      </c>
      <c r="V1177" s="1" t="str">
        <f>"U0033251"</f>
        <v>U0033251</v>
      </c>
      <c r="W1177" s="1">
        <v>1</v>
      </c>
      <c r="Y1177" s="1">
        <v>0</v>
      </c>
      <c r="Z1177" s="1">
        <v>0</v>
      </c>
      <c r="AB1177" s="1" t="str">
        <f t="shared" si="765"/>
        <v>SMU</v>
      </c>
      <c r="AI1177" s="1" t="str">
        <f t="shared" si="780"/>
        <v>106</v>
      </c>
      <c r="AJ1177" s="1" t="str">
        <f t="shared" si="783"/>
        <v>MAN</v>
      </c>
      <c r="AK1177" s="1" t="str">
        <f t="shared" si="775"/>
        <v>PA</v>
      </c>
      <c r="AP1177" s="1" t="str">
        <f t="shared" si="776"/>
        <v>False</v>
      </c>
      <c r="AR1177" s="1" t="str">
        <f t="shared" si="784"/>
        <v>MARCS</v>
      </c>
      <c r="AY1177" s="1" t="str">
        <f t="shared" si="777"/>
        <v>PF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 t="str">
        <f t="shared" si="785"/>
        <v>RCS GOMMA TWILL CANVAS+PU LEAT</v>
      </c>
      <c r="BF1177" s="1" t="str">
        <f t="shared" si="778"/>
        <v>Bonis SpA</v>
      </c>
    </row>
    <row r="1178" spans="2:58" x14ac:dyDescent="0.25">
      <c r="B1178" s="1">
        <v>2479</v>
      </c>
      <c r="C1178" s="1" t="str">
        <f t="shared" si="781"/>
        <v>MARCS4137S7/C1A</v>
      </c>
      <c r="E1178" s="1" t="str">
        <f>"41"</f>
        <v>41</v>
      </c>
      <c r="F1178" s="1" t="str">
        <f t="shared" si="766"/>
        <v>BONIS SPA</v>
      </c>
      <c r="G1178" s="1" t="str">
        <f t="shared" si="762"/>
        <v>STOCK SCAFFALE MP</v>
      </c>
      <c r="H1178" s="1" t="str">
        <f t="shared" si="782"/>
        <v>DKBL</v>
      </c>
      <c r="K1178" s="1">
        <v>2</v>
      </c>
      <c r="L1178" s="1" t="str">
        <f t="shared" si="768"/>
        <v>01</v>
      </c>
      <c r="M1178" s="1" t="str">
        <f t="shared" si="763"/>
        <v>408</v>
      </c>
      <c r="N1178" s="1" t="str">
        <f t="shared" si="779"/>
        <v>008</v>
      </c>
      <c r="O1178" s="1" t="str">
        <f t="shared" si="769"/>
        <v>00</v>
      </c>
      <c r="P1178" s="1" t="str">
        <f t="shared" si="770"/>
        <v>S</v>
      </c>
      <c r="Q1178" s="1" t="str">
        <f t="shared" si="771"/>
        <v>P</v>
      </c>
      <c r="R1178" s="1" t="str">
        <f t="shared" si="772"/>
        <v>01</v>
      </c>
      <c r="S1178" s="1" t="str">
        <f t="shared" si="764"/>
        <v>04</v>
      </c>
      <c r="T1178" s="1" t="str">
        <f t="shared" si="773"/>
        <v>False</v>
      </c>
      <c r="U1178" s="1" t="str">
        <f t="shared" si="774"/>
        <v>True</v>
      </c>
      <c r="V1178" s="1" t="str">
        <f>"U0033251"</f>
        <v>U0033251</v>
      </c>
      <c r="W1178" s="1">
        <v>1</v>
      </c>
      <c r="Y1178" s="1">
        <v>0</v>
      </c>
      <c r="Z1178" s="1">
        <v>0</v>
      </c>
      <c r="AB1178" s="1" t="str">
        <f t="shared" si="765"/>
        <v>SMU</v>
      </c>
      <c r="AI1178" s="1" t="str">
        <f t="shared" si="780"/>
        <v>106</v>
      </c>
      <c r="AJ1178" s="1" t="str">
        <f t="shared" si="783"/>
        <v>MAN</v>
      </c>
      <c r="AK1178" s="1" t="str">
        <f t="shared" si="775"/>
        <v>PA</v>
      </c>
      <c r="AP1178" s="1" t="str">
        <f t="shared" si="776"/>
        <v>False</v>
      </c>
      <c r="AR1178" s="1" t="str">
        <f t="shared" si="784"/>
        <v>MARCS</v>
      </c>
      <c r="AY1178" s="1" t="str">
        <f t="shared" si="777"/>
        <v>PF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 t="str">
        <f t="shared" si="785"/>
        <v>RCS GOMMA TWILL CANVAS+PU LEAT</v>
      </c>
      <c r="BF1178" s="1" t="str">
        <f t="shared" si="778"/>
        <v>Bonis SpA</v>
      </c>
    </row>
    <row r="1179" spans="2:58" x14ac:dyDescent="0.25">
      <c r="B1179" s="1">
        <v>2479</v>
      </c>
      <c r="C1179" s="1" t="str">
        <f t="shared" si="781"/>
        <v>MARCS4137S7/C1A</v>
      </c>
      <c r="E1179" s="1" t="str">
        <f>"42"</f>
        <v>42</v>
      </c>
      <c r="F1179" s="1" t="str">
        <f t="shared" si="766"/>
        <v>BONIS SPA</v>
      </c>
      <c r="G1179" s="1" t="str">
        <f t="shared" si="762"/>
        <v>STOCK SCAFFALE MP</v>
      </c>
      <c r="H1179" s="1" t="str">
        <f t="shared" si="782"/>
        <v>DKBL</v>
      </c>
      <c r="K1179" s="1">
        <v>4</v>
      </c>
      <c r="L1179" s="1" t="str">
        <f t="shared" si="768"/>
        <v>01</v>
      </c>
      <c r="M1179" s="1" t="str">
        <f t="shared" si="763"/>
        <v>408</v>
      </c>
      <c r="N1179" s="1" t="str">
        <f t="shared" si="779"/>
        <v>008</v>
      </c>
      <c r="O1179" s="1" t="str">
        <f t="shared" si="769"/>
        <v>00</v>
      </c>
      <c r="P1179" s="1" t="str">
        <f t="shared" si="770"/>
        <v>S</v>
      </c>
      <c r="Q1179" s="1" t="str">
        <f t="shared" si="771"/>
        <v>P</v>
      </c>
      <c r="R1179" s="1" t="str">
        <f t="shared" si="772"/>
        <v>01</v>
      </c>
      <c r="S1179" s="1" t="str">
        <f t="shared" si="764"/>
        <v>04</v>
      </c>
      <c r="T1179" s="1" t="str">
        <f t="shared" si="773"/>
        <v>False</v>
      </c>
      <c r="U1179" s="1" t="str">
        <f t="shared" si="774"/>
        <v>True</v>
      </c>
      <c r="V1179" s="1" t="str">
        <f>"U0033250"</f>
        <v>U0033250</v>
      </c>
      <c r="W1179" s="1">
        <v>1</v>
      </c>
      <c r="Y1179" s="1">
        <v>0</v>
      </c>
      <c r="Z1179" s="1">
        <v>0</v>
      </c>
      <c r="AB1179" s="1" t="str">
        <f t="shared" si="765"/>
        <v>SMU</v>
      </c>
      <c r="AI1179" s="1" t="str">
        <f t="shared" si="780"/>
        <v>106</v>
      </c>
      <c r="AJ1179" s="1" t="str">
        <f t="shared" si="783"/>
        <v>MAN</v>
      </c>
      <c r="AK1179" s="1" t="str">
        <f t="shared" si="775"/>
        <v>PA</v>
      </c>
      <c r="AP1179" s="1" t="str">
        <f t="shared" si="776"/>
        <v>False</v>
      </c>
      <c r="AR1179" s="1" t="str">
        <f t="shared" si="784"/>
        <v>MARCS</v>
      </c>
      <c r="AY1179" s="1" t="str">
        <f t="shared" si="777"/>
        <v>PF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 t="str">
        <f t="shared" si="785"/>
        <v>RCS GOMMA TWILL CANVAS+PU LEAT</v>
      </c>
      <c r="BF1179" s="1" t="str">
        <f t="shared" si="778"/>
        <v>Bonis SpA</v>
      </c>
    </row>
    <row r="1180" spans="2:58" x14ac:dyDescent="0.25">
      <c r="B1180" s="1">
        <v>2479</v>
      </c>
      <c r="C1180" s="1" t="str">
        <f t="shared" si="781"/>
        <v>MARCS4137S7/C1A</v>
      </c>
      <c r="E1180" s="1" t="str">
        <f>"41"</f>
        <v>41</v>
      </c>
      <c r="F1180" s="1" t="str">
        <f t="shared" si="766"/>
        <v>BONIS SPA</v>
      </c>
      <c r="G1180" s="1" t="str">
        <f t="shared" si="762"/>
        <v>STOCK SCAFFALE MP</v>
      </c>
      <c r="H1180" s="1" t="str">
        <f t="shared" si="782"/>
        <v>DKBL</v>
      </c>
      <c r="K1180" s="1">
        <v>4</v>
      </c>
      <c r="L1180" s="1" t="str">
        <f t="shared" si="768"/>
        <v>01</v>
      </c>
      <c r="M1180" s="1" t="str">
        <f t="shared" si="763"/>
        <v>408</v>
      </c>
      <c r="N1180" s="1" t="str">
        <f t="shared" si="779"/>
        <v>008</v>
      </c>
      <c r="O1180" s="1" t="str">
        <f t="shared" si="769"/>
        <v>00</v>
      </c>
      <c r="P1180" s="1" t="str">
        <f t="shared" si="770"/>
        <v>S</v>
      </c>
      <c r="Q1180" s="1" t="str">
        <f t="shared" si="771"/>
        <v>P</v>
      </c>
      <c r="R1180" s="1" t="str">
        <f t="shared" si="772"/>
        <v>01</v>
      </c>
      <c r="S1180" s="1" t="str">
        <f t="shared" si="764"/>
        <v>04</v>
      </c>
      <c r="T1180" s="1" t="str">
        <f t="shared" si="773"/>
        <v>False</v>
      </c>
      <c r="U1180" s="1" t="str">
        <f t="shared" si="774"/>
        <v>True</v>
      </c>
      <c r="V1180" s="1" t="str">
        <f>"U0033250"</f>
        <v>U0033250</v>
      </c>
      <c r="W1180" s="1">
        <v>1</v>
      </c>
      <c r="Y1180" s="1">
        <v>0</v>
      </c>
      <c r="Z1180" s="1">
        <v>0</v>
      </c>
      <c r="AB1180" s="1" t="str">
        <f t="shared" si="765"/>
        <v>SMU</v>
      </c>
      <c r="AI1180" s="1" t="str">
        <f t="shared" si="780"/>
        <v>106</v>
      </c>
      <c r="AJ1180" s="1" t="str">
        <f t="shared" si="783"/>
        <v>MAN</v>
      </c>
      <c r="AK1180" s="1" t="str">
        <f t="shared" si="775"/>
        <v>PA</v>
      </c>
      <c r="AP1180" s="1" t="str">
        <f t="shared" si="776"/>
        <v>False</v>
      </c>
      <c r="AR1180" s="1" t="str">
        <f t="shared" si="784"/>
        <v>MARCS</v>
      </c>
      <c r="AY1180" s="1" t="str">
        <f t="shared" si="777"/>
        <v>PF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 t="str">
        <f t="shared" si="785"/>
        <v>RCS GOMMA TWILL CANVAS+PU LEAT</v>
      </c>
      <c r="BF1180" s="1" t="str">
        <f t="shared" si="778"/>
        <v>Bonis SpA</v>
      </c>
    </row>
    <row r="1181" spans="2:58" x14ac:dyDescent="0.25">
      <c r="B1181" s="1">
        <v>2479</v>
      </c>
      <c r="C1181" s="1" t="str">
        <f t="shared" si="781"/>
        <v>MARCS4137S7/C1A</v>
      </c>
      <c r="E1181" s="1" t="str">
        <f>"40"</f>
        <v>40</v>
      </c>
      <c r="F1181" s="1" t="str">
        <f t="shared" si="766"/>
        <v>BONIS SPA</v>
      </c>
      <c r="G1181" s="1" t="str">
        <f t="shared" si="762"/>
        <v>STOCK SCAFFALE MP</v>
      </c>
      <c r="H1181" s="1" t="str">
        <f t="shared" si="782"/>
        <v>DKBL</v>
      </c>
      <c r="K1181" s="1">
        <v>1</v>
      </c>
      <c r="L1181" s="1" t="str">
        <f t="shared" si="768"/>
        <v>01</v>
      </c>
      <c r="M1181" s="1" t="str">
        <f t="shared" si="763"/>
        <v>408</v>
      </c>
      <c r="N1181" s="1" t="str">
        <f t="shared" si="779"/>
        <v>008</v>
      </c>
      <c r="O1181" s="1" t="str">
        <f t="shared" si="769"/>
        <v>00</v>
      </c>
      <c r="P1181" s="1" t="str">
        <f t="shared" si="770"/>
        <v>S</v>
      </c>
      <c r="Q1181" s="1" t="str">
        <f t="shared" si="771"/>
        <v>P</v>
      </c>
      <c r="R1181" s="1" t="str">
        <f t="shared" si="772"/>
        <v>01</v>
      </c>
      <c r="S1181" s="1" t="str">
        <f t="shared" si="764"/>
        <v>04</v>
      </c>
      <c r="T1181" s="1" t="str">
        <f t="shared" si="773"/>
        <v>False</v>
      </c>
      <c r="U1181" s="1" t="str">
        <f t="shared" si="774"/>
        <v>True</v>
      </c>
      <c r="V1181" s="1" t="str">
        <f>"U0033250"</f>
        <v>U0033250</v>
      </c>
      <c r="W1181" s="1">
        <v>1</v>
      </c>
      <c r="Y1181" s="1">
        <v>0</v>
      </c>
      <c r="Z1181" s="1">
        <v>0</v>
      </c>
      <c r="AB1181" s="1" t="str">
        <f t="shared" si="765"/>
        <v>SMU</v>
      </c>
      <c r="AI1181" s="1" t="str">
        <f t="shared" si="780"/>
        <v>106</v>
      </c>
      <c r="AJ1181" s="1" t="str">
        <f t="shared" si="783"/>
        <v>MAN</v>
      </c>
      <c r="AK1181" s="1" t="str">
        <f t="shared" si="775"/>
        <v>PA</v>
      </c>
      <c r="AP1181" s="1" t="str">
        <f t="shared" si="776"/>
        <v>False</v>
      </c>
      <c r="AR1181" s="1" t="str">
        <f t="shared" si="784"/>
        <v>MARCS</v>
      </c>
      <c r="AY1181" s="1" t="str">
        <f t="shared" si="777"/>
        <v>PF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 t="str">
        <f t="shared" si="785"/>
        <v>RCS GOMMA TWILL CANVAS+PU LEAT</v>
      </c>
      <c r="BF1181" s="1" t="str">
        <f t="shared" si="778"/>
        <v>Bonis SpA</v>
      </c>
    </row>
    <row r="1182" spans="2:58" x14ac:dyDescent="0.25">
      <c r="B1182" s="1">
        <v>2479</v>
      </c>
      <c r="C1182" s="1" t="str">
        <f t="shared" si="781"/>
        <v>MARCS4137S7/C1A</v>
      </c>
      <c r="E1182" s="1" t="str">
        <f>"44"</f>
        <v>44</v>
      </c>
      <c r="F1182" s="1" t="str">
        <f t="shared" si="766"/>
        <v>BONIS SPA</v>
      </c>
      <c r="G1182" s="1" t="str">
        <f t="shared" si="762"/>
        <v>STOCK SCAFFALE MP</v>
      </c>
      <c r="H1182" s="1" t="str">
        <f t="shared" si="782"/>
        <v>DKBL</v>
      </c>
      <c r="K1182" s="1">
        <v>3</v>
      </c>
      <c r="L1182" s="1" t="str">
        <f t="shared" si="768"/>
        <v>01</v>
      </c>
      <c r="M1182" s="1" t="str">
        <f t="shared" si="763"/>
        <v>408</v>
      </c>
      <c r="N1182" s="1" t="str">
        <f t="shared" si="779"/>
        <v>008</v>
      </c>
      <c r="O1182" s="1" t="str">
        <f t="shared" si="769"/>
        <v>00</v>
      </c>
      <c r="P1182" s="1" t="str">
        <f t="shared" si="770"/>
        <v>S</v>
      </c>
      <c r="Q1182" s="1" t="str">
        <f t="shared" si="771"/>
        <v>P</v>
      </c>
      <c r="R1182" s="1" t="str">
        <f t="shared" si="772"/>
        <v>01</v>
      </c>
      <c r="S1182" s="1" t="str">
        <f t="shared" si="764"/>
        <v>04</v>
      </c>
      <c r="T1182" s="1" t="str">
        <f t="shared" si="773"/>
        <v>False</v>
      </c>
      <c r="U1182" s="1" t="str">
        <f t="shared" si="774"/>
        <v>True</v>
      </c>
      <c r="V1182" s="1" t="str">
        <f>"U0033250"</f>
        <v>U0033250</v>
      </c>
      <c r="W1182" s="1">
        <v>1</v>
      </c>
      <c r="Y1182" s="1">
        <v>0</v>
      </c>
      <c r="Z1182" s="1">
        <v>0</v>
      </c>
      <c r="AB1182" s="1" t="str">
        <f t="shared" si="765"/>
        <v>SMU</v>
      </c>
      <c r="AI1182" s="1" t="str">
        <f t="shared" si="780"/>
        <v>106</v>
      </c>
      <c r="AJ1182" s="1" t="str">
        <f t="shared" si="783"/>
        <v>MAN</v>
      </c>
      <c r="AK1182" s="1" t="str">
        <f t="shared" si="775"/>
        <v>PA</v>
      </c>
      <c r="AP1182" s="1" t="str">
        <f t="shared" si="776"/>
        <v>False</v>
      </c>
      <c r="AR1182" s="1" t="str">
        <f t="shared" si="784"/>
        <v>MARCS</v>
      </c>
      <c r="AY1182" s="1" t="str">
        <f t="shared" si="777"/>
        <v>PF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 t="str">
        <f t="shared" si="785"/>
        <v>RCS GOMMA TWILL CANVAS+PU LEAT</v>
      </c>
      <c r="BF1182" s="1" t="str">
        <f t="shared" si="778"/>
        <v>Bonis SpA</v>
      </c>
    </row>
    <row r="1183" spans="2:58" x14ac:dyDescent="0.25">
      <c r="B1183" s="1">
        <v>2479</v>
      </c>
      <c r="C1183" s="1" t="str">
        <f t="shared" si="781"/>
        <v>MARCS4137S7/C1A</v>
      </c>
      <c r="E1183" s="1" t="str">
        <f>"44"</f>
        <v>44</v>
      </c>
      <c r="F1183" s="1" t="str">
        <f t="shared" si="766"/>
        <v>BONIS SPA</v>
      </c>
      <c r="G1183" s="1" t="str">
        <f t="shared" si="762"/>
        <v>STOCK SCAFFALE MP</v>
      </c>
      <c r="H1183" s="1" t="str">
        <f t="shared" ref="H1183:H1190" si="786">"WHI"</f>
        <v>WHI</v>
      </c>
      <c r="K1183" s="1">
        <v>1</v>
      </c>
      <c r="L1183" s="1" t="str">
        <f t="shared" si="768"/>
        <v>01</v>
      </c>
      <c r="M1183" s="1" t="str">
        <f t="shared" si="763"/>
        <v>408</v>
      </c>
      <c r="N1183" s="1" t="str">
        <f t="shared" si="779"/>
        <v>008</v>
      </c>
      <c r="O1183" s="1" t="str">
        <f t="shared" si="769"/>
        <v>00</v>
      </c>
      <c r="P1183" s="1" t="str">
        <f t="shared" si="770"/>
        <v>S</v>
      </c>
      <c r="Q1183" s="1" t="str">
        <f t="shared" si="771"/>
        <v>P</v>
      </c>
      <c r="R1183" s="1" t="str">
        <f t="shared" si="772"/>
        <v>01</v>
      </c>
      <c r="S1183" s="1" t="str">
        <f t="shared" si="764"/>
        <v>04</v>
      </c>
      <c r="T1183" s="1" t="str">
        <f t="shared" si="773"/>
        <v>False</v>
      </c>
      <c r="U1183" s="1" t="str">
        <f t="shared" si="774"/>
        <v>True</v>
      </c>
      <c r="V1183" s="1" t="str">
        <f>"U0033252"</f>
        <v>U0033252</v>
      </c>
      <c r="W1183" s="1">
        <v>1</v>
      </c>
      <c r="Y1183" s="1">
        <v>0</v>
      </c>
      <c r="Z1183" s="1">
        <v>0</v>
      </c>
      <c r="AB1183" s="1" t="str">
        <f t="shared" si="765"/>
        <v>SMU</v>
      </c>
      <c r="AI1183" s="1" t="str">
        <f t="shared" si="780"/>
        <v>106</v>
      </c>
      <c r="AJ1183" s="1" t="str">
        <f t="shared" si="783"/>
        <v>MAN</v>
      </c>
      <c r="AK1183" s="1" t="str">
        <f t="shared" si="775"/>
        <v>PA</v>
      </c>
      <c r="AP1183" s="1" t="str">
        <f t="shared" si="776"/>
        <v>False</v>
      </c>
      <c r="AR1183" s="1" t="str">
        <f t="shared" si="784"/>
        <v>MARCS</v>
      </c>
      <c r="AY1183" s="1" t="str">
        <f t="shared" si="777"/>
        <v>PF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 t="str">
        <f t="shared" si="785"/>
        <v>RCS GOMMA TWILL CANVAS+PU LEAT</v>
      </c>
      <c r="BF1183" s="1" t="str">
        <f t="shared" si="778"/>
        <v>Bonis SpA</v>
      </c>
    </row>
    <row r="1184" spans="2:58" x14ac:dyDescent="0.25">
      <c r="B1184" s="1">
        <v>2479</v>
      </c>
      <c r="C1184" s="1" t="str">
        <f t="shared" si="781"/>
        <v>MARCS4137S7/C1A</v>
      </c>
      <c r="E1184" s="1" t="str">
        <f>"42"</f>
        <v>42</v>
      </c>
      <c r="F1184" s="1" t="str">
        <f t="shared" si="766"/>
        <v>BONIS SPA</v>
      </c>
      <c r="G1184" s="1" t="str">
        <f t="shared" si="762"/>
        <v>STOCK SCAFFALE MP</v>
      </c>
      <c r="H1184" s="1" t="str">
        <f t="shared" si="786"/>
        <v>WHI</v>
      </c>
      <c r="K1184" s="1">
        <v>2</v>
      </c>
      <c r="L1184" s="1" t="str">
        <f t="shared" si="768"/>
        <v>01</v>
      </c>
      <c r="M1184" s="1" t="str">
        <f t="shared" si="763"/>
        <v>408</v>
      </c>
      <c r="N1184" s="1" t="str">
        <f t="shared" si="779"/>
        <v>008</v>
      </c>
      <c r="O1184" s="1" t="str">
        <f t="shared" si="769"/>
        <v>00</v>
      </c>
      <c r="P1184" s="1" t="str">
        <f t="shared" si="770"/>
        <v>S</v>
      </c>
      <c r="Q1184" s="1" t="str">
        <f t="shared" si="771"/>
        <v>P</v>
      </c>
      <c r="R1184" s="1" t="str">
        <f t="shared" si="772"/>
        <v>01</v>
      </c>
      <c r="S1184" s="1" t="str">
        <f t="shared" si="764"/>
        <v>04</v>
      </c>
      <c r="T1184" s="1" t="str">
        <f t="shared" si="773"/>
        <v>False</v>
      </c>
      <c r="U1184" s="1" t="str">
        <f t="shared" si="774"/>
        <v>True</v>
      </c>
      <c r="V1184" s="1" t="str">
        <f>"U0033252"</f>
        <v>U0033252</v>
      </c>
      <c r="W1184" s="1">
        <v>1</v>
      </c>
      <c r="Y1184" s="1">
        <v>0</v>
      </c>
      <c r="Z1184" s="1">
        <v>0</v>
      </c>
      <c r="AB1184" s="1" t="str">
        <f t="shared" si="765"/>
        <v>SMU</v>
      </c>
      <c r="AI1184" s="1" t="str">
        <f t="shared" si="780"/>
        <v>106</v>
      </c>
      <c r="AJ1184" s="1" t="str">
        <f t="shared" si="783"/>
        <v>MAN</v>
      </c>
      <c r="AK1184" s="1" t="str">
        <f t="shared" si="775"/>
        <v>PA</v>
      </c>
      <c r="AP1184" s="1" t="str">
        <f t="shared" si="776"/>
        <v>False</v>
      </c>
      <c r="AR1184" s="1" t="str">
        <f t="shared" si="784"/>
        <v>MARCS</v>
      </c>
      <c r="AY1184" s="1" t="str">
        <f t="shared" si="777"/>
        <v>PF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 t="str">
        <f t="shared" si="785"/>
        <v>RCS GOMMA TWILL CANVAS+PU LEAT</v>
      </c>
      <c r="BF1184" s="1" t="str">
        <f t="shared" si="778"/>
        <v>Bonis SpA</v>
      </c>
    </row>
    <row r="1185" spans="2:58" x14ac:dyDescent="0.25">
      <c r="B1185" s="1">
        <v>2479</v>
      </c>
      <c r="C1185" s="1" t="str">
        <f t="shared" si="781"/>
        <v>MARCS4137S7/C1A</v>
      </c>
      <c r="E1185" s="1" t="str">
        <f>"44"</f>
        <v>44</v>
      </c>
      <c r="F1185" s="1" t="str">
        <f t="shared" si="766"/>
        <v>BONIS SPA</v>
      </c>
      <c r="G1185" s="1" t="str">
        <f t="shared" si="762"/>
        <v>STOCK SCAFFALE MP</v>
      </c>
      <c r="H1185" s="1" t="str">
        <f t="shared" si="786"/>
        <v>WHI</v>
      </c>
      <c r="K1185" s="1">
        <v>3</v>
      </c>
      <c r="L1185" s="1" t="str">
        <f t="shared" si="768"/>
        <v>01</v>
      </c>
      <c r="M1185" s="1" t="str">
        <f t="shared" si="763"/>
        <v>408</v>
      </c>
      <c r="N1185" s="1" t="str">
        <f t="shared" si="779"/>
        <v>008</v>
      </c>
      <c r="O1185" s="1" t="str">
        <f t="shared" si="769"/>
        <v>00</v>
      </c>
      <c r="P1185" s="1" t="str">
        <f t="shared" si="770"/>
        <v>S</v>
      </c>
      <c r="Q1185" s="1" t="str">
        <f t="shared" si="771"/>
        <v>P</v>
      </c>
      <c r="R1185" s="1" t="str">
        <f t="shared" si="772"/>
        <v>01</v>
      </c>
      <c r="S1185" s="1" t="str">
        <f t="shared" si="764"/>
        <v>04</v>
      </c>
      <c r="T1185" s="1" t="str">
        <f t="shared" si="773"/>
        <v>False</v>
      </c>
      <c r="U1185" s="1" t="str">
        <f t="shared" si="774"/>
        <v>True</v>
      </c>
      <c r="V1185" s="1" t="str">
        <f>"U0033247"</f>
        <v>U0033247</v>
      </c>
      <c r="W1185" s="1">
        <v>1</v>
      </c>
      <c r="Y1185" s="1">
        <v>0</v>
      </c>
      <c r="Z1185" s="1">
        <v>0</v>
      </c>
      <c r="AB1185" s="1" t="str">
        <f t="shared" si="765"/>
        <v>SMU</v>
      </c>
      <c r="AI1185" s="1" t="str">
        <f t="shared" si="780"/>
        <v>106</v>
      </c>
      <c r="AJ1185" s="1" t="str">
        <f t="shared" si="783"/>
        <v>MAN</v>
      </c>
      <c r="AK1185" s="1" t="str">
        <f t="shared" si="775"/>
        <v>PA</v>
      </c>
      <c r="AP1185" s="1" t="str">
        <f t="shared" si="776"/>
        <v>False</v>
      </c>
      <c r="AR1185" s="1" t="str">
        <f t="shared" si="784"/>
        <v>MARCS</v>
      </c>
      <c r="AY1185" s="1" t="str">
        <f t="shared" si="777"/>
        <v>PF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 t="str">
        <f t="shared" si="785"/>
        <v>RCS GOMMA TWILL CANVAS+PU LEAT</v>
      </c>
      <c r="BF1185" s="1" t="str">
        <f t="shared" si="778"/>
        <v>Bonis SpA</v>
      </c>
    </row>
    <row r="1186" spans="2:58" x14ac:dyDescent="0.25">
      <c r="B1186" s="1">
        <v>2479</v>
      </c>
      <c r="C1186" s="1" t="str">
        <f t="shared" si="781"/>
        <v>MARCS4137S7/C1A</v>
      </c>
      <c r="E1186" s="1" t="str">
        <f>"41"</f>
        <v>41</v>
      </c>
      <c r="F1186" s="1" t="str">
        <f t="shared" si="766"/>
        <v>BONIS SPA</v>
      </c>
      <c r="G1186" s="1" t="str">
        <f t="shared" si="762"/>
        <v>STOCK SCAFFALE MP</v>
      </c>
      <c r="H1186" s="1" t="str">
        <f t="shared" si="786"/>
        <v>WHI</v>
      </c>
      <c r="K1186" s="1">
        <v>3</v>
      </c>
      <c r="L1186" s="1" t="str">
        <f t="shared" si="768"/>
        <v>01</v>
      </c>
      <c r="M1186" s="1" t="str">
        <f t="shared" si="763"/>
        <v>408</v>
      </c>
      <c r="N1186" s="1" t="str">
        <f t="shared" si="779"/>
        <v>008</v>
      </c>
      <c r="O1186" s="1" t="str">
        <f t="shared" si="769"/>
        <v>00</v>
      </c>
      <c r="P1186" s="1" t="str">
        <f t="shared" si="770"/>
        <v>S</v>
      </c>
      <c r="Q1186" s="1" t="str">
        <f t="shared" si="771"/>
        <v>P</v>
      </c>
      <c r="R1186" s="1" t="str">
        <f t="shared" si="772"/>
        <v>01</v>
      </c>
      <c r="S1186" s="1" t="str">
        <f t="shared" si="764"/>
        <v>04</v>
      </c>
      <c r="T1186" s="1" t="str">
        <f t="shared" si="773"/>
        <v>False</v>
      </c>
      <c r="U1186" s="1" t="str">
        <f t="shared" si="774"/>
        <v>True</v>
      </c>
      <c r="V1186" s="1" t="str">
        <f>"U0033247"</f>
        <v>U0033247</v>
      </c>
      <c r="W1186" s="1">
        <v>1</v>
      </c>
      <c r="Y1186" s="1">
        <v>0</v>
      </c>
      <c r="Z1186" s="1">
        <v>0</v>
      </c>
      <c r="AB1186" s="1" t="str">
        <f t="shared" si="765"/>
        <v>SMU</v>
      </c>
      <c r="AI1186" s="1" t="str">
        <f t="shared" si="780"/>
        <v>106</v>
      </c>
      <c r="AJ1186" s="1" t="str">
        <f t="shared" si="783"/>
        <v>MAN</v>
      </c>
      <c r="AK1186" s="1" t="str">
        <f t="shared" si="775"/>
        <v>PA</v>
      </c>
      <c r="AP1186" s="1" t="str">
        <f t="shared" si="776"/>
        <v>False</v>
      </c>
      <c r="AR1186" s="1" t="str">
        <f t="shared" si="784"/>
        <v>MARCS</v>
      </c>
      <c r="AY1186" s="1" t="str">
        <f t="shared" si="777"/>
        <v>PF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 t="str">
        <f t="shared" si="785"/>
        <v>RCS GOMMA TWILL CANVAS+PU LEAT</v>
      </c>
      <c r="BF1186" s="1" t="str">
        <f t="shared" si="778"/>
        <v>Bonis SpA</v>
      </c>
    </row>
    <row r="1187" spans="2:58" x14ac:dyDescent="0.25">
      <c r="B1187" s="1">
        <v>2479</v>
      </c>
      <c r="C1187" s="1" t="str">
        <f t="shared" si="781"/>
        <v>MARCS4137S7/C1A</v>
      </c>
      <c r="E1187" s="1" t="str">
        <f>"42"</f>
        <v>42</v>
      </c>
      <c r="F1187" s="1" t="str">
        <f t="shared" si="766"/>
        <v>BONIS SPA</v>
      </c>
      <c r="G1187" s="1" t="str">
        <f t="shared" si="762"/>
        <v>STOCK SCAFFALE MP</v>
      </c>
      <c r="H1187" s="1" t="str">
        <f t="shared" si="786"/>
        <v>WHI</v>
      </c>
      <c r="K1187" s="1">
        <v>4</v>
      </c>
      <c r="L1187" s="1" t="str">
        <f t="shared" si="768"/>
        <v>01</v>
      </c>
      <c r="M1187" s="1" t="str">
        <f t="shared" si="763"/>
        <v>408</v>
      </c>
      <c r="N1187" s="1" t="str">
        <f t="shared" si="779"/>
        <v>008</v>
      </c>
      <c r="O1187" s="1" t="str">
        <f t="shared" si="769"/>
        <v>00</v>
      </c>
      <c r="P1187" s="1" t="str">
        <f t="shared" si="770"/>
        <v>S</v>
      </c>
      <c r="Q1187" s="1" t="str">
        <f t="shared" si="771"/>
        <v>P</v>
      </c>
      <c r="R1187" s="1" t="str">
        <f t="shared" si="772"/>
        <v>01</v>
      </c>
      <c r="S1187" s="1" t="str">
        <f t="shared" si="764"/>
        <v>04</v>
      </c>
      <c r="T1187" s="1" t="str">
        <f t="shared" si="773"/>
        <v>False</v>
      </c>
      <c r="U1187" s="1" t="str">
        <f t="shared" si="774"/>
        <v>True</v>
      </c>
      <c r="V1187" s="1" t="str">
        <f>"U0033247"</f>
        <v>U0033247</v>
      </c>
      <c r="W1187" s="1">
        <v>1</v>
      </c>
      <c r="Y1187" s="1">
        <v>0</v>
      </c>
      <c r="Z1187" s="1">
        <v>0</v>
      </c>
      <c r="AB1187" s="1" t="str">
        <f t="shared" si="765"/>
        <v>SMU</v>
      </c>
      <c r="AI1187" s="1" t="str">
        <f t="shared" si="780"/>
        <v>106</v>
      </c>
      <c r="AJ1187" s="1" t="str">
        <f t="shared" si="783"/>
        <v>MAN</v>
      </c>
      <c r="AK1187" s="1" t="str">
        <f t="shared" si="775"/>
        <v>PA</v>
      </c>
      <c r="AP1187" s="1" t="str">
        <f t="shared" si="776"/>
        <v>False</v>
      </c>
      <c r="AR1187" s="1" t="str">
        <f t="shared" si="784"/>
        <v>MARCS</v>
      </c>
      <c r="AY1187" s="1" t="str">
        <f t="shared" si="777"/>
        <v>PF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 t="str">
        <f t="shared" si="785"/>
        <v>RCS GOMMA TWILL CANVAS+PU LEAT</v>
      </c>
      <c r="BF1187" s="1" t="str">
        <f t="shared" si="778"/>
        <v>Bonis SpA</v>
      </c>
    </row>
    <row r="1188" spans="2:58" x14ac:dyDescent="0.25">
      <c r="B1188" s="1">
        <v>2479</v>
      </c>
      <c r="C1188" s="1" t="str">
        <f t="shared" si="781"/>
        <v>MARCS4137S7/C1A</v>
      </c>
      <c r="E1188" s="1" t="str">
        <f>"41"</f>
        <v>41</v>
      </c>
      <c r="F1188" s="1" t="str">
        <f t="shared" si="766"/>
        <v>BONIS SPA</v>
      </c>
      <c r="G1188" s="1" t="str">
        <f t="shared" si="762"/>
        <v>STOCK SCAFFALE MP</v>
      </c>
      <c r="H1188" s="1" t="str">
        <f t="shared" si="786"/>
        <v>WHI</v>
      </c>
      <c r="K1188" s="1">
        <v>6</v>
      </c>
      <c r="L1188" s="1" t="str">
        <f t="shared" si="768"/>
        <v>01</v>
      </c>
      <c r="M1188" s="1" t="str">
        <f t="shared" si="763"/>
        <v>408</v>
      </c>
      <c r="N1188" s="1" t="str">
        <f t="shared" si="779"/>
        <v>008</v>
      </c>
      <c r="O1188" s="1" t="str">
        <f t="shared" si="769"/>
        <v>00</v>
      </c>
      <c r="P1188" s="1" t="str">
        <f t="shared" si="770"/>
        <v>S</v>
      </c>
      <c r="Q1188" s="1" t="str">
        <f t="shared" si="771"/>
        <v>P</v>
      </c>
      <c r="R1188" s="1" t="str">
        <f t="shared" si="772"/>
        <v>01</v>
      </c>
      <c r="S1188" s="1" t="str">
        <f t="shared" si="764"/>
        <v>04</v>
      </c>
      <c r="T1188" s="1" t="str">
        <f t="shared" si="773"/>
        <v>False</v>
      </c>
      <c r="U1188" s="1" t="str">
        <f t="shared" si="774"/>
        <v>True</v>
      </c>
      <c r="V1188" s="1" t="str">
        <f>"U0033246"</f>
        <v>U0033246</v>
      </c>
      <c r="W1188" s="1">
        <v>1</v>
      </c>
      <c r="Y1188" s="1">
        <v>0</v>
      </c>
      <c r="Z1188" s="1">
        <v>0</v>
      </c>
      <c r="AB1188" s="1" t="str">
        <f t="shared" si="765"/>
        <v>SMU</v>
      </c>
      <c r="AI1188" s="1" t="str">
        <f t="shared" si="780"/>
        <v>106</v>
      </c>
      <c r="AJ1188" s="1" t="str">
        <f t="shared" si="783"/>
        <v>MAN</v>
      </c>
      <c r="AK1188" s="1" t="str">
        <f t="shared" si="775"/>
        <v>PA</v>
      </c>
      <c r="AP1188" s="1" t="str">
        <f t="shared" si="776"/>
        <v>False</v>
      </c>
      <c r="AR1188" s="1" t="str">
        <f t="shared" si="784"/>
        <v>MARCS</v>
      </c>
      <c r="AY1188" s="1" t="str">
        <f t="shared" si="777"/>
        <v>PF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 t="str">
        <f t="shared" si="785"/>
        <v>RCS GOMMA TWILL CANVAS+PU LEAT</v>
      </c>
      <c r="BF1188" s="1" t="str">
        <f t="shared" si="778"/>
        <v>Bonis SpA</v>
      </c>
    </row>
    <row r="1189" spans="2:58" x14ac:dyDescent="0.25">
      <c r="B1189" s="1">
        <v>2479</v>
      </c>
      <c r="C1189" s="1" t="str">
        <f t="shared" si="781"/>
        <v>MARCS4137S7/C1A</v>
      </c>
      <c r="E1189" s="1" t="str">
        <f>"40"</f>
        <v>40</v>
      </c>
      <c r="F1189" s="1" t="str">
        <f t="shared" si="766"/>
        <v>BONIS SPA</v>
      </c>
      <c r="G1189" s="1" t="str">
        <f t="shared" si="762"/>
        <v>STOCK SCAFFALE MP</v>
      </c>
      <c r="H1189" s="1" t="str">
        <f t="shared" si="786"/>
        <v>WHI</v>
      </c>
      <c r="K1189" s="1">
        <v>5</v>
      </c>
      <c r="L1189" s="1" t="str">
        <f t="shared" si="768"/>
        <v>01</v>
      </c>
      <c r="M1189" s="1" t="str">
        <f t="shared" si="763"/>
        <v>408</v>
      </c>
      <c r="N1189" s="1" t="str">
        <f t="shared" si="779"/>
        <v>008</v>
      </c>
      <c r="O1189" s="1" t="str">
        <f t="shared" si="769"/>
        <v>00</v>
      </c>
      <c r="P1189" s="1" t="str">
        <f t="shared" si="770"/>
        <v>S</v>
      </c>
      <c r="Q1189" s="1" t="str">
        <f t="shared" si="771"/>
        <v>P</v>
      </c>
      <c r="R1189" s="1" t="str">
        <f t="shared" si="772"/>
        <v>01</v>
      </c>
      <c r="S1189" s="1" t="str">
        <f t="shared" si="764"/>
        <v>04</v>
      </c>
      <c r="T1189" s="1" t="str">
        <f t="shared" si="773"/>
        <v>False</v>
      </c>
      <c r="U1189" s="1" t="str">
        <f t="shared" si="774"/>
        <v>True</v>
      </c>
      <c r="V1189" s="1" t="str">
        <f>"U0033246"</f>
        <v>U0033246</v>
      </c>
      <c r="W1189" s="1">
        <v>1</v>
      </c>
      <c r="Y1189" s="1">
        <v>0</v>
      </c>
      <c r="Z1189" s="1">
        <v>0</v>
      </c>
      <c r="AB1189" s="1" t="str">
        <f t="shared" si="765"/>
        <v>SMU</v>
      </c>
      <c r="AI1189" s="1" t="str">
        <f t="shared" si="780"/>
        <v>106</v>
      </c>
      <c r="AJ1189" s="1" t="str">
        <f t="shared" si="783"/>
        <v>MAN</v>
      </c>
      <c r="AK1189" s="1" t="str">
        <f t="shared" si="775"/>
        <v>PA</v>
      </c>
      <c r="AP1189" s="1" t="str">
        <f t="shared" si="776"/>
        <v>False</v>
      </c>
      <c r="AR1189" s="1" t="str">
        <f t="shared" si="784"/>
        <v>MARCS</v>
      </c>
      <c r="AY1189" s="1" t="str">
        <f t="shared" si="777"/>
        <v>PF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 t="str">
        <f t="shared" si="785"/>
        <v>RCS GOMMA TWILL CANVAS+PU LEAT</v>
      </c>
      <c r="BF1189" s="1" t="str">
        <f t="shared" si="778"/>
        <v>Bonis SpA</v>
      </c>
    </row>
    <row r="1190" spans="2:58" x14ac:dyDescent="0.25">
      <c r="B1190" s="1">
        <v>2479</v>
      </c>
      <c r="C1190" s="1" t="str">
        <f t="shared" si="781"/>
        <v>MARCS4137S7/C1A</v>
      </c>
      <c r="E1190" s="1" t="str">
        <f>"44"</f>
        <v>44</v>
      </c>
      <c r="F1190" s="1" t="str">
        <f t="shared" si="766"/>
        <v>BONIS SPA</v>
      </c>
      <c r="G1190" s="1" t="str">
        <f t="shared" si="762"/>
        <v>STOCK SCAFFALE MP</v>
      </c>
      <c r="H1190" s="1" t="str">
        <f t="shared" si="786"/>
        <v>WHI</v>
      </c>
      <c r="K1190" s="1">
        <v>1</v>
      </c>
      <c r="L1190" s="1" t="str">
        <f t="shared" si="768"/>
        <v>01</v>
      </c>
      <c r="M1190" s="1" t="str">
        <f t="shared" si="763"/>
        <v>408</v>
      </c>
      <c r="N1190" s="1" t="str">
        <f t="shared" si="779"/>
        <v>008</v>
      </c>
      <c r="O1190" s="1" t="str">
        <f t="shared" si="769"/>
        <v>00</v>
      </c>
      <c r="P1190" s="1" t="str">
        <f t="shared" si="770"/>
        <v>S</v>
      </c>
      <c r="Q1190" s="1" t="str">
        <f t="shared" si="771"/>
        <v>P</v>
      </c>
      <c r="R1190" s="1" t="str">
        <f t="shared" si="772"/>
        <v>01</v>
      </c>
      <c r="S1190" s="1" t="str">
        <f t="shared" si="764"/>
        <v>04</v>
      </c>
      <c r="T1190" s="1" t="str">
        <f t="shared" si="773"/>
        <v>False</v>
      </c>
      <c r="U1190" s="1" t="str">
        <f t="shared" si="774"/>
        <v>True</v>
      </c>
      <c r="V1190" s="1" t="str">
        <f>"U0033246"</f>
        <v>U0033246</v>
      </c>
      <c r="W1190" s="1">
        <v>1</v>
      </c>
      <c r="Y1190" s="1">
        <v>0</v>
      </c>
      <c r="Z1190" s="1">
        <v>0</v>
      </c>
      <c r="AB1190" s="1" t="str">
        <f t="shared" si="765"/>
        <v>SMU</v>
      </c>
      <c r="AI1190" s="1" t="str">
        <f t="shared" si="780"/>
        <v>106</v>
      </c>
      <c r="AJ1190" s="1" t="str">
        <f t="shared" si="783"/>
        <v>MAN</v>
      </c>
      <c r="AK1190" s="1" t="str">
        <f t="shared" si="775"/>
        <v>PA</v>
      </c>
      <c r="AP1190" s="1" t="str">
        <f t="shared" si="776"/>
        <v>False</v>
      </c>
      <c r="AR1190" s="1" t="str">
        <f t="shared" si="784"/>
        <v>MARCS</v>
      </c>
      <c r="AY1190" s="1" t="str">
        <f t="shared" si="777"/>
        <v>PF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 t="str">
        <f t="shared" si="785"/>
        <v>RCS GOMMA TWILL CANVAS+PU LEAT</v>
      </c>
      <c r="BF1190" s="1" t="str">
        <f t="shared" si="778"/>
        <v>Bonis SpA</v>
      </c>
    </row>
    <row r="1191" spans="2:58" x14ac:dyDescent="0.25">
      <c r="B1191" s="1">
        <v>2491</v>
      </c>
      <c r="C1191" s="1" t="str">
        <f t="shared" ref="C1191:C1202" si="787">"NOBIL4241S7/CH2"</f>
        <v>NOBIL4241S7/CH2</v>
      </c>
      <c r="E1191" s="1" t="str">
        <f>"43"</f>
        <v>43</v>
      </c>
      <c r="F1191" s="1" t="str">
        <f t="shared" si="766"/>
        <v>BONIS SPA</v>
      </c>
      <c r="G1191" s="1" t="str">
        <f t="shared" si="762"/>
        <v>STOCK SCAFFALE MP</v>
      </c>
      <c r="H1191" s="1" t="str">
        <f>"AVIO"</f>
        <v>AVIO</v>
      </c>
      <c r="K1191" s="1">
        <v>6</v>
      </c>
      <c r="L1191" s="1" t="str">
        <f t="shared" si="768"/>
        <v>01</v>
      </c>
      <c r="M1191" s="1" t="str">
        <f t="shared" si="763"/>
        <v>408</v>
      </c>
      <c r="N1191" s="1" t="str">
        <f t="shared" ref="N1191:N1202" si="788">"012"</f>
        <v>012</v>
      </c>
      <c r="O1191" s="1" t="str">
        <f t="shared" si="769"/>
        <v>00</v>
      </c>
      <c r="P1191" s="1" t="str">
        <f t="shared" si="770"/>
        <v>S</v>
      </c>
      <c r="Q1191" s="1" t="str">
        <f t="shared" si="771"/>
        <v>P</v>
      </c>
      <c r="R1191" s="1" t="str">
        <f t="shared" si="772"/>
        <v>01</v>
      </c>
      <c r="S1191" s="1" t="str">
        <f t="shared" si="764"/>
        <v>04</v>
      </c>
      <c r="T1191" s="1" t="str">
        <f t="shared" si="773"/>
        <v>False</v>
      </c>
      <c r="U1191" s="1" t="str">
        <f t="shared" si="774"/>
        <v>True</v>
      </c>
      <c r="V1191" s="1" t="str">
        <f>"U0033229"</f>
        <v>U0033229</v>
      </c>
      <c r="W1191" s="1">
        <v>1</v>
      </c>
      <c r="Y1191" s="1">
        <v>0</v>
      </c>
      <c r="Z1191" s="1">
        <v>0</v>
      </c>
      <c r="AB1191" s="1" t="str">
        <f t="shared" si="765"/>
        <v>SMU</v>
      </c>
      <c r="AI1191" s="1" t="str">
        <f t="shared" ref="AI1191:AI1202" si="789">"F10"</f>
        <v>F10</v>
      </c>
      <c r="AJ1191" s="1" t="str">
        <f t="shared" si="783"/>
        <v>MAN</v>
      </c>
      <c r="AK1191" s="1" t="str">
        <f t="shared" si="775"/>
        <v>PA</v>
      </c>
      <c r="AP1191" s="1" t="str">
        <f t="shared" si="776"/>
        <v>False</v>
      </c>
      <c r="AR1191" s="1" t="str">
        <f t="shared" ref="AR1191:AR1202" si="790">"NOBIL"</f>
        <v>NOBIL</v>
      </c>
      <c r="AY1191" s="1" t="str">
        <f t="shared" si="777"/>
        <v>PF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 t="str">
        <f t="shared" ref="BE1191:BE1202" si="791">"BBER FLAT MOL.CANVAS+MICROSUED"</f>
        <v>BBER FLAT MOL.CANVAS+MICROSUED</v>
      </c>
      <c r="BF1191" s="1" t="str">
        <f t="shared" si="778"/>
        <v>Bonis SpA</v>
      </c>
    </row>
    <row r="1192" spans="2:58" x14ac:dyDescent="0.25">
      <c r="B1192" s="1">
        <v>2491</v>
      </c>
      <c r="C1192" s="1" t="str">
        <f t="shared" si="787"/>
        <v>NOBIL4241S7/CH2</v>
      </c>
      <c r="E1192" s="1" t="str">
        <f>"42"</f>
        <v>42</v>
      </c>
      <c r="F1192" s="1" t="str">
        <f t="shared" si="766"/>
        <v>BONIS SPA</v>
      </c>
      <c r="G1192" s="1" t="str">
        <f t="shared" si="762"/>
        <v>STOCK SCAFFALE MP</v>
      </c>
      <c r="H1192" s="1" t="str">
        <f>"AVIO"</f>
        <v>AVIO</v>
      </c>
      <c r="K1192" s="1">
        <v>4</v>
      </c>
      <c r="L1192" s="1" t="str">
        <f t="shared" si="768"/>
        <v>01</v>
      </c>
      <c r="M1192" s="1" t="str">
        <f t="shared" si="763"/>
        <v>408</v>
      </c>
      <c r="N1192" s="1" t="str">
        <f t="shared" si="788"/>
        <v>012</v>
      </c>
      <c r="O1192" s="1" t="str">
        <f t="shared" si="769"/>
        <v>00</v>
      </c>
      <c r="P1192" s="1" t="str">
        <f t="shared" si="770"/>
        <v>S</v>
      </c>
      <c r="Q1192" s="1" t="str">
        <f t="shared" si="771"/>
        <v>P</v>
      </c>
      <c r="R1192" s="1" t="str">
        <f t="shared" si="772"/>
        <v>01</v>
      </c>
      <c r="S1192" s="1" t="str">
        <f t="shared" si="764"/>
        <v>04</v>
      </c>
      <c r="T1192" s="1" t="str">
        <f t="shared" si="773"/>
        <v>False</v>
      </c>
      <c r="U1192" s="1" t="str">
        <f t="shared" si="774"/>
        <v>True</v>
      </c>
      <c r="V1192" s="1" t="str">
        <f>"U0033229"</f>
        <v>U0033229</v>
      </c>
      <c r="W1192" s="1">
        <v>1</v>
      </c>
      <c r="Y1192" s="1">
        <v>0</v>
      </c>
      <c r="Z1192" s="1">
        <v>0</v>
      </c>
      <c r="AB1192" s="1" t="str">
        <f t="shared" si="765"/>
        <v>SMU</v>
      </c>
      <c r="AI1192" s="1" t="str">
        <f t="shared" si="789"/>
        <v>F10</v>
      </c>
      <c r="AJ1192" s="1" t="str">
        <f t="shared" si="783"/>
        <v>MAN</v>
      </c>
      <c r="AK1192" s="1" t="str">
        <f t="shared" si="775"/>
        <v>PA</v>
      </c>
      <c r="AP1192" s="1" t="str">
        <f t="shared" si="776"/>
        <v>False</v>
      </c>
      <c r="AR1192" s="1" t="str">
        <f t="shared" si="790"/>
        <v>NOBIL</v>
      </c>
      <c r="AY1192" s="1" t="str">
        <f t="shared" si="777"/>
        <v>PF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 t="str">
        <f t="shared" si="791"/>
        <v>BBER FLAT MOL.CANVAS+MICROSUED</v>
      </c>
      <c r="BF1192" s="1" t="str">
        <f t="shared" si="778"/>
        <v>Bonis SpA</v>
      </c>
    </row>
    <row r="1193" spans="2:58" x14ac:dyDescent="0.25">
      <c r="B1193" s="1">
        <v>2491</v>
      </c>
      <c r="C1193" s="1" t="str">
        <f t="shared" si="787"/>
        <v>NOBIL4241S7/CH2</v>
      </c>
      <c r="E1193" s="1" t="str">
        <f>"43"</f>
        <v>43</v>
      </c>
      <c r="F1193" s="1" t="str">
        <f t="shared" si="766"/>
        <v>BONIS SPA</v>
      </c>
      <c r="G1193" s="1" t="str">
        <f t="shared" si="762"/>
        <v>STOCK SCAFFALE MP</v>
      </c>
      <c r="H1193" s="1" t="str">
        <f>"AVIO"</f>
        <v>AVIO</v>
      </c>
      <c r="K1193" s="1">
        <v>3</v>
      </c>
      <c r="L1193" s="1" t="str">
        <f t="shared" si="768"/>
        <v>01</v>
      </c>
      <c r="M1193" s="1" t="str">
        <f t="shared" si="763"/>
        <v>408</v>
      </c>
      <c r="N1193" s="1" t="str">
        <f t="shared" si="788"/>
        <v>012</v>
      </c>
      <c r="O1193" s="1" t="str">
        <f t="shared" si="769"/>
        <v>00</v>
      </c>
      <c r="P1193" s="1" t="str">
        <f t="shared" si="770"/>
        <v>S</v>
      </c>
      <c r="Q1193" s="1" t="str">
        <f t="shared" si="771"/>
        <v>P</v>
      </c>
      <c r="R1193" s="1" t="str">
        <f t="shared" si="772"/>
        <v>01</v>
      </c>
      <c r="S1193" s="1" t="str">
        <f t="shared" si="764"/>
        <v>04</v>
      </c>
      <c r="T1193" s="1" t="str">
        <f t="shared" si="773"/>
        <v>False</v>
      </c>
      <c r="U1193" s="1" t="str">
        <f t="shared" si="774"/>
        <v>True</v>
      </c>
      <c r="V1193" s="1" t="str">
        <f>"U0033220"</f>
        <v>U0033220</v>
      </c>
      <c r="W1193" s="1">
        <v>1</v>
      </c>
      <c r="Y1193" s="1">
        <v>0</v>
      </c>
      <c r="Z1193" s="1">
        <v>0</v>
      </c>
      <c r="AB1193" s="1" t="str">
        <f t="shared" si="765"/>
        <v>SMU</v>
      </c>
      <c r="AI1193" s="1" t="str">
        <f t="shared" si="789"/>
        <v>F10</v>
      </c>
      <c r="AJ1193" s="1" t="str">
        <f t="shared" si="783"/>
        <v>MAN</v>
      </c>
      <c r="AK1193" s="1" t="str">
        <f t="shared" si="775"/>
        <v>PA</v>
      </c>
      <c r="AP1193" s="1" t="str">
        <f t="shared" si="776"/>
        <v>False</v>
      </c>
      <c r="AR1193" s="1" t="str">
        <f t="shared" si="790"/>
        <v>NOBIL</v>
      </c>
      <c r="AY1193" s="1" t="str">
        <f t="shared" si="777"/>
        <v>PF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 t="str">
        <f t="shared" si="791"/>
        <v>BBER FLAT MOL.CANVAS+MICROSUED</v>
      </c>
      <c r="BF1193" s="1" t="str">
        <f t="shared" si="778"/>
        <v>Bonis SpA</v>
      </c>
    </row>
    <row r="1194" spans="2:58" x14ac:dyDescent="0.25">
      <c r="B1194" s="1">
        <v>2491</v>
      </c>
      <c r="C1194" s="1" t="str">
        <f t="shared" si="787"/>
        <v>NOBIL4241S7/CH2</v>
      </c>
      <c r="E1194" s="1" t="str">
        <f>"42"</f>
        <v>42</v>
      </c>
      <c r="F1194" s="1" t="str">
        <f t="shared" si="766"/>
        <v>BONIS SPA</v>
      </c>
      <c r="G1194" s="1" t="str">
        <f t="shared" si="762"/>
        <v>STOCK SCAFFALE MP</v>
      </c>
      <c r="H1194" s="1" t="str">
        <f>"AVIO"</f>
        <v>AVIO</v>
      </c>
      <c r="K1194" s="1">
        <v>2</v>
      </c>
      <c r="L1194" s="1" t="str">
        <f t="shared" si="768"/>
        <v>01</v>
      </c>
      <c r="M1194" s="1" t="str">
        <f t="shared" si="763"/>
        <v>408</v>
      </c>
      <c r="N1194" s="1" t="str">
        <f t="shared" si="788"/>
        <v>012</v>
      </c>
      <c r="O1194" s="1" t="str">
        <f t="shared" si="769"/>
        <v>00</v>
      </c>
      <c r="P1194" s="1" t="str">
        <f t="shared" si="770"/>
        <v>S</v>
      </c>
      <c r="Q1194" s="1" t="str">
        <f t="shared" si="771"/>
        <v>P</v>
      </c>
      <c r="R1194" s="1" t="str">
        <f t="shared" si="772"/>
        <v>01</v>
      </c>
      <c r="S1194" s="1" t="str">
        <f t="shared" si="764"/>
        <v>04</v>
      </c>
      <c r="T1194" s="1" t="str">
        <f t="shared" si="773"/>
        <v>False</v>
      </c>
      <c r="U1194" s="1" t="str">
        <f t="shared" si="774"/>
        <v>True</v>
      </c>
      <c r="V1194" s="1" t="str">
        <f>"U0033220"</f>
        <v>U0033220</v>
      </c>
      <c r="W1194" s="1">
        <v>1</v>
      </c>
      <c r="Y1194" s="1">
        <v>0</v>
      </c>
      <c r="Z1194" s="1">
        <v>0</v>
      </c>
      <c r="AB1194" s="1" t="str">
        <f t="shared" si="765"/>
        <v>SMU</v>
      </c>
      <c r="AI1194" s="1" t="str">
        <f t="shared" si="789"/>
        <v>F10</v>
      </c>
      <c r="AJ1194" s="1" t="str">
        <f t="shared" si="783"/>
        <v>MAN</v>
      </c>
      <c r="AK1194" s="1" t="str">
        <f t="shared" si="775"/>
        <v>PA</v>
      </c>
      <c r="AP1194" s="1" t="str">
        <f t="shared" si="776"/>
        <v>False</v>
      </c>
      <c r="AR1194" s="1" t="str">
        <f t="shared" si="790"/>
        <v>NOBIL</v>
      </c>
      <c r="AY1194" s="1" t="str">
        <f t="shared" si="777"/>
        <v>PF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 t="str">
        <f t="shared" si="791"/>
        <v>BBER FLAT MOL.CANVAS+MICROSUED</v>
      </c>
      <c r="BF1194" s="1" t="str">
        <f t="shared" si="778"/>
        <v>Bonis SpA</v>
      </c>
    </row>
    <row r="1195" spans="2:58" x14ac:dyDescent="0.25">
      <c r="B1195" s="1">
        <v>2491</v>
      </c>
      <c r="C1195" s="1" t="str">
        <f t="shared" si="787"/>
        <v>NOBIL4241S7/CH2</v>
      </c>
      <c r="E1195" s="1" t="str">
        <f>"41"</f>
        <v>41</v>
      </c>
      <c r="F1195" s="1" t="str">
        <f t="shared" si="766"/>
        <v>BONIS SPA</v>
      </c>
      <c r="G1195" s="1" t="str">
        <f t="shared" si="762"/>
        <v>STOCK SCAFFALE MP</v>
      </c>
      <c r="H1195" s="1" t="str">
        <f>"DKBL"</f>
        <v>DKBL</v>
      </c>
      <c r="K1195" s="1">
        <v>3</v>
      </c>
      <c r="L1195" s="1" t="str">
        <f t="shared" si="768"/>
        <v>01</v>
      </c>
      <c r="M1195" s="1" t="str">
        <f t="shared" si="763"/>
        <v>408</v>
      </c>
      <c r="N1195" s="1" t="str">
        <f t="shared" si="788"/>
        <v>012</v>
      </c>
      <c r="O1195" s="1" t="str">
        <f t="shared" si="769"/>
        <v>00</v>
      </c>
      <c r="P1195" s="1" t="str">
        <f t="shared" si="770"/>
        <v>S</v>
      </c>
      <c r="Q1195" s="1" t="str">
        <f t="shared" si="771"/>
        <v>P</v>
      </c>
      <c r="R1195" s="1" t="str">
        <f t="shared" si="772"/>
        <v>01</v>
      </c>
      <c r="S1195" s="1" t="str">
        <f t="shared" si="764"/>
        <v>04</v>
      </c>
      <c r="T1195" s="1" t="str">
        <f t="shared" si="773"/>
        <v>False</v>
      </c>
      <c r="U1195" s="1" t="str">
        <f t="shared" si="774"/>
        <v>True</v>
      </c>
      <c r="V1195" s="1" t="str">
        <f>"U0033225"</f>
        <v>U0033225</v>
      </c>
      <c r="W1195" s="1">
        <v>1</v>
      </c>
      <c r="Y1195" s="1">
        <v>0</v>
      </c>
      <c r="Z1195" s="1">
        <v>0</v>
      </c>
      <c r="AB1195" s="1" t="str">
        <f t="shared" si="765"/>
        <v>SMU</v>
      </c>
      <c r="AI1195" s="1" t="str">
        <f t="shared" si="789"/>
        <v>F10</v>
      </c>
      <c r="AJ1195" s="1" t="str">
        <f t="shared" si="783"/>
        <v>MAN</v>
      </c>
      <c r="AK1195" s="1" t="str">
        <f t="shared" si="775"/>
        <v>PA</v>
      </c>
      <c r="AP1195" s="1" t="str">
        <f t="shared" si="776"/>
        <v>False</v>
      </c>
      <c r="AR1195" s="1" t="str">
        <f t="shared" si="790"/>
        <v>NOBIL</v>
      </c>
      <c r="AY1195" s="1" t="str">
        <f t="shared" si="777"/>
        <v>PF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 t="str">
        <f t="shared" si="791"/>
        <v>BBER FLAT MOL.CANVAS+MICROSUED</v>
      </c>
      <c r="BF1195" s="1" t="str">
        <f t="shared" si="778"/>
        <v>Bonis SpA</v>
      </c>
    </row>
    <row r="1196" spans="2:58" x14ac:dyDescent="0.25">
      <c r="B1196" s="1">
        <v>2491</v>
      </c>
      <c r="C1196" s="1" t="str">
        <f t="shared" si="787"/>
        <v>NOBIL4241S7/CH2</v>
      </c>
      <c r="E1196" s="1" t="str">
        <f>"42"</f>
        <v>42</v>
      </c>
      <c r="F1196" s="1" t="str">
        <f t="shared" si="766"/>
        <v>BONIS SPA</v>
      </c>
      <c r="G1196" s="1" t="str">
        <f t="shared" si="762"/>
        <v>STOCK SCAFFALE MP</v>
      </c>
      <c r="H1196" s="1" t="str">
        <f>"DKBL"</f>
        <v>DKBL</v>
      </c>
      <c r="K1196" s="1">
        <v>3</v>
      </c>
      <c r="L1196" s="1" t="str">
        <f t="shared" si="768"/>
        <v>01</v>
      </c>
      <c r="M1196" s="1" t="str">
        <f t="shared" si="763"/>
        <v>408</v>
      </c>
      <c r="N1196" s="1" t="str">
        <f t="shared" si="788"/>
        <v>012</v>
      </c>
      <c r="O1196" s="1" t="str">
        <f t="shared" si="769"/>
        <v>00</v>
      </c>
      <c r="P1196" s="1" t="str">
        <f t="shared" si="770"/>
        <v>S</v>
      </c>
      <c r="Q1196" s="1" t="str">
        <f t="shared" si="771"/>
        <v>P</v>
      </c>
      <c r="R1196" s="1" t="str">
        <f t="shared" si="772"/>
        <v>01</v>
      </c>
      <c r="S1196" s="1" t="str">
        <f t="shared" si="764"/>
        <v>04</v>
      </c>
      <c r="T1196" s="1" t="str">
        <f t="shared" si="773"/>
        <v>False</v>
      </c>
      <c r="U1196" s="1" t="str">
        <f t="shared" si="774"/>
        <v>True</v>
      </c>
      <c r="V1196" s="1" t="str">
        <f>"U0033225"</f>
        <v>U0033225</v>
      </c>
      <c r="W1196" s="1">
        <v>1</v>
      </c>
      <c r="Y1196" s="1">
        <v>0</v>
      </c>
      <c r="Z1196" s="1">
        <v>0</v>
      </c>
      <c r="AB1196" s="1" t="str">
        <f t="shared" si="765"/>
        <v>SMU</v>
      </c>
      <c r="AI1196" s="1" t="str">
        <f t="shared" si="789"/>
        <v>F10</v>
      </c>
      <c r="AJ1196" s="1" t="str">
        <f t="shared" si="783"/>
        <v>MAN</v>
      </c>
      <c r="AK1196" s="1" t="str">
        <f t="shared" si="775"/>
        <v>PA</v>
      </c>
      <c r="AP1196" s="1" t="str">
        <f t="shared" si="776"/>
        <v>False</v>
      </c>
      <c r="AR1196" s="1" t="str">
        <f t="shared" si="790"/>
        <v>NOBIL</v>
      </c>
      <c r="AY1196" s="1" t="str">
        <f t="shared" si="777"/>
        <v>PF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 t="str">
        <f t="shared" si="791"/>
        <v>BBER FLAT MOL.CANVAS+MICROSUED</v>
      </c>
      <c r="BF1196" s="1" t="str">
        <f t="shared" si="778"/>
        <v>Bonis SpA</v>
      </c>
    </row>
    <row r="1197" spans="2:58" x14ac:dyDescent="0.25">
      <c r="B1197" s="1">
        <v>2491</v>
      </c>
      <c r="C1197" s="1" t="str">
        <f t="shared" si="787"/>
        <v>NOBIL4241S7/CH2</v>
      </c>
      <c r="E1197" s="1" t="str">
        <f>"42"</f>
        <v>42</v>
      </c>
      <c r="F1197" s="1" t="str">
        <f t="shared" si="766"/>
        <v>BONIS SPA</v>
      </c>
      <c r="G1197" s="1" t="str">
        <f t="shared" si="762"/>
        <v>STOCK SCAFFALE MP</v>
      </c>
      <c r="H1197" s="1" t="str">
        <f>"AVIO"</f>
        <v>AVIO</v>
      </c>
      <c r="K1197" s="1">
        <v>3</v>
      </c>
      <c r="L1197" s="1" t="str">
        <f t="shared" si="768"/>
        <v>01</v>
      </c>
      <c r="M1197" s="1" t="str">
        <f t="shared" si="763"/>
        <v>408</v>
      </c>
      <c r="N1197" s="1" t="str">
        <f t="shared" si="788"/>
        <v>012</v>
      </c>
      <c r="O1197" s="1" t="str">
        <f t="shared" si="769"/>
        <v>00</v>
      </c>
      <c r="P1197" s="1" t="str">
        <f t="shared" si="770"/>
        <v>S</v>
      </c>
      <c r="Q1197" s="1" t="str">
        <f t="shared" si="771"/>
        <v>P</v>
      </c>
      <c r="R1197" s="1" t="str">
        <f t="shared" si="772"/>
        <v>01</v>
      </c>
      <c r="S1197" s="1" t="str">
        <f t="shared" si="764"/>
        <v>04</v>
      </c>
      <c r="T1197" s="1" t="str">
        <f t="shared" si="773"/>
        <v>False</v>
      </c>
      <c r="U1197" s="1" t="str">
        <f t="shared" si="774"/>
        <v>True</v>
      </c>
      <c r="V1197" s="1" t="str">
        <f>"U0033222"</f>
        <v>U0033222</v>
      </c>
      <c r="W1197" s="1">
        <v>1</v>
      </c>
      <c r="Y1197" s="1">
        <v>0</v>
      </c>
      <c r="Z1197" s="1">
        <v>0</v>
      </c>
      <c r="AB1197" s="1" t="str">
        <f t="shared" si="765"/>
        <v>SMU</v>
      </c>
      <c r="AI1197" s="1" t="str">
        <f t="shared" si="789"/>
        <v>F10</v>
      </c>
      <c r="AJ1197" s="1" t="str">
        <f t="shared" si="783"/>
        <v>MAN</v>
      </c>
      <c r="AK1197" s="1" t="str">
        <f t="shared" si="775"/>
        <v>PA</v>
      </c>
      <c r="AP1197" s="1" t="str">
        <f t="shared" si="776"/>
        <v>False</v>
      </c>
      <c r="AR1197" s="1" t="str">
        <f t="shared" si="790"/>
        <v>NOBIL</v>
      </c>
      <c r="AY1197" s="1" t="str">
        <f t="shared" si="777"/>
        <v>PF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 t="str">
        <f t="shared" si="791"/>
        <v>BBER FLAT MOL.CANVAS+MICROSUED</v>
      </c>
      <c r="BF1197" s="1" t="str">
        <f t="shared" si="778"/>
        <v>Bonis SpA</v>
      </c>
    </row>
    <row r="1198" spans="2:58" x14ac:dyDescent="0.25">
      <c r="B1198" s="1">
        <v>2491</v>
      </c>
      <c r="C1198" s="1" t="str">
        <f t="shared" si="787"/>
        <v>NOBIL4241S7/CH2</v>
      </c>
      <c r="E1198" s="1" t="str">
        <f>"43"</f>
        <v>43</v>
      </c>
      <c r="F1198" s="1" t="str">
        <f t="shared" si="766"/>
        <v>BONIS SPA</v>
      </c>
      <c r="G1198" s="1" t="str">
        <f t="shared" si="762"/>
        <v>STOCK SCAFFALE MP</v>
      </c>
      <c r="H1198" s="1" t="str">
        <f>"AVIO"</f>
        <v>AVIO</v>
      </c>
      <c r="K1198" s="1">
        <v>4</v>
      </c>
      <c r="L1198" s="1" t="str">
        <f t="shared" si="768"/>
        <v>01</v>
      </c>
      <c r="M1198" s="1" t="str">
        <f t="shared" si="763"/>
        <v>408</v>
      </c>
      <c r="N1198" s="1" t="str">
        <f t="shared" si="788"/>
        <v>012</v>
      </c>
      <c r="O1198" s="1" t="str">
        <f t="shared" si="769"/>
        <v>00</v>
      </c>
      <c r="P1198" s="1" t="str">
        <f t="shared" si="770"/>
        <v>S</v>
      </c>
      <c r="Q1198" s="1" t="str">
        <f t="shared" si="771"/>
        <v>P</v>
      </c>
      <c r="R1198" s="1" t="str">
        <f t="shared" si="772"/>
        <v>01</v>
      </c>
      <c r="S1198" s="1" t="str">
        <f t="shared" si="764"/>
        <v>04</v>
      </c>
      <c r="T1198" s="1" t="str">
        <f t="shared" si="773"/>
        <v>False</v>
      </c>
      <c r="U1198" s="1" t="str">
        <f t="shared" si="774"/>
        <v>True</v>
      </c>
      <c r="V1198" s="1" t="str">
        <f>"U0033222"</f>
        <v>U0033222</v>
      </c>
      <c r="W1198" s="1">
        <v>1</v>
      </c>
      <c r="Y1198" s="1">
        <v>0</v>
      </c>
      <c r="Z1198" s="1">
        <v>0</v>
      </c>
      <c r="AB1198" s="1" t="str">
        <f t="shared" si="765"/>
        <v>SMU</v>
      </c>
      <c r="AI1198" s="1" t="str">
        <f t="shared" si="789"/>
        <v>F10</v>
      </c>
      <c r="AJ1198" s="1" t="str">
        <f t="shared" si="783"/>
        <v>MAN</v>
      </c>
      <c r="AK1198" s="1" t="str">
        <f t="shared" si="775"/>
        <v>PA</v>
      </c>
      <c r="AP1198" s="1" t="str">
        <f t="shared" si="776"/>
        <v>False</v>
      </c>
      <c r="AR1198" s="1" t="str">
        <f t="shared" si="790"/>
        <v>NOBIL</v>
      </c>
      <c r="AY1198" s="1" t="str">
        <f t="shared" si="777"/>
        <v>PF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 t="str">
        <f t="shared" si="791"/>
        <v>BBER FLAT MOL.CANVAS+MICROSUED</v>
      </c>
      <c r="BF1198" s="1" t="str">
        <f t="shared" si="778"/>
        <v>Bonis SpA</v>
      </c>
    </row>
    <row r="1199" spans="2:58" x14ac:dyDescent="0.25">
      <c r="B1199" s="1">
        <v>2491</v>
      </c>
      <c r="C1199" s="1" t="str">
        <f t="shared" si="787"/>
        <v>NOBIL4241S7/CH2</v>
      </c>
      <c r="E1199" s="1" t="str">
        <f>"41"</f>
        <v>41</v>
      </c>
      <c r="F1199" s="1" t="str">
        <f t="shared" si="766"/>
        <v>BONIS SPA</v>
      </c>
      <c r="G1199" s="1" t="str">
        <f t="shared" si="762"/>
        <v>STOCK SCAFFALE MP</v>
      </c>
      <c r="H1199" s="1" t="str">
        <f>"DKBL"</f>
        <v>DKBL</v>
      </c>
      <c r="K1199" s="1">
        <v>2</v>
      </c>
      <c r="L1199" s="1" t="str">
        <f t="shared" si="768"/>
        <v>01</v>
      </c>
      <c r="M1199" s="1" t="str">
        <f t="shared" si="763"/>
        <v>408</v>
      </c>
      <c r="N1199" s="1" t="str">
        <f t="shared" si="788"/>
        <v>012</v>
      </c>
      <c r="O1199" s="1" t="str">
        <f t="shared" si="769"/>
        <v>00</v>
      </c>
      <c r="P1199" s="1" t="str">
        <f t="shared" si="770"/>
        <v>S</v>
      </c>
      <c r="Q1199" s="1" t="str">
        <f t="shared" si="771"/>
        <v>P</v>
      </c>
      <c r="R1199" s="1" t="str">
        <f t="shared" si="772"/>
        <v>01</v>
      </c>
      <c r="S1199" s="1" t="str">
        <f t="shared" si="764"/>
        <v>04</v>
      </c>
      <c r="T1199" s="1" t="str">
        <f t="shared" si="773"/>
        <v>False</v>
      </c>
      <c r="U1199" s="1" t="str">
        <f t="shared" si="774"/>
        <v>True</v>
      </c>
      <c r="V1199" s="1" t="str">
        <f>"U0033222"</f>
        <v>U0033222</v>
      </c>
      <c r="W1199" s="1">
        <v>1</v>
      </c>
      <c r="Y1199" s="1">
        <v>0</v>
      </c>
      <c r="Z1199" s="1">
        <v>0</v>
      </c>
      <c r="AB1199" s="1" t="str">
        <f t="shared" si="765"/>
        <v>SMU</v>
      </c>
      <c r="AI1199" s="1" t="str">
        <f t="shared" si="789"/>
        <v>F10</v>
      </c>
      <c r="AJ1199" s="1" t="str">
        <f t="shared" si="783"/>
        <v>MAN</v>
      </c>
      <c r="AK1199" s="1" t="str">
        <f t="shared" si="775"/>
        <v>PA</v>
      </c>
      <c r="AP1199" s="1" t="str">
        <f t="shared" si="776"/>
        <v>False</v>
      </c>
      <c r="AR1199" s="1" t="str">
        <f t="shared" si="790"/>
        <v>NOBIL</v>
      </c>
      <c r="AY1199" s="1" t="str">
        <f t="shared" si="777"/>
        <v>PF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 t="str">
        <f t="shared" si="791"/>
        <v>BBER FLAT MOL.CANVAS+MICROSUED</v>
      </c>
      <c r="BF1199" s="1" t="str">
        <f t="shared" si="778"/>
        <v>Bonis SpA</v>
      </c>
    </row>
    <row r="1200" spans="2:58" x14ac:dyDescent="0.25">
      <c r="B1200" s="1">
        <v>2491</v>
      </c>
      <c r="C1200" s="1" t="str">
        <f t="shared" si="787"/>
        <v>NOBIL4241S7/CH2</v>
      </c>
      <c r="E1200" s="1" t="str">
        <f>"42"</f>
        <v>42</v>
      </c>
      <c r="F1200" s="1" t="str">
        <f t="shared" si="766"/>
        <v>BONIS SPA</v>
      </c>
      <c r="G1200" s="1" t="str">
        <f t="shared" ref="G1200:G1263" si="792">"STOCK SCAFFALE MP"</f>
        <v>STOCK SCAFFALE MP</v>
      </c>
      <c r="H1200" s="1" t="str">
        <f>"DKBL"</f>
        <v>DKBL</v>
      </c>
      <c r="K1200" s="1">
        <v>3</v>
      </c>
      <c r="L1200" s="1" t="str">
        <f t="shared" si="768"/>
        <v>01</v>
      </c>
      <c r="M1200" s="1" t="str">
        <f t="shared" ref="M1200:M1263" si="793">"408"</f>
        <v>408</v>
      </c>
      <c r="N1200" s="1" t="str">
        <f t="shared" si="788"/>
        <v>012</v>
      </c>
      <c r="O1200" s="1" t="str">
        <f t="shared" si="769"/>
        <v>00</v>
      </c>
      <c r="P1200" s="1" t="str">
        <f t="shared" si="770"/>
        <v>S</v>
      </c>
      <c r="Q1200" s="1" t="str">
        <f t="shared" si="771"/>
        <v>P</v>
      </c>
      <c r="R1200" s="1" t="str">
        <f t="shared" si="772"/>
        <v>01</v>
      </c>
      <c r="S1200" s="1" t="str">
        <f t="shared" ref="S1200:S1263" si="794">"04"</f>
        <v>04</v>
      </c>
      <c r="T1200" s="1" t="str">
        <f t="shared" si="773"/>
        <v>False</v>
      </c>
      <c r="U1200" s="1" t="str">
        <f t="shared" si="774"/>
        <v>True</v>
      </c>
      <c r="V1200" s="1" t="str">
        <f>"U0033222"</f>
        <v>U0033222</v>
      </c>
      <c r="W1200" s="1">
        <v>1</v>
      </c>
      <c r="Y1200" s="1">
        <v>0</v>
      </c>
      <c r="Z1200" s="1">
        <v>0</v>
      </c>
      <c r="AB1200" s="1" t="str">
        <f t="shared" si="765"/>
        <v>SMU</v>
      </c>
      <c r="AI1200" s="1" t="str">
        <f t="shared" si="789"/>
        <v>F10</v>
      </c>
      <c r="AJ1200" s="1" t="str">
        <f t="shared" si="783"/>
        <v>MAN</v>
      </c>
      <c r="AK1200" s="1" t="str">
        <f t="shared" si="775"/>
        <v>PA</v>
      </c>
      <c r="AP1200" s="1" t="str">
        <f t="shared" si="776"/>
        <v>False</v>
      </c>
      <c r="AR1200" s="1" t="str">
        <f t="shared" si="790"/>
        <v>NOBIL</v>
      </c>
      <c r="AY1200" s="1" t="str">
        <f t="shared" si="777"/>
        <v>PF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 t="str">
        <f t="shared" si="791"/>
        <v>BBER FLAT MOL.CANVAS+MICROSUED</v>
      </c>
      <c r="BF1200" s="1" t="str">
        <f t="shared" si="778"/>
        <v>Bonis SpA</v>
      </c>
    </row>
    <row r="1201" spans="2:58" x14ac:dyDescent="0.25">
      <c r="B1201" s="1">
        <v>2491</v>
      </c>
      <c r="C1201" s="1" t="str">
        <f t="shared" si="787"/>
        <v>NOBIL4241S7/CH2</v>
      </c>
      <c r="E1201" s="1" t="str">
        <f>"41"</f>
        <v>41</v>
      </c>
      <c r="F1201" s="1" t="str">
        <f t="shared" si="766"/>
        <v>BONIS SPA</v>
      </c>
      <c r="G1201" s="1" t="str">
        <f t="shared" si="792"/>
        <v>STOCK SCAFFALE MP</v>
      </c>
      <c r="H1201" s="1" t="str">
        <f>"DKBL"</f>
        <v>DKBL</v>
      </c>
      <c r="K1201" s="1">
        <v>2</v>
      </c>
      <c r="L1201" s="1" t="str">
        <f t="shared" si="768"/>
        <v>01</v>
      </c>
      <c r="M1201" s="1" t="str">
        <f t="shared" si="793"/>
        <v>408</v>
      </c>
      <c r="N1201" s="1" t="str">
        <f t="shared" si="788"/>
        <v>012</v>
      </c>
      <c r="O1201" s="1" t="str">
        <f t="shared" si="769"/>
        <v>00</v>
      </c>
      <c r="P1201" s="1" t="str">
        <f t="shared" si="770"/>
        <v>S</v>
      </c>
      <c r="Q1201" s="1" t="str">
        <f t="shared" si="771"/>
        <v>P</v>
      </c>
      <c r="R1201" s="1" t="str">
        <f t="shared" si="772"/>
        <v>01</v>
      </c>
      <c r="S1201" s="1" t="str">
        <f t="shared" si="794"/>
        <v>04</v>
      </c>
      <c r="T1201" s="1" t="str">
        <f t="shared" si="773"/>
        <v>False</v>
      </c>
      <c r="U1201" s="1" t="str">
        <f t="shared" si="774"/>
        <v>True</v>
      </c>
      <c r="V1201" s="1" t="str">
        <f>"U0033220"</f>
        <v>U0033220</v>
      </c>
      <c r="W1201" s="1">
        <v>1</v>
      </c>
      <c r="Y1201" s="1">
        <v>0</v>
      </c>
      <c r="Z1201" s="1">
        <v>0</v>
      </c>
      <c r="AB1201" s="1" t="str">
        <f t="shared" si="765"/>
        <v>SMU</v>
      </c>
      <c r="AI1201" s="1" t="str">
        <f t="shared" si="789"/>
        <v>F10</v>
      </c>
      <c r="AJ1201" s="1" t="str">
        <f t="shared" si="783"/>
        <v>MAN</v>
      </c>
      <c r="AK1201" s="1" t="str">
        <f t="shared" si="775"/>
        <v>PA</v>
      </c>
      <c r="AP1201" s="1" t="str">
        <f t="shared" si="776"/>
        <v>False</v>
      </c>
      <c r="AR1201" s="1" t="str">
        <f t="shared" si="790"/>
        <v>NOBIL</v>
      </c>
      <c r="AY1201" s="1" t="str">
        <f t="shared" si="777"/>
        <v>PF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 t="str">
        <f t="shared" si="791"/>
        <v>BBER FLAT MOL.CANVAS+MICROSUED</v>
      </c>
      <c r="BF1201" s="1" t="str">
        <f t="shared" si="778"/>
        <v>Bonis SpA</v>
      </c>
    </row>
    <row r="1202" spans="2:58" x14ac:dyDescent="0.25">
      <c r="B1202" s="1">
        <v>2491</v>
      </c>
      <c r="C1202" s="1" t="str">
        <f t="shared" si="787"/>
        <v>NOBIL4241S7/CH2</v>
      </c>
      <c r="E1202" s="1" t="str">
        <f>"42"</f>
        <v>42</v>
      </c>
      <c r="F1202" s="1" t="str">
        <f t="shared" si="766"/>
        <v>BONIS SPA</v>
      </c>
      <c r="G1202" s="1" t="str">
        <f t="shared" si="792"/>
        <v>STOCK SCAFFALE MP</v>
      </c>
      <c r="H1202" s="1" t="str">
        <f>"DKBL"</f>
        <v>DKBL</v>
      </c>
      <c r="K1202" s="1">
        <v>3</v>
      </c>
      <c r="L1202" s="1" t="str">
        <f t="shared" si="768"/>
        <v>01</v>
      </c>
      <c r="M1202" s="1" t="str">
        <f t="shared" si="793"/>
        <v>408</v>
      </c>
      <c r="N1202" s="1" t="str">
        <f t="shared" si="788"/>
        <v>012</v>
      </c>
      <c r="O1202" s="1" t="str">
        <f t="shared" si="769"/>
        <v>00</v>
      </c>
      <c r="P1202" s="1" t="str">
        <f t="shared" si="770"/>
        <v>S</v>
      </c>
      <c r="Q1202" s="1" t="str">
        <f t="shared" si="771"/>
        <v>P</v>
      </c>
      <c r="R1202" s="1" t="str">
        <f t="shared" si="772"/>
        <v>01</v>
      </c>
      <c r="S1202" s="1" t="str">
        <f t="shared" si="794"/>
        <v>04</v>
      </c>
      <c r="T1202" s="1" t="str">
        <f t="shared" si="773"/>
        <v>False</v>
      </c>
      <c r="U1202" s="1" t="str">
        <f t="shared" si="774"/>
        <v>True</v>
      </c>
      <c r="V1202" s="1" t="str">
        <f>"U0033220"</f>
        <v>U0033220</v>
      </c>
      <c r="W1202" s="1">
        <v>1</v>
      </c>
      <c r="Y1202" s="1">
        <v>0</v>
      </c>
      <c r="Z1202" s="1">
        <v>0</v>
      </c>
      <c r="AB1202" s="1" t="str">
        <f t="shared" si="765"/>
        <v>SMU</v>
      </c>
      <c r="AI1202" s="1" t="str">
        <f t="shared" si="789"/>
        <v>F10</v>
      </c>
      <c r="AJ1202" s="1" t="str">
        <f t="shared" si="783"/>
        <v>MAN</v>
      </c>
      <c r="AK1202" s="1" t="str">
        <f t="shared" si="775"/>
        <v>PA</v>
      </c>
      <c r="AP1202" s="1" t="str">
        <f t="shared" si="776"/>
        <v>False</v>
      </c>
      <c r="AR1202" s="1" t="str">
        <f t="shared" si="790"/>
        <v>NOBIL</v>
      </c>
      <c r="AY1202" s="1" t="str">
        <f t="shared" si="777"/>
        <v>PF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 t="str">
        <f t="shared" si="791"/>
        <v>BBER FLAT MOL.CANVAS+MICROSUED</v>
      </c>
      <c r="BF1202" s="1" t="str">
        <f t="shared" si="778"/>
        <v>Bonis SpA</v>
      </c>
    </row>
    <row r="1203" spans="2:58" x14ac:dyDescent="0.25">
      <c r="B1203" s="1">
        <v>2500</v>
      </c>
      <c r="C1203" s="1" t="str">
        <f>"VAIAN4209S7/G1"</f>
        <v>VAIAN4209S7/G1</v>
      </c>
      <c r="E1203" s="1" t="str">
        <f>"37"</f>
        <v>37</v>
      </c>
      <c r="F1203" s="1" t="str">
        <f t="shared" si="766"/>
        <v>BONIS SPA</v>
      </c>
      <c r="G1203" s="1" t="str">
        <f t="shared" si="792"/>
        <v>STOCK SCAFFALE MP</v>
      </c>
      <c r="H1203" s="1" t="str">
        <f>"YEL"</f>
        <v>YEL</v>
      </c>
      <c r="K1203" s="1">
        <v>1</v>
      </c>
      <c r="L1203" s="1" t="str">
        <f t="shared" si="768"/>
        <v>01</v>
      </c>
      <c r="M1203" s="1" t="str">
        <f t="shared" si="793"/>
        <v>408</v>
      </c>
      <c r="N1203" s="1" t="str">
        <f>"015"</f>
        <v>015</v>
      </c>
      <c r="O1203" s="1" t="str">
        <f t="shared" si="769"/>
        <v>00</v>
      </c>
      <c r="P1203" s="1" t="str">
        <f t="shared" si="770"/>
        <v>S</v>
      </c>
      <c r="Q1203" s="1" t="str">
        <f t="shared" si="771"/>
        <v>P</v>
      </c>
      <c r="R1203" s="1" t="str">
        <f t="shared" si="772"/>
        <v>01</v>
      </c>
      <c r="S1203" s="1" t="str">
        <f t="shared" si="794"/>
        <v>04</v>
      </c>
      <c r="T1203" s="1" t="str">
        <f t="shared" si="773"/>
        <v>False</v>
      </c>
      <c r="U1203" s="1" t="str">
        <f t="shared" si="774"/>
        <v>True</v>
      </c>
      <c r="V1203" s="1" t="str">
        <f>"U0027922"</f>
        <v>U0027922</v>
      </c>
      <c r="W1203" s="1">
        <v>1</v>
      </c>
      <c r="Y1203" s="1">
        <v>0</v>
      </c>
      <c r="Z1203" s="1">
        <v>0</v>
      </c>
      <c r="AI1203" s="1" t="str">
        <f>"106"</f>
        <v>106</v>
      </c>
      <c r="AJ1203" s="1" t="str">
        <f>"UNISEX"</f>
        <v>UNISEX</v>
      </c>
      <c r="AK1203" s="1" t="str">
        <f t="shared" si="775"/>
        <v>PA</v>
      </c>
      <c r="AP1203" s="1" t="str">
        <f t="shared" si="776"/>
        <v>False</v>
      </c>
      <c r="AR1203" s="1" t="str">
        <f>"VAIAN"</f>
        <v>VAIAN</v>
      </c>
      <c r="AY1203" s="1" t="str">
        <f t="shared" si="777"/>
        <v>PF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 t="str">
        <f t="shared" ref="BE1203:BE1234" si="795">"TOMAIA GOMMA"</f>
        <v>TOMAIA GOMMA</v>
      </c>
      <c r="BF1203" s="1" t="str">
        <f t="shared" si="778"/>
        <v>Bonis SpA</v>
      </c>
    </row>
    <row r="1204" spans="2:58" x14ac:dyDescent="0.25">
      <c r="B1204" s="1">
        <v>2500</v>
      </c>
      <c r="C1204" s="1" t="str">
        <f>"VAIAK4119S7/G1"</f>
        <v>VAIAK4119S7/G1</v>
      </c>
      <c r="E1204" s="1" t="str">
        <f>"31"</f>
        <v>31</v>
      </c>
      <c r="F1204" s="1" t="str">
        <f t="shared" si="766"/>
        <v>BONIS SPA</v>
      </c>
      <c r="G1204" s="1" t="str">
        <f t="shared" si="792"/>
        <v>STOCK SCAFFALE MP</v>
      </c>
      <c r="H1204" s="1" t="str">
        <f>"SKBL"</f>
        <v>SKBL</v>
      </c>
      <c r="K1204" s="1">
        <v>1</v>
      </c>
      <c r="L1204" s="1" t="str">
        <f t="shared" si="768"/>
        <v>01</v>
      </c>
      <c r="M1204" s="1" t="str">
        <f t="shared" si="793"/>
        <v>408</v>
      </c>
      <c r="N1204" s="1" t="str">
        <f>"015"</f>
        <v>015</v>
      </c>
      <c r="O1204" s="1" t="str">
        <f t="shared" si="769"/>
        <v>00</v>
      </c>
      <c r="P1204" s="1" t="str">
        <f t="shared" si="770"/>
        <v>S</v>
      </c>
      <c r="Q1204" s="1" t="str">
        <f t="shared" si="771"/>
        <v>P</v>
      </c>
      <c r="R1204" s="1" t="str">
        <f t="shared" si="772"/>
        <v>01</v>
      </c>
      <c r="S1204" s="1" t="str">
        <f t="shared" si="794"/>
        <v>04</v>
      </c>
      <c r="T1204" s="1" t="str">
        <f t="shared" si="773"/>
        <v>False</v>
      </c>
      <c r="U1204" s="1" t="str">
        <f t="shared" si="774"/>
        <v>True</v>
      </c>
      <c r="V1204" s="1" t="str">
        <f>"U0027922"</f>
        <v>U0027922</v>
      </c>
      <c r="W1204" s="1">
        <v>1</v>
      </c>
      <c r="Y1204" s="1">
        <v>0</v>
      </c>
      <c r="Z1204" s="1">
        <v>0</v>
      </c>
      <c r="AI1204" s="1" t="str">
        <f>"106"</f>
        <v>106</v>
      </c>
      <c r="AJ1204" s="1" t="str">
        <f>"KID"</f>
        <v>KID</v>
      </c>
      <c r="AK1204" s="1" t="str">
        <f t="shared" si="775"/>
        <v>PA</v>
      </c>
      <c r="AP1204" s="1" t="str">
        <f t="shared" si="776"/>
        <v>False</v>
      </c>
      <c r="AR1204" s="1" t="str">
        <f>"VAIAK"</f>
        <v>VAIAK</v>
      </c>
      <c r="AY1204" s="1" t="str">
        <f t="shared" si="777"/>
        <v>PF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 t="str">
        <f t="shared" si="795"/>
        <v>TOMAIA GOMMA</v>
      </c>
      <c r="BF1204" s="1" t="str">
        <f t="shared" si="778"/>
        <v>Bonis SpA</v>
      </c>
    </row>
    <row r="1205" spans="2:58" x14ac:dyDescent="0.25">
      <c r="B1205" s="1">
        <v>2500</v>
      </c>
      <c r="C1205" s="1" t="str">
        <f>"VAIAK4119S7/G1"</f>
        <v>VAIAK4119S7/G1</v>
      </c>
      <c r="E1205" s="1" t="str">
        <f>"31"</f>
        <v>31</v>
      </c>
      <c r="F1205" s="1" t="str">
        <f t="shared" si="766"/>
        <v>BONIS SPA</v>
      </c>
      <c r="G1205" s="1" t="str">
        <f t="shared" si="792"/>
        <v>STOCK SCAFFALE MP</v>
      </c>
      <c r="H1205" s="1" t="str">
        <f>"RED"</f>
        <v>RED</v>
      </c>
      <c r="K1205" s="1">
        <v>2</v>
      </c>
      <c r="L1205" s="1" t="str">
        <f t="shared" si="768"/>
        <v>01</v>
      </c>
      <c r="M1205" s="1" t="str">
        <f t="shared" si="793"/>
        <v>408</v>
      </c>
      <c r="N1205" s="1" t="str">
        <f>"015"</f>
        <v>015</v>
      </c>
      <c r="O1205" s="1" t="str">
        <f t="shared" si="769"/>
        <v>00</v>
      </c>
      <c r="P1205" s="1" t="str">
        <f t="shared" si="770"/>
        <v>S</v>
      </c>
      <c r="Q1205" s="1" t="str">
        <f t="shared" si="771"/>
        <v>P</v>
      </c>
      <c r="R1205" s="1" t="str">
        <f t="shared" si="772"/>
        <v>01</v>
      </c>
      <c r="S1205" s="1" t="str">
        <f t="shared" si="794"/>
        <v>04</v>
      </c>
      <c r="T1205" s="1" t="str">
        <f t="shared" si="773"/>
        <v>False</v>
      </c>
      <c r="U1205" s="1" t="str">
        <f t="shared" si="774"/>
        <v>True</v>
      </c>
      <c r="V1205" s="1" t="str">
        <f>"U0027922"</f>
        <v>U0027922</v>
      </c>
      <c r="W1205" s="1">
        <v>1</v>
      </c>
      <c r="Y1205" s="1">
        <v>0</v>
      </c>
      <c r="Z1205" s="1">
        <v>0</v>
      </c>
      <c r="AI1205" s="1" t="str">
        <f>"106"</f>
        <v>106</v>
      </c>
      <c r="AJ1205" s="1" t="str">
        <f>"KID"</f>
        <v>KID</v>
      </c>
      <c r="AK1205" s="1" t="str">
        <f t="shared" si="775"/>
        <v>PA</v>
      </c>
      <c r="AP1205" s="1" t="str">
        <f t="shared" si="776"/>
        <v>False</v>
      </c>
      <c r="AR1205" s="1" t="str">
        <f>"VAIAK"</f>
        <v>VAIAK</v>
      </c>
      <c r="AY1205" s="1" t="str">
        <f t="shared" si="777"/>
        <v>PF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 t="str">
        <f t="shared" si="795"/>
        <v>TOMAIA GOMMA</v>
      </c>
      <c r="BF1205" s="1" t="str">
        <f t="shared" si="778"/>
        <v>Bonis SpA</v>
      </c>
    </row>
    <row r="1206" spans="2:58" x14ac:dyDescent="0.25">
      <c r="B1206" s="1">
        <v>2473</v>
      </c>
      <c r="C1206" s="1" t="str">
        <f t="shared" ref="C1206:C1237" si="796">"VAIAN4209S7/G1"</f>
        <v>VAIAN4209S7/G1</v>
      </c>
      <c r="E1206" s="1" t="str">
        <f>"40"</f>
        <v>40</v>
      </c>
      <c r="F1206" s="1" t="str">
        <f t="shared" si="766"/>
        <v>BONIS SPA</v>
      </c>
      <c r="G1206" s="1" t="str">
        <f t="shared" si="792"/>
        <v>STOCK SCAFFALE MP</v>
      </c>
      <c r="H1206" s="1" t="str">
        <f>"SKBL"</f>
        <v>SKBL</v>
      </c>
      <c r="K1206" s="1">
        <v>1</v>
      </c>
      <c r="L1206" s="1" t="str">
        <f t="shared" si="768"/>
        <v>01</v>
      </c>
      <c r="M1206" s="1" t="str">
        <f t="shared" si="793"/>
        <v>408</v>
      </c>
      <c r="N1206" s="1" t="str">
        <f>"006"</f>
        <v>006</v>
      </c>
      <c r="O1206" s="1" t="str">
        <f t="shared" si="769"/>
        <v>00</v>
      </c>
      <c r="P1206" s="1" t="str">
        <f t="shared" si="770"/>
        <v>S</v>
      </c>
      <c r="Q1206" s="1" t="str">
        <f t="shared" si="771"/>
        <v>P</v>
      </c>
      <c r="R1206" s="1" t="str">
        <f t="shared" si="772"/>
        <v>01</v>
      </c>
      <c r="S1206" s="1" t="str">
        <f t="shared" si="794"/>
        <v>04</v>
      </c>
      <c r="T1206" s="1" t="str">
        <f t="shared" si="773"/>
        <v>False</v>
      </c>
      <c r="U1206" s="1" t="str">
        <f t="shared" si="774"/>
        <v>True</v>
      </c>
      <c r="V1206" s="1" t="str">
        <f>"U0033515"</f>
        <v>U0033515</v>
      </c>
      <c r="W1206" s="1">
        <v>1</v>
      </c>
      <c r="Y1206" s="1">
        <v>0</v>
      </c>
      <c r="Z1206" s="1">
        <v>0</v>
      </c>
      <c r="AI1206" s="1" t="str">
        <f t="shared" ref="AI1206:AI1237" si="797">"F10"</f>
        <v>F10</v>
      </c>
      <c r="AJ1206" s="1" t="str">
        <f t="shared" ref="AJ1206:AJ1237" si="798">"UNISEX"</f>
        <v>UNISEX</v>
      </c>
      <c r="AK1206" s="1" t="str">
        <f t="shared" si="775"/>
        <v>PA</v>
      </c>
      <c r="AP1206" s="1" t="str">
        <f t="shared" si="776"/>
        <v>False</v>
      </c>
      <c r="AR1206" s="1" t="str">
        <f t="shared" ref="AR1206:AR1237" si="799">"VAIAN"</f>
        <v>VAIAN</v>
      </c>
      <c r="AY1206" s="1" t="str">
        <f t="shared" si="777"/>
        <v>PF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 t="str">
        <f t="shared" si="795"/>
        <v>TOMAIA GOMMA</v>
      </c>
      <c r="BF1206" s="1" t="str">
        <f t="shared" si="778"/>
        <v>Bonis SpA</v>
      </c>
    </row>
    <row r="1207" spans="2:58" x14ac:dyDescent="0.25">
      <c r="B1207" s="1">
        <v>2470</v>
      </c>
      <c r="C1207" s="1" t="str">
        <f t="shared" si="796"/>
        <v>VAIAN4209S7/G1</v>
      </c>
      <c r="E1207" s="1" t="str">
        <f>"40"</f>
        <v>40</v>
      </c>
      <c r="F1207" s="1" t="str">
        <f t="shared" si="766"/>
        <v>BONIS SPA</v>
      </c>
      <c r="G1207" s="1" t="str">
        <f t="shared" si="792"/>
        <v>STOCK SCAFFALE MP</v>
      </c>
      <c r="H1207" s="1" t="str">
        <f>"DKBL"</f>
        <v>DKBL</v>
      </c>
      <c r="K1207" s="1">
        <v>11</v>
      </c>
      <c r="L1207" s="1" t="str">
        <f t="shared" si="768"/>
        <v>01</v>
      </c>
      <c r="M1207" s="1" t="str">
        <f t="shared" si="793"/>
        <v>408</v>
      </c>
      <c r="N1207" s="1" t="str">
        <f>"005"</f>
        <v>005</v>
      </c>
      <c r="O1207" s="1" t="str">
        <f t="shared" si="769"/>
        <v>00</v>
      </c>
      <c r="P1207" s="1" t="str">
        <f t="shared" si="770"/>
        <v>S</v>
      </c>
      <c r="Q1207" s="1" t="str">
        <f t="shared" si="771"/>
        <v>P</v>
      </c>
      <c r="R1207" s="1" t="str">
        <f t="shared" si="772"/>
        <v>01</v>
      </c>
      <c r="S1207" s="1" t="str">
        <f t="shared" si="794"/>
        <v>04</v>
      </c>
      <c r="T1207" s="1" t="str">
        <f t="shared" si="773"/>
        <v>False</v>
      </c>
      <c r="U1207" s="1" t="str">
        <f t="shared" si="774"/>
        <v>True</v>
      </c>
      <c r="V1207" s="1" t="str">
        <f>"U0034835"</f>
        <v>U0034835</v>
      </c>
      <c r="W1207" s="1">
        <v>1</v>
      </c>
      <c r="Y1207" s="1">
        <v>0</v>
      </c>
      <c r="Z1207" s="1">
        <v>0</v>
      </c>
      <c r="AI1207" s="1" t="str">
        <f t="shared" si="797"/>
        <v>F10</v>
      </c>
      <c r="AJ1207" s="1" t="str">
        <f t="shared" si="798"/>
        <v>UNISEX</v>
      </c>
      <c r="AK1207" s="1" t="str">
        <f t="shared" si="775"/>
        <v>PA</v>
      </c>
      <c r="AP1207" s="1" t="str">
        <f t="shared" si="776"/>
        <v>False</v>
      </c>
      <c r="AR1207" s="1" t="str">
        <f t="shared" si="799"/>
        <v>VAIAN</v>
      </c>
      <c r="AY1207" s="1" t="str">
        <f t="shared" si="777"/>
        <v>PF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 t="str">
        <f t="shared" si="795"/>
        <v>TOMAIA GOMMA</v>
      </c>
      <c r="BF1207" s="1" t="str">
        <f t="shared" si="778"/>
        <v>Bonis SpA</v>
      </c>
    </row>
    <row r="1208" spans="2:58" x14ac:dyDescent="0.25">
      <c r="B1208" s="1">
        <v>2470</v>
      </c>
      <c r="C1208" s="1" t="str">
        <f t="shared" si="796"/>
        <v>VAIAN4209S7/G1</v>
      </c>
      <c r="E1208" s="1" t="str">
        <f>"39"</f>
        <v>39</v>
      </c>
      <c r="F1208" s="1" t="str">
        <f t="shared" si="766"/>
        <v>BONIS SPA</v>
      </c>
      <c r="G1208" s="1" t="str">
        <f t="shared" si="792"/>
        <v>STOCK SCAFFALE MP</v>
      </c>
      <c r="H1208" s="1" t="str">
        <f>"DKBL"</f>
        <v>DKBL</v>
      </c>
      <c r="K1208" s="1">
        <v>6</v>
      </c>
      <c r="L1208" s="1" t="str">
        <f t="shared" si="768"/>
        <v>01</v>
      </c>
      <c r="M1208" s="1" t="str">
        <f t="shared" si="793"/>
        <v>408</v>
      </c>
      <c r="N1208" s="1" t="str">
        <f>"005"</f>
        <v>005</v>
      </c>
      <c r="O1208" s="1" t="str">
        <f t="shared" si="769"/>
        <v>00</v>
      </c>
      <c r="P1208" s="1" t="str">
        <f t="shared" si="770"/>
        <v>S</v>
      </c>
      <c r="Q1208" s="1" t="str">
        <f t="shared" si="771"/>
        <v>P</v>
      </c>
      <c r="R1208" s="1" t="str">
        <f t="shared" si="772"/>
        <v>01</v>
      </c>
      <c r="S1208" s="1" t="str">
        <f t="shared" si="794"/>
        <v>04</v>
      </c>
      <c r="T1208" s="1" t="str">
        <f t="shared" si="773"/>
        <v>False</v>
      </c>
      <c r="U1208" s="1" t="str">
        <f t="shared" si="774"/>
        <v>True</v>
      </c>
      <c r="V1208" s="1" t="str">
        <f>"U0034835"</f>
        <v>U0034835</v>
      </c>
      <c r="W1208" s="1">
        <v>1</v>
      </c>
      <c r="Y1208" s="1">
        <v>0</v>
      </c>
      <c r="Z1208" s="1">
        <v>0</v>
      </c>
      <c r="AI1208" s="1" t="str">
        <f t="shared" si="797"/>
        <v>F10</v>
      </c>
      <c r="AJ1208" s="1" t="str">
        <f t="shared" si="798"/>
        <v>UNISEX</v>
      </c>
      <c r="AK1208" s="1" t="str">
        <f t="shared" si="775"/>
        <v>PA</v>
      </c>
      <c r="AP1208" s="1" t="str">
        <f t="shared" si="776"/>
        <v>False</v>
      </c>
      <c r="AR1208" s="1" t="str">
        <f t="shared" si="799"/>
        <v>VAIAN</v>
      </c>
      <c r="AY1208" s="1" t="str">
        <f t="shared" si="777"/>
        <v>PF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 t="str">
        <f t="shared" si="795"/>
        <v>TOMAIA GOMMA</v>
      </c>
      <c r="BF1208" s="1" t="str">
        <f t="shared" si="778"/>
        <v>Bonis SpA</v>
      </c>
    </row>
    <row r="1209" spans="2:58" x14ac:dyDescent="0.25">
      <c r="B1209" s="1">
        <v>2467</v>
      </c>
      <c r="C1209" s="1" t="str">
        <f t="shared" si="796"/>
        <v>VAIAN4209S7/G1</v>
      </c>
      <c r="E1209" s="1" t="str">
        <f>"38"</f>
        <v>38</v>
      </c>
      <c r="F1209" s="1" t="str">
        <f t="shared" si="766"/>
        <v>BONIS SPA</v>
      </c>
      <c r="G1209" s="1" t="str">
        <f t="shared" si="792"/>
        <v>STOCK SCAFFALE MP</v>
      </c>
      <c r="H1209" s="1" t="str">
        <f>"SKBL"</f>
        <v>SKBL</v>
      </c>
      <c r="K1209" s="1">
        <v>3</v>
      </c>
      <c r="L1209" s="1" t="str">
        <f t="shared" si="768"/>
        <v>01</v>
      </c>
      <c r="M1209" s="1" t="str">
        <f t="shared" si="793"/>
        <v>408</v>
      </c>
      <c r="N1209" s="1" t="str">
        <f>"004"</f>
        <v>004</v>
      </c>
      <c r="O1209" s="1" t="str">
        <f t="shared" si="769"/>
        <v>00</v>
      </c>
      <c r="P1209" s="1" t="str">
        <f t="shared" si="770"/>
        <v>S</v>
      </c>
      <c r="Q1209" s="1" t="str">
        <f t="shared" si="771"/>
        <v>P</v>
      </c>
      <c r="R1209" s="1" t="str">
        <f t="shared" si="772"/>
        <v>01</v>
      </c>
      <c r="S1209" s="1" t="str">
        <f t="shared" si="794"/>
        <v>04</v>
      </c>
      <c r="T1209" s="1" t="str">
        <f t="shared" si="773"/>
        <v>False</v>
      </c>
      <c r="U1209" s="1" t="str">
        <f t="shared" si="774"/>
        <v>True</v>
      </c>
      <c r="V1209" s="1" t="str">
        <f>"U0034833"</f>
        <v>U0034833</v>
      </c>
      <c r="W1209" s="1">
        <v>1</v>
      </c>
      <c r="Y1209" s="1">
        <v>0</v>
      </c>
      <c r="Z1209" s="1">
        <v>0</v>
      </c>
      <c r="AI1209" s="1" t="str">
        <f t="shared" si="797"/>
        <v>F10</v>
      </c>
      <c r="AJ1209" s="1" t="str">
        <f t="shared" si="798"/>
        <v>UNISEX</v>
      </c>
      <c r="AK1209" s="1" t="str">
        <f t="shared" si="775"/>
        <v>PA</v>
      </c>
      <c r="AP1209" s="1" t="str">
        <f t="shared" si="776"/>
        <v>False</v>
      </c>
      <c r="AR1209" s="1" t="str">
        <f t="shared" si="799"/>
        <v>VAIAN</v>
      </c>
      <c r="AY1209" s="1" t="str">
        <f t="shared" si="777"/>
        <v>PF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 t="str">
        <f t="shared" si="795"/>
        <v>TOMAIA GOMMA</v>
      </c>
      <c r="BF1209" s="1" t="str">
        <f t="shared" si="778"/>
        <v>Bonis SpA</v>
      </c>
    </row>
    <row r="1210" spans="2:58" x14ac:dyDescent="0.25">
      <c r="B1210" s="1">
        <v>2467</v>
      </c>
      <c r="C1210" s="1" t="str">
        <f t="shared" si="796"/>
        <v>VAIAN4209S7/G1</v>
      </c>
      <c r="E1210" s="1" t="str">
        <f>"40"</f>
        <v>40</v>
      </c>
      <c r="F1210" s="1" t="str">
        <f t="shared" si="766"/>
        <v>BONIS SPA</v>
      </c>
      <c r="G1210" s="1" t="str">
        <f t="shared" si="792"/>
        <v>STOCK SCAFFALE MP</v>
      </c>
      <c r="H1210" s="1" t="str">
        <f>"SKBL"</f>
        <v>SKBL</v>
      </c>
      <c r="K1210" s="1">
        <v>12</v>
      </c>
      <c r="L1210" s="1" t="str">
        <f t="shared" si="768"/>
        <v>01</v>
      </c>
      <c r="M1210" s="1" t="str">
        <f t="shared" si="793"/>
        <v>408</v>
      </c>
      <c r="N1210" s="1" t="str">
        <f>"004"</f>
        <v>004</v>
      </c>
      <c r="O1210" s="1" t="str">
        <f t="shared" si="769"/>
        <v>00</v>
      </c>
      <c r="P1210" s="1" t="str">
        <f t="shared" si="770"/>
        <v>S</v>
      </c>
      <c r="Q1210" s="1" t="str">
        <f t="shared" si="771"/>
        <v>P</v>
      </c>
      <c r="R1210" s="1" t="str">
        <f t="shared" si="772"/>
        <v>01</v>
      </c>
      <c r="S1210" s="1" t="str">
        <f t="shared" si="794"/>
        <v>04</v>
      </c>
      <c r="T1210" s="1" t="str">
        <f t="shared" si="773"/>
        <v>False</v>
      </c>
      <c r="U1210" s="1" t="str">
        <f t="shared" si="774"/>
        <v>True</v>
      </c>
      <c r="V1210" s="1" t="str">
        <f>"U0034833"</f>
        <v>U0034833</v>
      </c>
      <c r="W1210" s="1">
        <v>1</v>
      </c>
      <c r="Y1210" s="1">
        <v>0</v>
      </c>
      <c r="Z1210" s="1">
        <v>0</v>
      </c>
      <c r="AI1210" s="1" t="str">
        <f t="shared" si="797"/>
        <v>F10</v>
      </c>
      <c r="AJ1210" s="1" t="str">
        <f t="shared" si="798"/>
        <v>UNISEX</v>
      </c>
      <c r="AK1210" s="1" t="str">
        <f t="shared" si="775"/>
        <v>PA</v>
      </c>
      <c r="AP1210" s="1" t="str">
        <f t="shared" si="776"/>
        <v>False</v>
      </c>
      <c r="AR1210" s="1" t="str">
        <f t="shared" si="799"/>
        <v>VAIAN</v>
      </c>
      <c r="AY1210" s="1" t="str">
        <f t="shared" si="777"/>
        <v>PF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 t="str">
        <f t="shared" si="795"/>
        <v>TOMAIA GOMMA</v>
      </c>
      <c r="BF1210" s="1" t="str">
        <f t="shared" si="778"/>
        <v>Bonis SpA</v>
      </c>
    </row>
    <row r="1211" spans="2:58" x14ac:dyDescent="0.25">
      <c r="B1211" s="1">
        <v>2467</v>
      </c>
      <c r="C1211" s="1" t="str">
        <f t="shared" si="796"/>
        <v>VAIAN4209S7/G1</v>
      </c>
      <c r="E1211" s="1" t="str">
        <f>"39"</f>
        <v>39</v>
      </c>
      <c r="F1211" s="1" t="str">
        <f t="shared" si="766"/>
        <v>BONIS SPA</v>
      </c>
      <c r="G1211" s="1" t="str">
        <f t="shared" si="792"/>
        <v>STOCK SCAFFALE MP</v>
      </c>
      <c r="H1211" s="1" t="str">
        <f>"SKBL"</f>
        <v>SKBL</v>
      </c>
      <c r="K1211" s="1">
        <v>2</v>
      </c>
      <c r="L1211" s="1" t="str">
        <f t="shared" si="768"/>
        <v>01</v>
      </c>
      <c r="M1211" s="1" t="str">
        <f t="shared" si="793"/>
        <v>408</v>
      </c>
      <c r="N1211" s="1" t="str">
        <f>"004"</f>
        <v>004</v>
      </c>
      <c r="O1211" s="1" t="str">
        <f t="shared" si="769"/>
        <v>00</v>
      </c>
      <c r="P1211" s="1" t="str">
        <f t="shared" si="770"/>
        <v>S</v>
      </c>
      <c r="Q1211" s="1" t="str">
        <f t="shared" si="771"/>
        <v>P</v>
      </c>
      <c r="R1211" s="1" t="str">
        <f t="shared" si="772"/>
        <v>01</v>
      </c>
      <c r="S1211" s="1" t="str">
        <f t="shared" si="794"/>
        <v>04</v>
      </c>
      <c r="T1211" s="1" t="str">
        <f t="shared" si="773"/>
        <v>False</v>
      </c>
      <c r="U1211" s="1" t="str">
        <f t="shared" si="774"/>
        <v>True</v>
      </c>
      <c r="V1211" s="1" t="str">
        <f>"U0034833"</f>
        <v>U0034833</v>
      </c>
      <c r="W1211" s="1">
        <v>1</v>
      </c>
      <c r="Y1211" s="1">
        <v>0</v>
      </c>
      <c r="Z1211" s="1">
        <v>0</v>
      </c>
      <c r="AI1211" s="1" t="str">
        <f t="shared" si="797"/>
        <v>F10</v>
      </c>
      <c r="AJ1211" s="1" t="str">
        <f t="shared" si="798"/>
        <v>UNISEX</v>
      </c>
      <c r="AK1211" s="1" t="str">
        <f t="shared" si="775"/>
        <v>PA</v>
      </c>
      <c r="AP1211" s="1" t="str">
        <f t="shared" si="776"/>
        <v>False</v>
      </c>
      <c r="AR1211" s="1" t="str">
        <f t="shared" si="799"/>
        <v>VAIAN</v>
      </c>
      <c r="AY1211" s="1" t="str">
        <f t="shared" si="777"/>
        <v>PF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 t="str">
        <f t="shared" si="795"/>
        <v>TOMAIA GOMMA</v>
      </c>
      <c r="BF1211" s="1" t="str">
        <f t="shared" si="778"/>
        <v>Bonis SpA</v>
      </c>
    </row>
    <row r="1212" spans="2:58" x14ac:dyDescent="0.25">
      <c r="B1212" s="1">
        <v>2470</v>
      </c>
      <c r="C1212" s="1" t="str">
        <f t="shared" si="796"/>
        <v>VAIAN4209S7/G1</v>
      </c>
      <c r="E1212" s="1" t="str">
        <f>"38"</f>
        <v>38</v>
      </c>
      <c r="F1212" s="1" t="str">
        <f t="shared" si="766"/>
        <v>BONIS SPA</v>
      </c>
      <c r="G1212" s="1" t="str">
        <f t="shared" si="792"/>
        <v>STOCK SCAFFALE MP</v>
      </c>
      <c r="H1212" s="1" t="str">
        <f>"DKBL"</f>
        <v>DKBL</v>
      </c>
      <c r="K1212" s="1">
        <v>4</v>
      </c>
      <c r="L1212" s="1" t="str">
        <f t="shared" si="768"/>
        <v>01</v>
      </c>
      <c r="M1212" s="1" t="str">
        <f t="shared" si="793"/>
        <v>408</v>
      </c>
      <c r="N1212" s="1" t="str">
        <f>"005"</f>
        <v>005</v>
      </c>
      <c r="O1212" s="1" t="str">
        <f t="shared" si="769"/>
        <v>00</v>
      </c>
      <c r="P1212" s="1" t="str">
        <f t="shared" si="770"/>
        <v>S</v>
      </c>
      <c r="Q1212" s="1" t="str">
        <f t="shared" si="771"/>
        <v>P</v>
      </c>
      <c r="R1212" s="1" t="str">
        <f t="shared" si="772"/>
        <v>01</v>
      </c>
      <c r="S1212" s="1" t="str">
        <f t="shared" si="794"/>
        <v>04</v>
      </c>
      <c r="T1212" s="1" t="str">
        <f t="shared" si="773"/>
        <v>False</v>
      </c>
      <c r="U1212" s="1" t="str">
        <f t="shared" si="774"/>
        <v>True</v>
      </c>
      <c r="V1212" s="1" t="str">
        <f>"U0034835"</f>
        <v>U0034835</v>
      </c>
      <c r="W1212" s="1">
        <v>1</v>
      </c>
      <c r="Y1212" s="1">
        <v>0</v>
      </c>
      <c r="Z1212" s="1">
        <v>0</v>
      </c>
      <c r="AI1212" s="1" t="str">
        <f t="shared" si="797"/>
        <v>F10</v>
      </c>
      <c r="AJ1212" s="1" t="str">
        <f t="shared" si="798"/>
        <v>UNISEX</v>
      </c>
      <c r="AK1212" s="1" t="str">
        <f t="shared" si="775"/>
        <v>PA</v>
      </c>
      <c r="AP1212" s="1" t="str">
        <f t="shared" si="776"/>
        <v>False</v>
      </c>
      <c r="AR1212" s="1" t="str">
        <f t="shared" si="799"/>
        <v>VAIAN</v>
      </c>
      <c r="AY1212" s="1" t="str">
        <f t="shared" si="777"/>
        <v>PF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 t="str">
        <f t="shared" si="795"/>
        <v>TOMAIA GOMMA</v>
      </c>
      <c r="BF1212" s="1" t="str">
        <f t="shared" si="778"/>
        <v>Bonis SpA</v>
      </c>
    </row>
    <row r="1213" spans="2:58" x14ac:dyDescent="0.25">
      <c r="B1213" s="1">
        <v>2467</v>
      </c>
      <c r="C1213" s="1" t="str">
        <f t="shared" si="796"/>
        <v>VAIAN4209S7/G1</v>
      </c>
      <c r="E1213" s="1" t="str">
        <f>"42"</f>
        <v>42</v>
      </c>
      <c r="F1213" s="1" t="str">
        <f t="shared" si="766"/>
        <v>BONIS SPA</v>
      </c>
      <c r="G1213" s="1" t="str">
        <f t="shared" si="792"/>
        <v>STOCK SCAFFALE MP</v>
      </c>
      <c r="H1213" s="1" t="str">
        <f>"SKBL"</f>
        <v>SKBL</v>
      </c>
      <c r="K1213" s="1">
        <v>2</v>
      </c>
      <c r="L1213" s="1" t="str">
        <f t="shared" si="768"/>
        <v>01</v>
      </c>
      <c r="M1213" s="1" t="str">
        <f t="shared" si="793"/>
        <v>408</v>
      </c>
      <c r="N1213" s="1" t="str">
        <f>"004"</f>
        <v>004</v>
      </c>
      <c r="O1213" s="1" t="str">
        <f t="shared" si="769"/>
        <v>00</v>
      </c>
      <c r="P1213" s="1" t="str">
        <f t="shared" si="770"/>
        <v>S</v>
      </c>
      <c r="Q1213" s="1" t="str">
        <f t="shared" si="771"/>
        <v>P</v>
      </c>
      <c r="R1213" s="1" t="str">
        <f t="shared" si="772"/>
        <v>01</v>
      </c>
      <c r="S1213" s="1" t="str">
        <f t="shared" si="794"/>
        <v>04</v>
      </c>
      <c r="T1213" s="1" t="str">
        <f t="shared" si="773"/>
        <v>False</v>
      </c>
      <c r="U1213" s="1" t="str">
        <f t="shared" si="774"/>
        <v>True</v>
      </c>
      <c r="V1213" s="1" t="str">
        <f>"U0034833"</f>
        <v>U0034833</v>
      </c>
      <c r="W1213" s="1">
        <v>1</v>
      </c>
      <c r="Y1213" s="1">
        <v>0</v>
      </c>
      <c r="Z1213" s="1">
        <v>0</v>
      </c>
      <c r="AI1213" s="1" t="str">
        <f t="shared" si="797"/>
        <v>F10</v>
      </c>
      <c r="AJ1213" s="1" t="str">
        <f t="shared" si="798"/>
        <v>UNISEX</v>
      </c>
      <c r="AK1213" s="1" t="str">
        <f t="shared" si="775"/>
        <v>PA</v>
      </c>
      <c r="AP1213" s="1" t="str">
        <f t="shared" si="776"/>
        <v>False</v>
      </c>
      <c r="AR1213" s="1" t="str">
        <f t="shared" si="799"/>
        <v>VAIAN</v>
      </c>
      <c r="AY1213" s="1" t="str">
        <f t="shared" si="777"/>
        <v>PF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 t="str">
        <f t="shared" si="795"/>
        <v>TOMAIA GOMMA</v>
      </c>
      <c r="BF1213" s="1" t="str">
        <f t="shared" si="778"/>
        <v>Bonis SpA</v>
      </c>
    </row>
    <row r="1214" spans="2:58" x14ac:dyDescent="0.25">
      <c r="B1214" s="1">
        <v>2467</v>
      </c>
      <c r="C1214" s="1" t="str">
        <f t="shared" si="796"/>
        <v>VAIAN4209S7/G1</v>
      </c>
      <c r="E1214" s="1" t="str">
        <f>"43"</f>
        <v>43</v>
      </c>
      <c r="F1214" s="1" t="str">
        <f t="shared" si="766"/>
        <v>BONIS SPA</v>
      </c>
      <c r="G1214" s="1" t="str">
        <f t="shared" si="792"/>
        <v>STOCK SCAFFALE MP</v>
      </c>
      <c r="H1214" s="1" t="str">
        <f>"SKBL"</f>
        <v>SKBL</v>
      </c>
      <c r="K1214" s="1">
        <v>1</v>
      </c>
      <c r="L1214" s="1" t="str">
        <f t="shared" si="768"/>
        <v>01</v>
      </c>
      <c r="M1214" s="1" t="str">
        <f t="shared" si="793"/>
        <v>408</v>
      </c>
      <c r="N1214" s="1" t="str">
        <f>"004"</f>
        <v>004</v>
      </c>
      <c r="O1214" s="1" t="str">
        <f t="shared" si="769"/>
        <v>00</v>
      </c>
      <c r="P1214" s="1" t="str">
        <f t="shared" si="770"/>
        <v>S</v>
      </c>
      <c r="Q1214" s="1" t="str">
        <f t="shared" si="771"/>
        <v>P</v>
      </c>
      <c r="R1214" s="1" t="str">
        <f t="shared" si="772"/>
        <v>01</v>
      </c>
      <c r="S1214" s="1" t="str">
        <f t="shared" si="794"/>
        <v>04</v>
      </c>
      <c r="T1214" s="1" t="str">
        <f t="shared" si="773"/>
        <v>False</v>
      </c>
      <c r="U1214" s="1" t="str">
        <f t="shared" si="774"/>
        <v>True</v>
      </c>
      <c r="V1214" s="1" t="str">
        <f>"U0034833"</f>
        <v>U0034833</v>
      </c>
      <c r="W1214" s="1">
        <v>1</v>
      </c>
      <c r="Y1214" s="1">
        <v>0</v>
      </c>
      <c r="Z1214" s="1">
        <v>0</v>
      </c>
      <c r="AI1214" s="1" t="str">
        <f t="shared" si="797"/>
        <v>F10</v>
      </c>
      <c r="AJ1214" s="1" t="str">
        <f t="shared" si="798"/>
        <v>UNISEX</v>
      </c>
      <c r="AK1214" s="1" t="str">
        <f t="shared" si="775"/>
        <v>PA</v>
      </c>
      <c r="AP1214" s="1" t="str">
        <f t="shared" si="776"/>
        <v>False</v>
      </c>
      <c r="AR1214" s="1" t="str">
        <f t="shared" si="799"/>
        <v>VAIAN</v>
      </c>
      <c r="AY1214" s="1" t="str">
        <f t="shared" si="777"/>
        <v>PF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 t="str">
        <f t="shared" si="795"/>
        <v>TOMAIA GOMMA</v>
      </c>
      <c r="BF1214" s="1" t="str">
        <f t="shared" si="778"/>
        <v>Bonis SpA</v>
      </c>
    </row>
    <row r="1215" spans="2:58" x14ac:dyDescent="0.25">
      <c r="B1215" s="1">
        <v>2470</v>
      </c>
      <c r="C1215" s="1" t="str">
        <f t="shared" si="796"/>
        <v>VAIAN4209S7/G1</v>
      </c>
      <c r="E1215" s="1" t="str">
        <f>"36"</f>
        <v>36</v>
      </c>
      <c r="F1215" s="1" t="str">
        <f t="shared" si="766"/>
        <v>BONIS SPA</v>
      </c>
      <c r="G1215" s="1" t="str">
        <f t="shared" si="792"/>
        <v>STOCK SCAFFALE MP</v>
      </c>
      <c r="H1215" s="1" t="str">
        <f t="shared" ref="H1215:H1233" si="800">"DKBL"</f>
        <v>DKBL</v>
      </c>
      <c r="K1215" s="1">
        <v>6</v>
      </c>
      <c r="L1215" s="1" t="str">
        <f t="shared" si="768"/>
        <v>01</v>
      </c>
      <c r="M1215" s="1" t="str">
        <f t="shared" si="793"/>
        <v>408</v>
      </c>
      <c r="N1215" s="1" t="str">
        <f t="shared" ref="N1215:N1246" si="801">"005"</f>
        <v>005</v>
      </c>
      <c r="O1215" s="1" t="str">
        <f t="shared" si="769"/>
        <v>00</v>
      </c>
      <c r="P1215" s="1" t="str">
        <f t="shared" si="770"/>
        <v>S</v>
      </c>
      <c r="Q1215" s="1" t="str">
        <f t="shared" si="771"/>
        <v>P</v>
      </c>
      <c r="R1215" s="1" t="str">
        <f t="shared" si="772"/>
        <v>01</v>
      </c>
      <c r="S1215" s="1" t="str">
        <f t="shared" si="794"/>
        <v>04</v>
      </c>
      <c r="T1215" s="1" t="str">
        <f t="shared" si="773"/>
        <v>False</v>
      </c>
      <c r="U1215" s="1" t="str">
        <f t="shared" si="774"/>
        <v>True</v>
      </c>
      <c r="V1215" s="1" t="str">
        <f>"U0034835"</f>
        <v>U0034835</v>
      </c>
      <c r="W1215" s="1">
        <v>1</v>
      </c>
      <c r="Y1215" s="1">
        <v>0</v>
      </c>
      <c r="Z1215" s="1">
        <v>0</v>
      </c>
      <c r="AI1215" s="1" t="str">
        <f t="shared" si="797"/>
        <v>F10</v>
      </c>
      <c r="AJ1215" s="1" t="str">
        <f t="shared" si="798"/>
        <v>UNISEX</v>
      </c>
      <c r="AK1215" s="1" t="str">
        <f t="shared" si="775"/>
        <v>PA</v>
      </c>
      <c r="AP1215" s="1" t="str">
        <f t="shared" si="776"/>
        <v>False</v>
      </c>
      <c r="AR1215" s="1" t="str">
        <f t="shared" si="799"/>
        <v>VAIAN</v>
      </c>
      <c r="AY1215" s="1" t="str">
        <f t="shared" si="777"/>
        <v>PF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 t="str">
        <f t="shared" si="795"/>
        <v>TOMAIA GOMMA</v>
      </c>
      <c r="BF1215" s="1" t="str">
        <f t="shared" si="778"/>
        <v>Bonis SpA</v>
      </c>
    </row>
    <row r="1216" spans="2:58" x14ac:dyDescent="0.25">
      <c r="B1216" s="1">
        <v>2470</v>
      </c>
      <c r="C1216" s="1" t="str">
        <f t="shared" si="796"/>
        <v>VAIAN4209S7/G1</v>
      </c>
      <c r="E1216" s="1" t="str">
        <f>"37"</f>
        <v>37</v>
      </c>
      <c r="F1216" s="1" t="str">
        <f t="shared" si="766"/>
        <v>BONIS SPA</v>
      </c>
      <c r="G1216" s="1" t="str">
        <f t="shared" si="792"/>
        <v>STOCK SCAFFALE MP</v>
      </c>
      <c r="H1216" s="1" t="str">
        <f t="shared" si="800"/>
        <v>DKBL</v>
      </c>
      <c r="K1216" s="1">
        <v>1</v>
      </c>
      <c r="L1216" s="1" t="str">
        <f t="shared" si="768"/>
        <v>01</v>
      </c>
      <c r="M1216" s="1" t="str">
        <f t="shared" si="793"/>
        <v>408</v>
      </c>
      <c r="N1216" s="1" t="str">
        <f t="shared" si="801"/>
        <v>005</v>
      </c>
      <c r="O1216" s="1" t="str">
        <f t="shared" si="769"/>
        <v>00</v>
      </c>
      <c r="P1216" s="1" t="str">
        <f t="shared" si="770"/>
        <v>S</v>
      </c>
      <c r="Q1216" s="1" t="str">
        <f t="shared" si="771"/>
        <v>P</v>
      </c>
      <c r="R1216" s="1" t="str">
        <f t="shared" si="772"/>
        <v>01</v>
      </c>
      <c r="S1216" s="1" t="str">
        <f t="shared" si="794"/>
        <v>04</v>
      </c>
      <c r="T1216" s="1" t="str">
        <f t="shared" si="773"/>
        <v>False</v>
      </c>
      <c r="U1216" s="1" t="str">
        <f t="shared" si="774"/>
        <v>True</v>
      </c>
      <c r="V1216" s="1" t="str">
        <f>"U0034835"</f>
        <v>U0034835</v>
      </c>
      <c r="W1216" s="1">
        <v>1</v>
      </c>
      <c r="Y1216" s="1">
        <v>0</v>
      </c>
      <c r="Z1216" s="1">
        <v>0</v>
      </c>
      <c r="AI1216" s="1" t="str">
        <f t="shared" si="797"/>
        <v>F10</v>
      </c>
      <c r="AJ1216" s="1" t="str">
        <f t="shared" si="798"/>
        <v>UNISEX</v>
      </c>
      <c r="AK1216" s="1" t="str">
        <f t="shared" si="775"/>
        <v>PA</v>
      </c>
      <c r="AP1216" s="1" t="str">
        <f t="shared" si="776"/>
        <v>False</v>
      </c>
      <c r="AR1216" s="1" t="str">
        <f t="shared" si="799"/>
        <v>VAIAN</v>
      </c>
      <c r="AY1216" s="1" t="str">
        <f t="shared" si="777"/>
        <v>PF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 t="str">
        <f t="shared" si="795"/>
        <v>TOMAIA GOMMA</v>
      </c>
      <c r="BF1216" s="1" t="str">
        <f t="shared" si="778"/>
        <v>Bonis SpA</v>
      </c>
    </row>
    <row r="1217" spans="2:58" x14ac:dyDescent="0.25">
      <c r="B1217" s="1">
        <v>2470</v>
      </c>
      <c r="C1217" s="1" t="str">
        <f t="shared" si="796"/>
        <v>VAIAN4209S7/G1</v>
      </c>
      <c r="E1217" s="1" t="str">
        <f>"41"</f>
        <v>41</v>
      </c>
      <c r="F1217" s="1" t="str">
        <f t="shared" si="766"/>
        <v>BONIS SPA</v>
      </c>
      <c r="G1217" s="1" t="str">
        <f t="shared" si="792"/>
        <v>STOCK SCAFFALE MP</v>
      </c>
      <c r="H1217" s="1" t="str">
        <f t="shared" si="800"/>
        <v>DKBL</v>
      </c>
      <c r="K1217" s="1">
        <v>7</v>
      </c>
      <c r="L1217" s="1" t="str">
        <f t="shared" si="768"/>
        <v>01</v>
      </c>
      <c r="M1217" s="1" t="str">
        <f t="shared" si="793"/>
        <v>408</v>
      </c>
      <c r="N1217" s="1" t="str">
        <f t="shared" si="801"/>
        <v>005</v>
      </c>
      <c r="O1217" s="1" t="str">
        <f t="shared" si="769"/>
        <v>00</v>
      </c>
      <c r="P1217" s="1" t="str">
        <f t="shared" si="770"/>
        <v>S</v>
      </c>
      <c r="Q1217" s="1" t="str">
        <f t="shared" si="771"/>
        <v>P</v>
      </c>
      <c r="R1217" s="1" t="str">
        <f t="shared" si="772"/>
        <v>01</v>
      </c>
      <c r="S1217" s="1" t="str">
        <f t="shared" si="794"/>
        <v>04</v>
      </c>
      <c r="T1217" s="1" t="str">
        <f t="shared" si="773"/>
        <v>False</v>
      </c>
      <c r="U1217" s="1" t="str">
        <f t="shared" si="774"/>
        <v>True</v>
      </c>
      <c r="V1217" s="1" t="str">
        <f>"U0034836"</f>
        <v>U0034836</v>
      </c>
      <c r="W1217" s="1">
        <v>1</v>
      </c>
      <c r="Y1217" s="1">
        <v>0</v>
      </c>
      <c r="Z1217" s="1">
        <v>0</v>
      </c>
      <c r="AI1217" s="1" t="str">
        <f t="shared" si="797"/>
        <v>F10</v>
      </c>
      <c r="AJ1217" s="1" t="str">
        <f t="shared" si="798"/>
        <v>UNISEX</v>
      </c>
      <c r="AK1217" s="1" t="str">
        <f t="shared" si="775"/>
        <v>PA</v>
      </c>
      <c r="AP1217" s="1" t="str">
        <f t="shared" si="776"/>
        <v>False</v>
      </c>
      <c r="AR1217" s="1" t="str">
        <f t="shared" si="799"/>
        <v>VAIAN</v>
      </c>
      <c r="AY1217" s="1" t="str">
        <f t="shared" si="777"/>
        <v>PF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 t="str">
        <f t="shared" si="795"/>
        <v>TOMAIA GOMMA</v>
      </c>
      <c r="BF1217" s="1" t="str">
        <f t="shared" si="778"/>
        <v>Bonis SpA</v>
      </c>
    </row>
    <row r="1218" spans="2:58" x14ac:dyDescent="0.25">
      <c r="B1218" s="1">
        <v>2470</v>
      </c>
      <c r="C1218" s="1" t="str">
        <f t="shared" si="796"/>
        <v>VAIAN4209S7/G1</v>
      </c>
      <c r="E1218" s="1" t="str">
        <f>"44"</f>
        <v>44</v>
      </c>
      <c r="F1218" s="1" t="str">
        <f t="shared" ref="F1218:F1281" si="802">"BONIS SPA"</f>
        <v>BONIS SPA</v>
      </c>
      <c r="G1218" s="1" t="str">
        <f t="shared" si="792"/>
        <v>STOCK SCAFFALE MP</v>
      </c>
      <c r="H1218" s="1" t="str">
        <f t="shared" si="800"/>
        <v>DKBL</v>
      </c>
      <c r="K1218" s="1">
        <v>1</v>
      </c>
      <c r="L1218" s="1" t="str">
        <f t="shared" ref="L1218:L1281" si="803">"01"</f>
        <v>01</v>
      </c>
      <c r="M1218" s="1" t="str">
        <f t="shared" si="793"/>
        <v>408</v>
      </c>
      <c r="N1218" s="1" t="str">
        <f t="shared" si="801"/>
        <v>005</v>
      </c>
      <c r="O1218" s="1" t="str">
        <f t="shared" ref="O1218:O1281" si="804">"00"</f>
        <v>00</v>
      </c>
      <c r="P1218" s="1" t="str">
        <f t="shared" ref="P1218:P1281" si="805">"S"</f>
        <v>S</v>
      </c>
      <c r="Q1218" s="1" t="str">
        <f t="shared" ref="Q1218:Q1281" si="806">"P"</f>
        <v>P</v>
      </c>
      <c r="R1218" s="1" t="str">
        <f t="shared" ref="R1218:R1281" si="807">"01"</f>
        <v>01</v>
      </c>
      <c r="S1218" s="1" t="str">
        <f t="shared" si="794"/>
        <v>04</v>
      </c>
      <c r="T1218" s="1" t="str">
        <f t="shared" ref="T1218:T1281" si="808">"False"</f>
        <v>False</v>
      </c>
      <c r="U1218" s="1" t="str">
        <f t="shared" ref="U1218:U1281" si="809">"True"</f>
        <v>True</v>
      </c>
      <c r="V1218" s="1" t="str">
        <f>"U0034836"</f>
        <v>U0034836</v>
      </c>
      <c r="W1218" s="1">
        <v>1</v>
      </c>
      <c r="Y1218" s="1">
        <v>0</v>
      </c>
      <c r="Z1218" s="1">
        <v>0</v>
      </c>
      <c r="AI1218" s="1" t="str">
        <f t="shared" si="797"/>
        <v>F10</v>
      </c>
      <c r="AJ1218" s="1" t="str">
        <f t="shared" si="798"/>
        <v>UNISEX</v>
      </c>
      <c r="AK1218" s="1" t="str">
        <f t="shared" ref="AK1218:AK1281" si="810">"PA"</f>
        <v>PA</v>
      </c>
      <c r="AP1218" s="1" t="str">
        <f t="shared" ref="AP1218:AP1281" si="811">"False"</f>
        <v>False</v>
      </c>
      <c r="AR1218" s="1" t="str">
        <f t="shared" si="799"/>
        <v>VAIAN</v>
      </c>
      <c r="AY1218" s="1" t="str">
        <f t="shared" ref="AY1218:AY1281" si="812">"PF"</f>
        <v>PF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 t="str">
        <f t="shared" si="795"/>
        <v>TOMAIA GOMMA</v>
      </c>
      <c r="BF1218" s="1" t="str">
        <f t="shared" ref="BF1218:BF1281" si="813">"Bonis SpA"</f>
        <v>Bonis SpA</v>
      </c>
    </row>
    <row r="1219" spans="2:58" x14ac:dyDescent="0.25">
      <c r="B1219" s="1">
        <v>2470</v>
      </c>
      <c r="C1219" s="1" t="str">
        <f t="shared" si="796"/>
        <v>VAIAN4209S7/G1</v>
      </c>
      <c r="E1219" s="1" t="str">
        <f>"40"</f>
        <v>40</v>
      </c>
      <c r="F1219" s="1" t="str">
        <f t="shared" si="802"/>
        <v>BONIS SPA</v>
      </c>
      <c r="G1219" s="1" t="str">
        <f t="shared" si="792"/>
        <v>STOCK SCAFFALE MP</v>
      </c>
      <c r="H1219" s="1" t="str">
        <f t="shared" si="800"/>
        <v>DKBL</v>
      </c>
      <c r="K1219" s="1">
        <v>1</v>
      </c>
      <c r="L1219" s="1" t="str">
        <f t="shared" si="803"/>
        <v>01</v>
      </c>
      <c r="M1219" s="1" t="str">
        <f t="shared" si="793"/>
        <v>408</v>
      </c>
      <c r="N1219" s="1" t="str">
        <f t="shared" si="801"/>
        <v>005</v>
      </c>
      <c r="O1219" s="1" t="str">
        <f t="shared" si="804"/>
        <v>00</v>
      </c>
      <c r="P1219" s="1" t="str">
        <f t="shared" si="805"/>
        <v>S</v>
      </c>
      <c r="Q1219" s="1" t="str">
        <f t="shared" si="806"/>
        <v>P</v>
      </c>
      <c r="R1219" s="1" t="str">
        <f t="shared" si="807"/>
        <v>01</v>
      </c>
      <c r="S1219" s="1" t="str">
        <f t="shared" si="794"/>
        <v>04</v>
      </c>
      <c r="T1219" s="1" t="str">
        <f t="shared" si="808"/>
        <v>False</v>
      </c>
      <c r="U1219" s="1" t="str">
        <f t="shared" si="809"/>
        <v>True</v>
      </c>
      <c r="V1219" s="1" t="str">
        <f>"U0034836"</f>
        <v>U0034836</v>
      </c>
      <c r="W1219" s="1">
        <v>1</v>
      </c>
      <c r="Y1219" s="1">
        <v>0</v>
      </c>
      <c r="Z1219" s="1">
        <v>0</v>
      </c>
      <c r="AI1219" s="1" t="str">
        <f t="shared" si="797"/>
        <v>F10</v>
      </c>
      <c r="AJ1219" s="1" t="str">
        <f t="shared" si="798"/>
        <v>UNISEX</v>
      </c>
      <c r="AK1219" s="1" t="str">
        <f t="shared" si="810"/>
        <v>PA</v>
      </c>
      <c r="AP1219" s="1" t="str">
        <f t="shared" si="811"/>
        <v>False</v>
      </c>
      <c r="AR1219" s="1" t="str">
        <f t="shared" si="799"/>
        <v>VAIAN</v>
      </c>
      <c r="AY1219" s="1" t="str">
        <f t="shared" si="812"/>
        <v>PF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 t="str">
        <f t="shared" si="795"/>
        <v>TOMAIA GOMMA</v>
      </c>
      <c r="BF1219" s="1" t="str">
        <f t="shared" si="813"/>
        <v>Bonis SpA</v>
      </c>
    </row>
    <row r="1220" spans="2:58" x14ac:dyDescent="0.25">
      <c r="B1220" s="1">
        <v>2470</v>
      </c>
      <c r="C1220" s="1" t="str">
        <f t="shared" si="796"/>
        <v>VAIAN4209S7/G1</v>
      </c>
      <c r="E1220" s="1" t="str">
        <f>"38"</f>
        <v>38</v>
      </c>
      <c r="F1220" s="1" t="str">
        <f t="shared" si="802"/>
        <v>BONIS SPA</v>
      </c>
      <c r="G1220" s="1" t="str">
        <f t="shared" si="792"/>
        <v>STOCK SCAFFALE MP</v>
      </c>
      <c r="H1220" s="1" t="str">
        <f t="shared" si="800"/>
        <v>DKBL</v>
      </c>
      <c r="K1220" s="1">
        <v>10</v>
      </c>
      <c r="L1220" s="1" t="str">
        <f t="shared" si="803"/>
        <v>01</v>
      </c>
      <c r="M1220" s="1" t="str">
        <f t="shared" si="793"/>
        <v>408</v>
      </c>
      <c r="N1220" s="1" t="str">
        <f t="shared" si="801"/>
        <v>005</v>
      </c>
      <c r="O1220" s="1" t="str">
        <f t="shared" si="804"/>
        <v>00</v>
      </c>
      <c r="P1220" s="1" t="str">
        <f t="shared" si="805"/>
        <v>S</v>
      </c>
      <c r="Q1220" s="1" t="str">
        <f t="shared" si="806"/>
        <v>P</v>
      </c>
      <c r="R1220" s="1" t="str">
        <f t="shared" si="807"/>
        <v>01</v>
      </c>
      <c r="S1220" s="1" t="str">
        <f t="shared" si="794"/>
        <v>04</v>
      </c>
      <c r="T1220" s="1" t="str">
        <f t="shared" si="808"/>
        <v>False</v>
      </c>
      <c r="U1220" s="1" t="str">
        <f t="shared" si="809"/>
        <v>True</v>
      </c>
      <c r="V1220" s="1" t="str">
        <f>"U0034836"</f>
        <v>U0034836</v>
      </c>
      <c r="W1220" s="1">
        <v>1</v>
      </c>
      <c r="Y1220" s="1">
        <v>0</v>
      </c>
      <c r="Z1220" s="1">
        <v>0</v>
      </c>
      <c r="AI1220" s="1" t="str">
        <f t="shared" si="797"/>
        <v>F10</v>
      </c>
      <c r="AJ1220" s="1" t="str">
        <f t="shared" si="798"/>
        <v>UNISEX</v>
      </c>
      <c r="AK1220" s="1" t="str">
        <f t="shared" si="810"/>
        <v>PA</v>
      </c>
      <c r="AP1220" s="1" t="str">
        <f t="shared" si="811"/>
        <v>False</v>
      </c>
      <c r="AR1220" s="1" t="str">
        <f t="shared" si="799"/>
        <v>VAIAN</v>
      </c>
      <c r="AY1220" s="1" t="str">
        <f t="shared" si="812"/>
        <v>PF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 t="str">
        <f t="shared" si="795"/>
        <v>TOMAIA GOMMA</v>
      </c>
      <c r="BF1220" s="1" t="str">
        <f t="shared" si="813"/>
        <v>Bonis SpA</v>
      </c>
    </row>
    <row r="1221" spans="2:58" x14ac:dyDescent="0.25">
      <c r="B1221" s="1">
        <v>2470</v>
      </c>
      <c r="C1221" s="1" t="str">
        <f t="shared" si="796"/>
        <v>VAIAN4209S7/G1</v>
      </c>
      <c r="E1221" s="1" t="str">
        <f>"37"</f>
        <v>37</v>
      </c>
      <c r="F1221" s="1" t="str">
        <f t="shared" si="802"/>
        <v>BONIS SPA</v>
      </c>
      <c r="G1221" s="1" t="str">
        <f t="shared" si="792"/>
        <v>STOCK SCAFFALE MP</v>
      </c>
      <c r="H1221" s="1" t="str">
        <f t="shared" si="800"/>
        <v>DKBL</v>
      </c>
      <c r="K1221" s="1">
        <v>7</v>
      </c>
      <c r="L1221" s="1" t="str">
        <f t="shared" si="803"/>
        <v>01</v>
      </c>
      <c r="M1221" s="1" t="str">
        <f t="shared" si="793"/>
        <v>408</v>
      </c>
      <c r="N1221" s="1" t="str">
        <f t="shared" si="801"/>
        <v>005</v>
      </c>
      <c r="O1221" s="1" t="str">
        <f t="shared" si="804"/>
        <v>00</v>
      </c>
      <c r="P1221" s="1" t="str">
        <f t="shared" si="805"/>
        <v>S</v>
      </c>
      <c r="Q1221" s="1" t="str">
        <f t="shared" si="806"/>
        <v>P</v>
      </c>
      <c r="R1221" s="1" t="str">
        <f t="shared" si="807"/>
        <v>01</v>
      </c>
      <c r="S1221" s="1" t="str">
        <f t="shared" si="794"/>
        <v>04</v>
      </c>
      <c r="T1221" s="1" t="str">
        <f t="shared" si="808"/>
        <v>False</v>
      </c>
      <c r="U1221" s="1" t="str">
        <f t="shared" si="809"/>
        <v>True</v>
      </c>
      <c r="V1221" s="1" t="str">
        <f>"U0034836"</f>
        <v>U0034836</v>
      </c>
      <c r="W1221" s="1">
        <v>1</v>
      </c>
      <c r="Y1221" s="1">
        <v>0</v>
      </c>
      <c r="Z1221" s="1">
        <v>0</v>
      </c>
      <c r="AI1221" s="1" t="str">
        <f t="shared" si="797"/>
        <v>F10</v>
      </c>
      <c r="AJ1221" s="1" t="str">
        <f t="shared" si="798"/>
        <v>UNISEX</v>
      </c>
      <c r="AK1221" s="1" t="str">
        <f t="shared" si="810"/>
        <v>PA</v>
      </c>
      <c r="AP1221" s="1" t="str">
        <f t="shared" si="811"/>
        <v>False</v>
      </c>
      <c r="AR1221" s="1" t="str">
        <f t="shared" si="799"/>
        <v>VAIAN</v>
      </c>
      <c r="AY1221" s="1" t="str">
        <f t="shared" si="812"/>
        <v>PF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 t="str">
        <f t="shared" si="795"/>
        <v>TOMAIA GOMMA</v>
      </c>
      <c r="BF1221" s="1" t="str">
        <f t="shared" si="813"/>
        <v>Bonis SpA</v>
      </c>
    </row>
    <row r="1222" spans="2:58" x14ac:dyDescent="0.25">
      <c r="B1222" s="1">
        <v>2470</v>
      </c>
      <c r="C1222" s="1" t="str">
        <f t="shared" si="796"/>
        <v>VAIAN4209S7/G1</v>
      </c>
      <c r="E1222" s="1" t="str">
        <f>"42"</f>
        <v>42</v>
      </c>
      <c r="F1222" s="1" t="str">
        <f t="shared" si="802"/>
        <v>BONIS SPA</v>
      </c>
      <c r="G1222" s="1" t="str">
        <f t="shared" si="792"/>
        <v>STOCK SCAFFALE MP</v>
      </c>
      <c r="H1222" s="1" t="str">
        <f t="shared" si="800"/>
        <v>DKBL</v>
      </c>
      <c r="K1222" s="1">
        <v>9</v>
      </c>
      <c r="L1222" s="1" t="str">
        <f t="shared" si="803"/>
        <v>01</v>
      </c>
      <c r="M1222" s="1" t="str">
        <f t="shared" si="793"/>
        <v>408</v>
      </c>
      <c r="N1222" s="1" t="str">
        <f t="shared" si="801"/>
        <v>005</v>
      </c>
      <c r="O1222" s="1" t="str">
        <f t="shared" si="804"/>
        <v>00</v>
      </c>
      <c r="P1222" s="1" t="str">
        <f t="shared" si="805"/>
        <v>S</v>
      </c>
      <c r="Q1222" s="1" t="str">
        <f t="shared" si="806"/>
        <v>P</v>
      </c>
      <c r="R1222" s="1" t="str">
        <f t="shared" si="807"/>
        <v>01</v>
      </c>
      <c r="S1222" s="1" t="str">
        <f t="shared" si="794"/>
        <v>04</v>
      </c>
      <c r="T1222" s="1" t="str">
        <f t="shared" si="808"/>
        <v>False</v>
      </c>
      <c r="U1222" s="1" t="str">
        <f t="shared" si="809"/>
        <v>True</v>
      </c>
      <c r="V1222" s="1" t="str">
        <f>"U0034837"</f>
        <v>U0034837</v>
      </c>
      <c r="W1222" s="1">
        <v>1</v>
      </c>
      <c r="Y1222" s="1">
        <v>0</v>
      </c>
      <c r="Z1222" s="1">
        <v>0</v>
      </c>
      <c r="AI1222" s="1" t="str">
        <f t="shared" si="797"/>
        <v>F10</v>
      </c>
      <c r="AJ1222" s="1" t="str">
        <f t="shared" si="798"/>
        <v>UNISEX</v>
      </c>
      <c r="AK1222" s="1" t="str">
        <f t="shared" si="810"/>
        <v>PA</v>
      </c>
      <c r="AP1222" s="1" t="str">
        <f t="shared" si="811"/>
        <v>False</v>
      </c>
      <c r="AR1222" s="1" t="str">
        <f t="shared" si="799"/>
        <v>VAIAN</v>
      </c>
      <c r="AY1222" s="1" t="str">
        <f t="shared" si="812"/>
        <v>PF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 t="str">
        <f t="shared" si="795"/>
        <v>TOMAIA GOMMA</v>
      </c>
      <c r="BF1222" s="1" t="str">
        <f t="shared" si="813"/>
        <v>Bonis SpA</v>
      </c>
    </row>
    <row r="1223" spans="2:58" x14ac:dyDescent="0.25">
      <c r="B1223" s="1">
        <v>2470</v>
      </c>
      <c r="C1223" s="1" t="str">
        <f t="shared" si="796"/>
        <v>VAIAN4209S7/G1</v>
      </c>
      <c r="E1223" s="1" t="str">
        <f>"44"</f>
        <v>44</v>
      </c>
      <c r="F1223" s="1" t="str">
        <f t="shared" si="802"/>
        <v>BONIS SPA</v>
      </c>
      <c r="G1223" s="1" t="str">
        <f t="shared" si="792"/>
        <v>STOCK SCAFFALE MP</v>
      </c>
      <c r="H1223" s="1" t="str">
        <f t="shared" si="800"/>
        <v>DKBL</v>
      </c>
      <c r="K1223" s="1">
        <v>2</v>
      </c>
      <c r="L1223" s="1" t="str">
        <f t="shared" si="803"/>
        <v>01</v>
      </c>
      <c r="M1223" s="1" t="str">
        <f t="shared" si="793"/>
        <v>408</v>
      </c>
      <c r="N1223" s="1" t="str">
        <f t="shared" si="801"/>
        <v>005</v>
      </c>
      <c r="O1223" s="1" t="str">
        <f t="shared" si="804"/>
        <v>00</v>
      </c>
      <c r="P1223" s="1" t="str">
        <f t="shared" si="805"/>
        <v>S</v>
      </c>
      <c r="Q1223" s="1" t="str">
        <f t="shared" si="806"/>
        <v>P</v>
      </c>
      <c r="R1223" s="1" t="str">
        <f t="shared" si="807"/>
        <v>01</v>
      </c>
      <c r="S1223" s="1" t="str">
        <f t="shared" si="794"/>
        <v>04</v>
      </c>
      <c r="T1223" s="1" t="str">
        <f t="shared" si="808"/>
        <v>False</v>
      </c>
      <c r="U1223" s="1" t="str">
        <f t="shared" si="809"/>
        <v>True</v>
      </c>
      <c r="V1223" s="1" t="str">
        <f>"U0034837"</f>
        <v>U0034837</v>
      </c>
      <c r="W1223" s="1">
        <v>1</v>
      </c>
      <c r="Y1223" s="1">
        <v>0</v>
      </c>
      <c r="Z1223" s="1">
        <v>0</v>
      </c>
      <c r="AI1223" s="1" t="str">
        <f t="shared" si="797"/>
        <v>F10</v>
      </c>
      <c r="AJ1223" s="1" t="str">
        <f t="shared" si="798"/>
        <v>UNISEX</v>
      </c>
      <c r="AK1223" s="1" t="str">
        <f t="shared" si="810"/>
        <v>PA</v>
      </c>
      <c r="AP1223" s="1" t="str">
        <f t="shared" si="811"/>
        <v>False</v>
      </c>
      <c r="AR1223" s="1" t="str">
        <f t="shared" si="799"/>
        <v>VAIAN</v>
      </c>
      <c r="AY1223" s="1" t="str">
        <f t="shared" si="812"/>
        <v>PF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 t="str">
        <f t="shared" si="795"/>
        <v>TOMAIA GOMMA</v>
      </c>
      <c r="BF1223" s="1" t="str">
        <f t="shared" si="813"/>
        <v>Bonis SpA</v>
      </c>
    </row>
    <row r="1224" spans="2:58" x14ac:dyDescent="0.25">
      <c r="B1224" s="1">
        <v>2470</v>
      </c>
      <c r="C1224" s="1" t="str">
        <f t="shared" si="796"/>
        <v>VAIAN4209S7/G1</v>
      </c>
      <c r="E1224" s="1" t="str">
        <f>"43"</f>
        <v>43</v>
      </c>
      <c r="F1224" s="1" t="str">
        <f t="shared" si="802"/>
        <v>BONIS SPA</v>
      </c>
      <c r="G1224" s="1" t="str">
        <f t="shared" si="792"/>
        <v>STOCK SCAFFALE MP</v>
      </c>
      <c r="H1224" s="1" t="str">
        <f t="shared" si="800"/>
        <v>DKBL</v>
      </c>
      <c r="K1224" s="1">
        <v>17</v>
      </c>
      <c r="L1224" s="1" t="str">
        <f t="shared" si="803"/>
        <v>01</v>
      </c>
      <c r="M1224" s="1" t="str">
        <f t="shared" si="793"/>
        <v>408</v>
      </c>
      <c r="N1224" s="1" t="str">
        <f t="shared" si="801"/>
        <v>005</v>
      </c>
      <c r="O1224" s="1" t="str">
        <f t="shared" si="804"/>
        <v>00</v>
      </c>
      <c r="P1224" s="1" t="str">
        <f t="shared" si="805"/>
        <v>S</v>
      </c>
      <c r="Q1224" s="1" t="str">
        <f t="shared" si="806"/>
        <v>P</v>
      </c>
      <c r="R1224" s="1" t="str">
        <f t="shared" si="807"/>
        <v>01</v>
      </c>
      <c r="S1224" s="1" t="str">
        <f t="shared" si="794"/>
        <v>04</v>
      </c>
      <c r="T1224" s="1" t="str">
        <f t="shared" si="808"/>
        <v>False</v>
      </c>
      <c r="U1224" s="1" t="str">
        <f t="shared" si="809"/>
        <v>True</v>
      </c>
      <c r="V1224" s="1" t="str">
        <f>"U0034837"</f>
        <v>U0034837</v>
      </c>
      <c r="W1224" s="1">
        <v>1</v>
      </c>
      <c r="Y1224" s="1">
        <v>0</v>
      </c>
      <c r="Z1224" s="1">
        <v>0</v>
      </c>
      <c r="AI1224" s="1" t="str">
        <f t="shared" si="797"/>
        <v>F10</v>
      </c>
      <c r="AJ1224" s="1" t="str">
        <f t="shared" si="798"/>
        <v>UNISEX</v>
      </c>
      <c r="AK1224" s="1" t="str">
        <f t="shared" si="810"/>
        <v>PA</v>
      </c>
      <c r="AP1224" s="1" t="str">
        <f t="shared" si="811"/>
        <v>False</v>
      </c>
      <c r="AR1224" s="1" t="str">
        <f t="shared" si="799"/>
        <v>VAIAN</v>
      </c>
      <c r="AY1224" s="1" t="str">
        <f t="shared" si="812"/>
        <v>PF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 t="str">
        <f t="shared" si="795"/>
        <v>TOMAIA GOMMA</v>
      </c>
      <c r="BF1224" s="1" t="str">
        <f t="shared" si="813"/>
        <v>Bonis SpA</v>
      </c>
    </row>
    <row r="1225" spans="2:58" x14ac:dyDescent="0.25">
      <c r="B1225" s="1">
        <v>2470</v>
      </c>
      <c r="C1225" s="1" t="str">
        <f t="shared" si="796"/>
        <v>VAIAN4209S7/G1</v>
      </c>
      <c r="E1225" s="1" t="str">
        <f>"41"</f>
        <v>41</v>
      </c>
      <c r="F1225" s="1" t="str">
        <f t="shared" si="802"/>
        <v>BONIS SPA</v>
      </c>
      <c r="G1225" s="1" t="str">
        <f t="shared" si="792"/>
        <v>STOCK SCAFFALE MP</v>
      </c>
      <c r="H1225" s="1" t="str">
        <f t="shared" si="800"/>
        <v>DKBL</v>
      </c>
      <c r="K1225" s="1">
        <v>10</v>
      </c>
      <c r="L1225" s="1" t="str">
        <f t="shared" si="803"/>
        <v>01</v>
      </c>
      <c r="M1225" s="1" t="str">
        <f t="shared" si="793"/>
        <v>408</v>
      </c>
      <c r="N1225" s="1" t="str">
        <f t="shared" si="801"/>
        <v>005</v>
      </c>
      <c r="O1225" s="1" t="str">
        <f t="shared" si="804"/>
        <v>00</v>
      </c>
      <c r="P1225" s="1" t="str">
        <f t="shared" si="805"/>
        <v>S</v>
      </c>
      <c r="Q1225" s="1" t="str">
        <f t="shared" si="806"/>
        <v>P</v>
      </c>
      <c r="R1225" s="1" t="str">
        <f t="shared" si="807"/>
        <v>01</v>
      </c>
      <c r="S1225" s="1" t="str">
        <f t="shared" si="794"/>
        <v>04</v>
      </c>
      <c r="T1225" s="1" t="str">
        <f t="shared" si="808"/>
        <v>False</v>
      </c>
      <c r="U1225" s="1" t="str">
        <f t="shared" si="809"/>
        <v>True</v>
      </c>
      <c r="V1225" s="1" t="str">
        <f>"U0034839"</f>
        <v>U0034839</v>
      </c>
      <c r="W1225" s="1">
        <v>1</v>
      </c>
      <c r="Y1225" s="1">
        <v>0</v>
      </c>
      <c r="Z1225" s="1">
        <v>0</v>
      </c>
      <c r="AI1225" s="1" t="str">
        <f t="shared" si="797"/>
        <v>F10</v>
      </c>
      <c r="AJ1225" s="1" t="str">
        <f t="shared" si="798"/>
        <v>UNISEX</v>
      </c>
      <c r="AK1225" s="1" t="str">
        <f t="shared" si="810"/>
        <v>PA</v>
      </c>
      <c r="AP1225" s="1" t="str">
        <f t="shared" si="811"/>
        <v>False</v>
      </c>
      <c r="AR1225" s="1" t="str">
        <f t="shared" si="799"/>
        <v>VAIAN</v>
      </c>
      <c r="AY1225" s="1" t="str">
        <f t="shared" si="812"/>
        <v>PF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 t="str">
        <f t="shared" si="795"/>
        <v>TOMAIA GOMMA</v>
      </c>
      <c r="BF1225" s="1" t="str">
        <f t="shared" si="813"/>
        <v>Bonis SpA</v>
      </c>
    </row>
    <row r="1226" spans="2:58" x14ac:dyDescent="0.25">
      <c r="B1226" s="1">
        <v>2470</v>
      </c>
      <c r="C1226" s="1" t="str">
        <f t="shared" si="796"/>
        <v>VAIAN4209S7/G1</v>
      </c>
      <c r="E1226" s="1" t="str">
        <f>"36"</f>
        <v>36</v>
      </c>
      <c r="F1226" s="1" t="str">
        <f t="shared" si="802"/>
        <v>BONIS SPA</v>
      </c>
      <c r="G1226" s="1" t="str">
        <f t="shared" si="792"/>
        <v>STOCK SCAFFALE MP</v>
      </c>
      <c r="H1226" s="1" t="str">
        <f t="shared" si="800"/>
        <v>DKBL</v>
      </c>
      <c r="K1226" s="1">
        <v>10</v>
      </c>
      <c r="L1226" s="1" t="str">
        <f t="shared" si="803"/>
        <v>01</v>
      </c>
      <c r="M1226" s="1" t="str">
        <f t="shared" si="793"/>
        <v>408</v>
      </c>
      <c r="N1226" s="1" t="str">
        <f t="shared" si="801"/>
        <v>005</v>
      </c>
      <c r="O1226" s="1" t="str">
        <f t="shared" si="804"/>
        <v>00</v>
      </c>
      <c r="P1226" s="1" t="str">
        <f t="shared" si="805"/>
        <v>S</v>
      </c>
      <c r="Q1226" s="1" t="str">
        <f t="shared" si="806"/>
        <v>P</v>
      </c>
      <c r="R1226" s="1" t="str">
        <f t="shared" si="807"/>
        <v>01</v>
      </c>
      <c r="S1226" s="1" t="str">
        <f t="shared" si="794"/>
        <v>04</v>
      </c>
      <c r="T1226" s="1" t="str">
        <f t="shared" si="808"/>
        <v>False</v>
      </c>
      <c r="U1226" s="1" t="str">
        <f t="shared" si="809"/>
        <v>True</v>
      </c>
      <c r="V1226" s="1" t="str">
        <f>"U0034839"</f>
        <v>U0034839</v>
      </c>
      <c r="W1226" s="1">
        <v>1</v>
      </c>
      <c r="Y1226" s="1">
        <v>0</v>
      </c>
      <c r="Z1226" s="1">
        <v>0</v>
      </c>
      <c r="AI1226" s="1" t="str">
        <f t="shared" si="797"/>
        <v>F10</v>
      </c>
      <c r="AJ1226" s="1" t="str">
        <f t="shared" si="798"/>
        <v>UNISEX</v>
      </c>
      <c r="AK1226" s="1" t="str">
        <f t="shared" si="810"/>
        <v>PA</v>
      </c>
      <c r="AP1226" s="1" t="str">
        <f t="shared" si="811"/>
        <v>False</v>
      </c>
      <c r="AR1226" s="1" t="str">
        <f t="shared" si="799"/>
        <v>VAIAN</v>
      </c>
      <c r="AY1226" s="1" t="str">
        <f t="shared" si="812"/>
        <v>PF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 t="str">
        <f t="shared" si="795"/>
        <v>TOMAIA GOMMA</v>
      </c>
      <c r="BF1226" s="1" t="str">
        <f t="shared" si="813"/>
        <v>Bonis SpA</v>
      </c>
    </row>
    <row r="1227" spans="2:58" x14ac:dyDescent="0.25">
      <c r="B1227" s="1">
        <v>2470</v>
      </c>
      <c r="C1227" s="1" t="str">
        <f t="shared" si="796"/>
        <v>VAIAN4209S7/G1</v>
      </c>
      <c r="E1227" s="1" t="str">
        <f>"38"</f>
        <v>38</v>
      </c>
      <c r="F1227" s="1" t="str">
        <f t="shared" si="802"/>
        <v>BONIS SPA</v>
      </c>
      <c r="G1227" s="1" t="str">
        <f t="shared" si="792"/>
        <v>STOCK SCAFFALE MP</v>
      </c>
      <c r="H1227" s="1" t="str">
        <f t="shared" si="800"/>
        <v>DKBL</v>
      </c>
      <c r="K1227" s="1">
        <v>6</v>
      </c>
      <c r="L1227" s="1" t="str">
        <f t="shared" si="803"/>
        <v>01</v>
      </c>
      <c r="M1227" s="1" t="str">
        <f t="shared" si="793"/>
        <v>408</v>
      </c>
      <c r="N1227" s="1" t="str">
        <f t="shared" si="801"/>
        <v>005</v>
      </c>
      <c r="O1227" s="1" t="str">
        <f t="shared" si="804"/>
        <v>00</v>
      </c>
      <c r="P1227" s="1" t="str">
        <f t="shared" si="805"/>
        <v>S</v>
      </c>
      <c r="Q1227" s="1" t="str">
        <f t="shared" si="806"/>
        <v>P</v>
      </c>
      <c r="R1227" s="1" t="str">
        <f t="shared" si="807"/>
        <v>01</v>
      </c>
      <c r="S1227" s="1" t="str">
        <f t="shared" si="794"/>
        <v>04</v>
      </c>
      <c r="T1227" s="1" t="str">
        <f t="shared" si="808"/>
        <v>False</v>
      </c>
      <c r="U1227" s="1" t="str">
        <f t="shared" si="809"/>
        <v>True</v>
      </c>
      <c r="V1227" s="1" t="str">
        <f>"U0034839"</f>
        <v>U0034839</v>
      </c>
      <c r="W1227" s="1">
        <v>1</v>
      </c>
      <c r="Y1227" s="1">
        <v>0</v>
      </c>
      <c r="Z1227" s="1">
        <v>0</v>
      </c>
      <c r="AI1227" s="1" t="str">
        <f t="shared" si="797"/>
        <v>F10</v>
      </c>
      <c r="AJ1227" s="1" t="str">
        <f t="shared" si="798"/>
        <v>UNISEX</v>
      </c>
      <c r="AK1227" s="1" t="str">
        <f t="shared" si="810"/>
        <v>PA</v>
      </c>
      <c r="AP1227" s="1" t="str">
        <f t="shared" si="811"/>
        <v>False</v>
      </c>
      <c r="AR1227" s="1" t="str">
        <f t="shared" si="799"/>
        <v>VAIAN</v>
      </c>
      <c r="AY1227" s="1" t="str">
        <f t="shared" si="812"/>
        <v>PF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 t="str">
        <f t="shared" si="795"/>
        <v>TOMAIA GOMMA</v>
      </c>
      <c r="BF1227" s="1" t="str">
        <f t="shared" si="813"/>
        <v>Bonis SpA</v>
      </c>
    </row>
    <row r="1228" spans="2:58" x14ac:dyDescent="0.25">
      <c r="B1228" s="1">
        <v>2470</v>
      </c>
      <c r="C1228" s="1" t="str">
        <f t="shared" si="796"/>
        <v>VAIAN4209S7/G1</v>
      </c>
      <c r="E1228" s="1" t="str">
        <f>"45"</f>
        <v>45</v>
      </c>
      <c r="F1228" s="1" t="str">
        <f t="shared" si="802"/>
        <v>BONIS SPA</v>
      </c>
      <c r="G1228" s="1" t="str">
        <f t="shared" si="792"/>
        <v>STOCK SCAFFALE MP</v>
      </c>
      <c r="H1228" s="1" t="str">
        <f t="shared" si="800"/>
        <v>DKBL</v>
      </c>
      <c r="K1228" s="1">
        <v>5</v>
      </c>
      <c r="L1228" s="1" t="str">
        <f t="shared" si="803"/>
        <v>01</v>
      </c>
      <c r="M1228" s="1" t="str">
        <f t="shared" si="793"/>
        <v>408</v>
      </c>
      <c r="N1228" s="1" t="str">
        <f t="shared" si="801"/>
        <v>005</v>
      </c>
      <c r="O1228" s="1" t="str">
        <f t="shared" si="804"/>
        <v>00</v>
      </c>
      <c r="P1228" s="1" t="str">
        <f t="shared" si="805"/>
        <v>S</v>
      </c>
      <c r="Q1228" s="1" t="str">
        <f t="shared" si="806"/>
        <v>P</v>
      </c>
      <c r="R1228" s="1" t="str">
        <f t="shared" si="807"/>
        <v>01</v>
      </c>
      <c r="S1228" s="1" t="str">
        <f t="shared" si="794"/>
        <v>04</v>
      </c>
      <c r="T1228" s="1" t="str">
        <f t="shared" si="808"/>
        <v>False</v>
      </c>
      <c r="U1228" s="1" t="str">
        <f t="shared" si="809"/>
        <v>True</v>
      </c>
      <c r="V1228" s="1" t="str">
        <f>"U0034838"</f>
        <v>U0034838</v>
      </c>
      <c r="W1228" s="1">
        <v>1</v>
      </c>
      <c r="Y1228" s="1">
        <v>0</v>
      </c>
      <c r="Z1228" s="1">
        <v>0</v>
      </c>
      <c r="AI1228" s="1" t="str">
        <f t="shared" si="797"/>
        <v>F10</v>
      </c>
      <c r="AJ1228" s="1" t="str">
        <f t="shared" si="798"/>
        <v>UNISEX</v>
      </c>
      <c r="AK1228" s="1" t="str">
        <f t="shared" si="810"/>
        <v>PA</v>
      </c>
      <c r="AP1228" s="1" t="str">
        <f t="shared" si="811"/>
        <v>False</v>
      </c>
      <c r="AR1228" s="1" t="str">
        <f t="shared" si="799"/>
        <v>VAIAN</v>
      </c>
      <c r="AY1228" s="1" t="str">
        <f t="shared" si="812"/>
        <v>PF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 t="str">
        <f t="shared" si="795"/>
        <v>TOMAIA GOMMA</v>
      </c>
      <c r="BF1228" s="1" t="str">
        <f t="shared" si="813"/>
        <v>Bonis SpA</v>
      </c>
    </row>
    <row r="1229" spans="2:58" x14ac:dyDescent="0.25">
      <c r="B1229" s="1">
        <v>2470</v>
      </c>
      <c r="C1229" s="1" t="str">
        <f t="shared" si="796"/>
        <v>VAIAN4209S7/G1</v>
      </c>
      <c r="E1229" s="1" t="str">
        <f>"44"</f>
        <v>44</v>
      </c>
      <c r="F1229" s="1" t="str">
        <f t="shared" si="802"/>
        <v>BONIS SPA</v>
      </c>
      <c r="G1229" s="1" t="str">
        <f t="shared" si="792"/>
        <v>STOCK SCAFFALE MP</v>
      </c>
      <c r="H1229" s="1" t="str">
        <f t="shared" si="800"/>
        <v>DKBL</v>
      </c>
      <c r="K1229" s="1">
        <v>8</v>
      </c>
      <c r="L1229" s="1" t="str">
        <f t="shared" si="803"/>
        <v>01</v>
      </c>
      <c r="M1229" s="1" t="str">
        <f t="shared" si="793"/>
        <v>408</v>
      </c>
      <c r="N1229" s="1" t="str">
        <f t="shared" si="801"/>
        <v>005</v>
      </c>
      <c r="O1229" s="1" t="str">
        <f t="shared" si="804"/>
        <v>00</v>
      </c>
      <c r="P1229" s="1" t="str">
        <f t="shared" si="805"/>
        <v>S</v>
      </c>
      <c r="Q1229" s="1" t="str">
        <f t="shared" si="806"/>
        <v>P</v>
      </c>
      <c r="R1229" s="1" t="str">
        <f t="shared" si="807"/>
        <v>01</v>
      </c>
      <c r="S1229" s="1" t="str">
        <f t="shared" si="794"/>
        <v>04</v>
      </c>
      <c r="T1229" s="1" t="str">
        <f t="shared" si="808"/>
        <v>False</v>
      </c>
      <c r="U1229" s="1" t="str">
        <f t="shared" si="809"/>
        <v>True</v>
      </c>
      <c r="V1229" s="1" t="str">
        <f>"U0034838"</f>
        <v>U0034838</v>
      </c>
      <c r="W1229" s="1">
        <v>1</v>
      </c>
      <c r="Y1229" s="1">
        <v>0</v>
      </c>
      <c r="Z1229" s="1">
        <v>0</v>
      </c>
      <c r="AI1229" s="1" t="str">
        <f t="shared" si="797"/>
        <v>F10</v>
      </c>
      <c r="AJ1229" s="1" t="str">
        <f t="shared" si="798"/>
        <v>UNISEX</v>
      </c>
      <c r="AK1229" s="1" t="str">
        <f t="shared" si="810"/>
        <v>PA</v>
      </c>
      <c r="AP1229" s="1" t="str">
        <f t="shared" si="811"/>
        <v>False</v>
      </c>
      <c r="AR1229" s="1" t="str">
        <f t="shared" si="799"/>
        <v>VAIAN</v>
      </c>
      <c r="AY1229" s="1" t="str">
        <f t="shared" si="812"/>
        <v>PF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 t="str">
        <f t="shared" si="795"/>
        <v>TOMAIA GOMMA</v>
      </c>
      <c r="BF1229" s="1" t="str">
        <f t="shared" si="813"/>
        <v>Bonis SpA</v>
      </c>
    </row>
    <row r="1230" spans="2:58" x14ac:dyDescent="0.25">
      <c r="B1230" s="1">
        <v>2470</v>
      </c>
      <c r="C1230" s="1" t="str">
        <f t="shared" si="796"/>
        <v>VAIAN4209S7/G1</v>
      </c>
      <c r="E1230" s="1" t="str">
        <f>"43"</f>
        <v>43</v>
      </c>
      <c r="F1230" s="1" t="str">
        <f t="shared" si="802"/>
        <v>BONIS SPA</v>
      </c>
      <c r="G1230" s="1" t="str">
        <f t="shared" si="792"/>
        <v>STOCK SCAFFALE MP</v>
      </c>
      <c r="H1230" s="1" t="str">
        <f t="shared" si="800"/>
        <v>DKBL</v>
      </c>
      <c r="K1230" s="1">
        <v>13</v>
      </c>
      <c r="L1230" s="1" t="str">
        <f t="shared" si="803"/>
        <v>01</v>
      </c>
      <c r="M1230" s="1" t="str">
        <f t="shared" si="793"/>
        <v>408</v>
      </c>
      <c r="N1230" s="1" t="str">
        <f t="shared" si="801"/>
        <v>005</v>
      </c>
      <c r="O1230" s="1" t="str">
        <f t="shared" si="804"/>
        <v>00</v>
      </c>
      <c r="P1230" s="1" t="str">
        <f t="shared" si="805"/>
        <v>S</v>
      </c>
      <c r="Q1230" s="1" t="str">
        <f t="shared" si="806"/>
        <v>P</v>
      </c>
      <c r="R1230" s="1" t="str">
        <f t="shared" si="807"/>
        <v>01</v>
      </c>
      <c r="S1230" s="1" t="str">
        <f t="shared" si="794"/>
        <v>04</v>
      </c>
      <c r="T1230" s="1" t="str">
        <f t="shared" si="808"/>
        <v>False</v>
      </c>
      <c r="U1230" s="1" t="str">
        <f t="shared" si="809"/>
        <v>True</v>
      </c>
      <c r="V1230" s="1" t="str">
        <f>"U0034838"</f>
        <v>U0034838</v>
      </c>
      <c r="W1230" s="1">
        <v>1</v>
      </c>
      <c r="Y1230" s="1">
        <v>0</v>
      </c>
      <c r="Z1230" s="1">
        <v>0</v>
      </c>
      <c r="AI1230" s="1" t="str">
        <f t="shared" si="797"/>
        <v>F10</v>
      </c>
      <c r="AJ1230" s="1" t="str">
        <f t="shared" si="798"/>
        <v>UNISEX</v>
      </c>
      <c r="AK1230" s="1" t="str">
        <f t="shared" si="810"/>
        <v>PA</v>
      </c>
      <c r="AP1230" s="1" t="str">
        <f t="shared" si="811"/>
        <v>False</v>
      </c>
      <c r="AR1230" s="1" t="str">
        <f t="shared" si="799"/>
        <v>VAIAN</v>
      </c>
      <c r="AY1230" s="1" t="str">
        <f t="shared" si="812"/>
        <v>PF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 t="str">
        <f t="shared" si="795"/>
        <v>TOMAIA GOMMA</v>
      </c>
      <c r="BF1230" s="1" t="str">
        <f t="shared" si="813"/>
        <v>Bonis SpA</v>
      </c>
    </row>
    <row r="1231" spans="2:58" x14ac:dyDescent="0.25">
      <c r="B1231" s="1">
        <v>2470</v>
      </c>
      <c r="C1231" s="1" t="str">
        <f t="shared" si="796"/>
        <v>VAIAN4209S7/G1</v>
      </c>
      <c r="E1231" s="1" t="str">
        <f>"38"</f>
        <v>38</v>
      </c>
      <c r="F1231" s="1" t="str">
        <f t="shared" si="802"/>
        <v>BONIS SPA</v>
      </c>
      <c r="G1231" s="1" t="str">
        <f t="shared" si="792"/>
        <v>STOCK SCAFFALE MP</v>
      </c>
      <c r="H1231" s="1" t="str">
        <f t="shared" si="800"/>
        <v>DKBL</v>
      </c>
      <c r="K1231" s="1">
        <v>5</v>
      </c>
      <c r="L1231" s="1" t="str">
        <f t="shared" si="803"/>
        <v>01</v>
      </c>
      <c r="M1231" s="1" t="str">
        <f t="shared" si="793"/>
        <v>408</v>
      </c>
      <c r="N1231" s="1" t="str">
        <f t="shared" si="801"/>
        <v>005</v>
      </c>
      <c r="O1231" s="1" t="str">
        <f t="shared" si="804"/>
        <v>00</v>
      </c>
      <c r="P1231" s="1" t="str">
        <f t="shared" si="805"/>
        <v>S</v>
      </c>
      <c r="Q1231" s="1" t="str">
        <f t="shared" si="806"/>
        <v>P</v>
      </c>
      <c r="R1231" s="1" t="str">
        <f t="shared" si="807"/>
        <v>01</v>
      </c>
      <c r="S1231" s="1" t="str">
        <f t="shared" si="794"/>
        <v>04</v>
      </c>
      <c r="T1231" s="1" t="str">
        <f t="shared" si="808"/>
        <v>False</v>
      </c>
      <c r="U1231" s="1" t="str">
        <f t="shared" si="809"/>
        <v>True</v>
      </c>
      <c r="V1231" s="1" t="str">
        <f t="shared" ref="V1231:V1236" si="814">"U0034840"</f>
        <v>U0034840</v>
      </c>
      <c r="W1231" s="1">
        <v>1</v>
      </c>
      <c r="Y1231" s="1">
        <v>0</v>
      </c>
      <c r="Z1231" s="1">
        <v>0</v>
      </c>
      <c r="AI1231" s="1" t="str">
        <f t="shared" si="797"/>
        <v>F10</v>
      </c>
      <c r="AJ1231" s="1" t="str">
        <f t="shared" si="798"/>
        <v>UNISEX</v>
      </c>
      <c r="AK1231" s="1" t="str">
        <f t="shared" si="810"/>
        <v>PA</v>
      </c>
      <c r="AP1231" s="1" t="str">
        <f t="shared" si="811"/>
        <v>False</v>
      </c>
      <c r="AR1231" s="1" t="str">
        <f t="shared" si="799"/>
        <v>VAIAN</v>
      </c>
      <c r="AY1231" s="1" t="str">
        <f t="shared" si="812"/>
        <v>PF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 t="str">
        <f t="shared" si="795"/>
        <v>TOMAIA GOMMA</v>
      </c>
      <c r="BF1231" s="1" t="str">
        <f t="shared" si="813"/>
        <v>Bonis SpA</v>
      </c>
    </row>
    <row r="1232" spans="2:58" x14ac:dyDescent="0.25">
      <c r="B1232" s="1">
        <v>2470</v>
      </c>
      <c r="C1232" s="1" t="str">
        <f t="shared" si="796"/>
        <v>VAIAN4209S7/G1</v>
      </c>
      <c r="E1232" s="1" t="str">
        <f>"39"</f>
        <v>39</v>
      </c>
      <c r="F1232" s="1" t="str">
        <f t="shared" si="802"/>
        <v>BONIS SPA</v>
      </c>
      <c r="G1232" s="1" t="str">
        <f t="shared" si="792"/>
        <v>STOCK SCAFFALE MP</v>
      </c>
      <c r="H1232" s="1" t="str">
        <f t="shared" si="800"/>
        <v>DKBL</v>
      </c>
      <c r="K1232" s="1">
        <v>1</v>
      </c>
      <c r="L1232" s="1" t="str">
        <f t="shared" si="803"/>
        <v>01</v>
      </c>
      <c r="M1232" s="1" t="str">
        <f t="shared" si="793"/>
        <v>408</v>
      </c>
      <c r="N1232" s="1" t="str">
        <f t="shared" si="801"/>
        <v>005</v>
      </c>
      <c r="O1232" s="1" t="str">
        <f t="shared" si="804"/>
        <v>00</v>
      </c>
      <c r="P1232" s="1" t="str">
        <f t="shared" si="805"/>
        <v>S</v>
      </c>
      <c r="Q1232" s="1" t="str">
        <f t="shared" si="806"/>
        <v>P</v>
      </c>
      <c r="R1232" s="1" t="str">
        <f t="shared" si="807"/>
        <v>01</v>
      </c>
      <c r="S1232" s="1" t="str">
        <f t="shared" si="794"/>
        <v>04</v>
      </c>
      <c r="T1232" s="1" t="str">
        <f t="shared" si="808"/>
        <v>False</v>
      </c>
      <c r="U1232" s="1" t="str">
        <f t="shared" si="809"/>
        <v>True</v>
      </c>
      <c r="V1232" s="1" t="str">
        <f t="shared" si="814"/>
        <v>U0034840</v>
      </c>
      <c r="W1232" s="1">
        <v>1</v>
      </c>
      <c r="Y1232" s="1">
        <v>0</v>
      </c>
      <c r="Z1232" s="1">
        <v>0</v>
      </c>
      <c r="AI1232" s="1" t="str">
        <f t="shared" si="797"/>
        <v>F10</v>
      </c>
      <c r="AJ1232" s="1" t="str">
        <f t="shared" si="798"/>
        <v>UNISEX</v>
      </c>
      <c r="AK1232" s="1" t="str">
        <f t="shared" si="810"/>
        <v>PA</v>
      </c>
      <c r="AP1232" s="1" t="str">
        <f t="shared" si="811"/>
        <v>False</v>
      </c>
      <c r="AR1232" s="1" t="str">
        <f t="shared" si="799"/>
        <v>VAIAN</v>
      </c>
      <c r="AY1232" s="1" t="str">
        <f t="shared" si="812"/>
        <v>PF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 t="str">
        <f t="shared" si="795"/>
        <v>TOMAIA GOMMA</v>
      </c>
      <c r="BF1232" s="1" t="str">
        <f t="shared" si="813"/>
        <v>Bonis SpA</v>
      </c>
    </row>
    <row r="1233" spans="2:58" x14ac:dyDescent="0.25">
      <c r="B1233" s="1">
        <v>2470</v>
      </c>
      <c r="C1233" s="1" t="str">
        <f t="shared" si="796"/>
        <v>VAIAN4209S7/G1</v>
      </c>
      <c r="E1233" s="1" t="str">
        <f>"37"</f>
        <v>37</v>
      </c>
      <c r="F1233" s="1" t="str">
        <f t="shared" si="802"/>
        <v>BONIS SPA</v>
      </c>
      <c r="G1233" s="1" t="str">
        <f t="shared" si="792"/>
        <v>STOCK SCAFFALE MP</v>
      </c>
      <c r="H1233" s="1" t="str">
        <f t="shared" si="800"/>
        <v>DKBL</v>
      </c>
      <c r="K1233" s="1">
        <v>9</v>
      </c>
      <c r="L1233" s="1" t="str">
        <f t="shared" si="803"/>
        <v>01</v>
      </c>
      <c r="M1233" s="1" t="str">
        <f t="shared" si="793"/>
        <v>408</v>
      </c>
      <c r="N1233" s="1" t="str">
        <f t="shared" si="801"/>
        <v>005</v>
      </c>
      <c r="O1233" s="1" t="str">
        <f t="shared" si="804"/>
        <v>00</v>
      </c>
      <c r="P1233" s="1" t="str">
        <f t="shared" si="805"/>
        <v>S</v>
      </c>
      <c r="Q1233" s="1" t="str">
        <f t="shared" si="806"/>
        <v>P</v>
      </c>
      <c r="R1233" s="1" t="str">
        <f t="shared" si="807"/>
        <v>01</v>
      </c>
      <c r="S1233" s="1" t="str">
        <f t="shared" si="794"/>
        <v>04</v>
      </c>
      <c r="T1233" s="1" t="str">
        <f t="shared" si="808"/>
        <v>False</v>
      </c>
      <c r="U1233" s="1" t="str">
        <f t="shared" si="809"/>
        <v>True</v>
      </c>
      <c r="V1233" s="1" t="str">
        <f t="shared" si="814"/>
        <v>U0034840</v>
      </c>
      <c r="W1233" s="1">
        <v>1</v>
      </c>
      <c r="Y1233" s="1">
        <v>0</v>
      </c>
      <c r="Z1233" s="1">
        <v>0</v>
      </c>
      <c r="AI1233" s="1" t="str">
        <f t="shared" si="797"/>
        <v>F10</v>
      </c>
      <c r="AJ1233" s="1" t="str">
        <f t="shared" si="798"/>
        <v>UNISEX</v>
      </c>
      <c r="AK1233" s="1" t="str">
        <f t="shared" si="810"/>
        <v>PA</v>
      </c>
      <c r="AP1233" s="1" t="str">
        <f t="shared" si="811"/>
        <v>False</v>
      </c>
      <c r="AR1233" s="1" t="str">
        <f t="shared" si="799"/>
        <v>VAIAN</v>
      </c>
      <c r="AY1233" s="1" t="str">
        <f t="shared" si="812"/>
        <v>PF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 t="str">
        <f t="shared" si="795"/>
        <v>TOMAIA GOMMA</v>
      </c>
      <c r="BF1233" s="1" t="str">
        <f t="shared" si="813"/>
        <v>Bonis SpA</v>
      </c>
    </row>
    <row r="1234" spans="2:58" x14ac:dyDescent="0.25">
      <c r="B1234" s="1">
        <v>2470</v>
      </c>
      <c r="C1234" s="1" t="str">
        <f t="shared" si="796"/>
        <v>VAIAN4209S7/G1</v>
      </c>
      <c r="E1234" s="1" t="str">
        <f>"37"</f>
        <v>37</v>
      </c>
      <c r="F1234" s="1" t="str">
        <f t="shared" si="802"/>
        <v>BONIS SPA</v>
      </c>
      <c r="G1234" s="1" t="str">
        <f t="shared" si="792"/>
        <v>STOCK SCAFFALE MP</v>
      </c>
      <c r="H1234" s="1" t="str">
        <f>"WHI"</f>
        <v>WHI</v>
      </c>
      <c r="K1234" s="1">
        <v>1</v>
      </c>
      <c r="L1234" s="1" t="str">
        <f t="shared" si="803"/>
        <v>01</v>
      </c>
      <c r="M1234" s="1" t="str">
        <f t="shared" si="793"/>
        <v>408</v>
      </c>
      <c r="N1234" s="1" t="str">
        <f t="shared" si="801"/>
        <v>005</v>
      </c>
      <c r="O1234" s="1" t="str">
        <f t="shared" si="804"/>
        <v>00</v>
      </c>
      <c r="P1234" s="1" t="str">
        <f t="shared" si="805"/>
        <v>S</v>
      </c>
      <c r="Q1234" s="1" t="str">
        <f t="shared" si="806"/>
        <v>P</v>
      </c>
      <c r="R1234" s="1" t="str">
        <f t="shared" si="807"/>
        <v>01</v>
      </c>
      <c r="S1234" s="1" t="str">
        <f t="shared" si="794"/>
        <v>04</v>
      </c>
      <c r="T1234" s="1" t="str">
        <f t="shared" si="808"/>
        <v>False</v>
      </c>
      <c r="U1234" s="1" t="str">
        <f t="shared" si="809"/>
        <v>True</v>
      </c>
      <c r="V1234" s="1" t="str">
        <f t="shared" si="814"/>
        <v>U0034840</v>
      </c>
      <c r="W1234" s="1">
        <v>1</v>
      </c>
      <c r="Y1234" s="1">
        <v>0</v>
      </c>
      <c r="Z1234" s="1">
        <v>0</v>
      </c>
      <c r="AI1234" s="1" t="str">
        <f t="shared" si="797"/>
        <v>F10</v>
      </c>
      <c r="AJ1234" s="1" t="str">
        <f t="shared" si="798"/>
        <v>UNISEX</v>
      </c>
      <c r="AK1234" s="1" t="str">
        <f t="shared" si="810"/>
        <v>PA</v>
      </c>
      <c r="AP1234" s="1" t="str">
        <f t="shared" si="811"/>
        <v>False</v>
      </c>
      <c r="AR1234" s="1" t="str">
        <f t="shared" si="799"/>
        <v>VAIAN</v>
      </c>
      <c r="AY1234" s="1" t="str">
        <f t="shared" si="812"/>
        <v>PF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 t="str">
        <f t="shared" si="795"/>
        <v>TOMAIA GOMMA</v>
      </c>
      <c r="BF1234" s="1" t="str">
        <f t="shared" si="813"/>
        <v>Bonis SpA</v>
      </c>
    </row>
    <row r="1235" spans="2:58" x14ac:dyDescent="0.25">
      <c r="B1235" s="1">
        <v>2470</v>
      </c>
      <c r="C1235" s="1" t="str">
        <f t="shared" si="796"/>
        <v>VAIAN4209S7/G1</v>
      </c>
      <c r="E1235" s="1" t="str">
        <f>"36"</f>
        <v>36</v>
      </c>
      <c r="F1235" s="1" t="str">
        <f t="shared" si="802"/>
        <v>BONIS SPA</v>
      </c>
      <c r="G1235" s="1" t="str">
        <f t="shared" si="792"/>
        <v>STOCK SCAFFALE MP</v>
      </c>
      <c r="H1235" s="1" t="str">
        <f t="shared" ref="H1235:H1257" si="815">"DKBL"</f>
        <v>DKBL</v>
      </c>
      <c r="K1235" s="1">
        <v>2</v>
      </c>
      <c r="L1235" s="1" t="str">
        <f t="shared" si="803"/>
        <v>01</v>
      </c>
      <c r="M1235" s="1" t="str">
        <f t="shared" si="793"/>
        <v>408</v>
      </c>
      <c r="N1235" s="1" t="str">
        <f t="shared" si="801"/>
        <v>005</v>
      </c>
      <c r="O1235" s="1" t="str">
        <f t="shared" si="804"/>
        <v>00</v>
      </c>
      <c r="P1235" s="1" t="str">
        <f t="shared" si="805"/>
        <v>S</v>
      </c>
      <c r="Q1235" s="1" t="str">
        <f t="shared" si="806"/>
        <v>P</v>
      </c>
      <c r="R1235" s="1" t="str">
        <f t="shared" si="807"/>
        <v>01</v>
      </c>
      <c r="S1235" s="1" t="str">
        <f t="shared" si="794"/>
        <v>04</v>
      </c>
      <c r="T1235" s="1" t="str">
        <f t="shared" si="808"/>
        <v>False</v>
      </c>
      <c r="U1235" s="1" t="str">
        <f t="shared" si="809"/>
        <v>True</v>
      </c>
      <c r="V1235" s="1" t="str">
        <f t="shared" si="814"/>
        <v>U0034840</v>
      </c>
      <c r="W1235" s="1">
        <v>1</v>
      </c>
      <c r="Y1235" s="1">
        <v>0</v>
      </c>
      <c r="Z1235" s="1">
        <v>0</v>
      </c>
      <c r="AI1235" s="1" t="str">
        <f t="shared" si="797"/>
        <v>F10</v>
      </c>
      <c r="AJ1235" s="1" t="str">
        <f t="shared" si="798"/>
        <v>UNISEX</v>
      </c>
      <c r="AK1235" s="1" t="str">
        <f t="shared" si="810"/>
        <v>PA</v>
      </c>
      <c r="AP1235" s="1" t="str">
        <f t="shared" si="811"/>
        <v>False</v>
      </c>
      <c r="AR1235" s="1" t="str">
        <f t="shared" si="799"/>
        <v>VAIAN</v>
      </c>
      <c r="AY1235" s="1" t="str">
        <f t="shared" si="812"/>
        <v>PF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 t="str">
        <f t="shared" ref="BE1235:BE1266" si="816">"TOMAIA GOMMA"</f>
        <v>TOMAIA GOMMA</v>
      </c>
      <c r="BF1235" s="1" t="str">
        <f t="shared" si="813"/>
        <v>Bonis SpA</v>
      </c>
    </row>
    <row r="1236" spans="2:58" x14ac:dyDescent="0.25">
      <c r="B1236" s="1">
        <v>2470</v>
      </c>
      <c r="C1236" s="1" t="str">
        <f t="shared" si="796"/>
        <v>VAIAN4209S7/G1</v>
      </c>
      <c r="E1236" s="1" t="str">
        <f>"40"</f>
        <v>40</v>
      </c>
      <c r="F1236" s="1" t="str">
        <f t="shared" si="802"/>
        <v>BONIS SPA</v>
      </c>
      <c r="G1236" s="1" t="str">
        <f t="shared" si="792"/>
        <v>STOCK SCAFFALE MP</v>
      </c>
      <c r="H1236" s="1" t="str">
        <f t="shared" si="815"/>
        <v>DKBL</v>
      </c>
      <c r="K1236" s="1">
        <v>7</v>
      </c>
      <c r="L1236" s="1" t="str">
        <f t="shared" si="803"/>
        <v>01</v>
      </c>
      <c r="M1236" s="1" t="str">
        <f t="shared" si="793"/>
        <v>408</v>
      </c>
      <c r="N1236" s="1" t="str">
        <f t="shared" si="801"/>
        <v>005</v>
      </c>
      <c r="O1236" s="1" t="str">
        <f t="shared" si="804"/>
        <v>00</v>
      </c>
      <c r="P1236" s="1" t="str">
        <f t="shared" si="805"/>
        <v>S</v>
      </c>
      <c r="Q1236" s="1" t="str">
        <f t="shared" si="806"/>
        <v>P</v>
      </c>
      <c r="R1236" s="1" t="str">
        <f t="shared" si="807"/>
        <v>01</v>
      </c>
      <c r="S1236" s="1" t="str">
        <f t="shared" si="794"/>
        <v>04</v>
      </c>
      <c r="T1236" s="1" t="str">
        <f t="shared" si="808"/>
        <v>False</v>
      </c>
      <c r="U1236" s="1" t="str">
        <f t="shared" si="809"/>
        <v>True</v>
      </c>
      <c r="V1236" s="1" t="str">
        <f t="shared" si="814"/>
        <v>U0034840</v>
      </c>
      <c r="W1236" s="1">
        <v>1</v>
      </c>
      <c r="Y1236" s="1">
        <v>0</v>
      </c>
      <c r="Z1236" s="1">
        <v>0</v>
      </c>
      <c r="AI1236" s="1" t="str">
        <f t="shared" si="797"/>
        <v>F10</v>
      </c>
      <c r="AJ1236" s="1" t="str">
        <f t="shared" si="798"/>
        <v>UNISEX</v>
      </c>
      <c r="AK1236" s="1" t="str">
        <f t="shared" si="810"/>
        <v>PA</v>
      </c>
      <c r="AP1236" s="1" t="str">
        <f t="shared" si="811"/>
        <v>False</v>
      </c>
      <c r="AR1236" s="1" t="str">
        <f t="shared" si="799"/>
        <v>VAIAN</v>
      </c>
      <c r="AY1236" s="1" t="str">
        <f t="shared" si="812"/>
        <v>PF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 t="str">
        <f t="shared" si="816"/>
        <v>TOMAIA GOMMA</v>
      </c>
      <c r="BF1236" s="1" t="str">
        <f t="shared" si="813"/>
        <v>Bonis SpA</v>
      </c>
    </row>
    <row r="1237" spans="2:58" x14ac:dyDescent="0.25">
      <c r="B1237" s="1">
        <v>2470</v>
      </c>
      <c r="C1237" s="1" t="str">
        <f t="shared" si="796"/>
        <v>VAIAN4209S7/G1</v>
      </c>
      <c r="E1237" s="1" t="str">
        <f>"44"</f>
        <v>44</v>
      </c>
      <c r="F1237" s="1" t="str">
        <f t="shared" si="802"/>
        <v>BONIS SPA</v>
      </c>
      <c r="G1237" s="1" t="str">
        <f t="shared" si="792"/>
        <v>STOCK SCAFFALE MP</v>
      </c>
      <c r="H1237" s="1" t="str">
        <f t="shared" si="815"/>
        <v>DKBL</v>
      </c>
      <c r="K1237" s="1">
        <v>4</v>
      </c>
      <c r="L1237" s="1" t="str">
        <f t="shared" si="803"/>
        <v>01</v>
      </c>
      <c r="M1237" s="1" t="str">
        <f t="shared" si="793"/>
        <v>408</v>
      </c>
      <c r="N1237" s="1" t="str">
        <f t="shared" si="801"/>
        <v>005</v>
      </c>
      <c r="O1237" s="1" t="str">
        <f t="shared" si="804"/>
        <v>00</v>
      </c>
      <c r="P1237" s="1" t="str">
        <f t="shared" si="805"/>
        <v>S</v>
      </c>
      <c r="Q1237" s="1" t="str">
        <f t="shared" si="806"/>
        <v>P</v>
      </c>
      <c r="R1237" s="1" t="str">
        <f t="shared" si="807"/>
        <v>01</v>
      </c>
      <c r="S1237" s="1" t="str">
        <f t="shared" si="794"/>
        <v>04</v>
      </c>
      <c r="T1237" s="1" t="str">
        <f t="shared" si="808"/>
        <v>False</v>
      </c>
      <c r="U1237" s="1" t="str">
        <f t="shared" si="809"/>
        <v>True</v>
      </c>
      <c r="V1237" s="1" t="str">
        <f>"U0034841"</f>
        <v>U0034841</v>
      </c>
      <c r="W1237" s="1">
        <v>1</v>
      </c>
      <c r="Y1237" s="1">
        <v>0</v>
      </c>
      <c r="Z1237" s="1">
        <v>0</v>
      </c>
      <c r="AI1237" s="1" t="str">
        <f t="shared" si="797"/>
        <v>F10</v>
      </c>
      <c r="AJ1237" s="1" t="str">
        <f t="shared" si="798"/>
        <v>UNISEX</v>
      </c>
      <c r="AK1237" s="1" t="str">
        <f t="shared" si="810"/>
        <v>PA</v>
      </c>
      <c r="AP1237" s="1" t="str">
        <f t="shared" si="811"/>
        <v>False</v>
      </c>
      <c r="AR1237" s="1" t="str">
        <f t="shared" si="799"/>
        <v>VAIAN</v>
      </c>
      <c r="AY1237" s="1" t="str">
        <f t="shared" si="812"/>
        <v>PF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 t="str">
        <f t="shared" si="816"/>
        <v>TOMAIA GOMMA</v>
      </c>
      <c r="BF1237" s="1" t="str">
        <f t="shared" si="813"/>
        <v>Bonis SpA</v>
      </c>
    </row>
    <row r="1238" spans="2:58" x14ac:dyDescent="0.25">
      <c r="B1238" s="1">
        <v>2470</v>
      </c>
      <c r="C1238" s="1" t="str">
        <f t="shared" ref="C1238:C1262" si="817">"VAIAN4209S7/G1"</f>
        <v>VAIAN4209S7/G1</v>
      </c>
      <c r="E1238" s="1" t="str">
        <f>"43"</f>
        <v>43</v>
      </c>
      <c r="F1238" s="1" t="str">
        <f t="shared" si="802"/>
        <v>BONIS SPA</v>
      </c>
      <c r="G1238" s="1" t="str">
        <f t="shared" si="792"/>
        <v>STOCK SCAFFALE MP</v>
      </c>
      <c r="H1238" s="1" t="str">
        <f t="shared" si="815"/>
        <v>DKBL</v>
      </c>
      <c r="K1238" s="1">
        <v>17</v>
      </c>
      <c r="L1238" s="1" t="str">
        <f t="shared" si="803"/>
        <v>01</v>
      </c>
      <c r="M1238" s="1" t="str">
        <f t="shared" si="793"/>
        <v>408</v>
      </c>
      <c r="N1238" s="1" t="str">
        <f t="shared" si="801"/>
        <v>005</v>
      </c>
      <c r="O1238" s="1" t="str">
        <f t="shared" si="804"/>
        <v>00</v>
      </c>
      <c r="P1238" s="1" t="str">
        <f t="shared" si="805"/>
        <v>S</v>
      </c>
      <c r="Q1238" s="1" t="str">
        <f t="shared" si="806"/>
        <v>P</v>
      </c>
      <c r="R1238" s="1" t="str">
        <f t="shared" si="807"/>
        <v>01</v>
      </c>
      <c r="S1238" s="1" t="str">
        <f t="shared" si="794"/>
        <v>04</v>
      </c>
      <c r="T1238" s="1" t="str">
        <f t="shared" si="808"/>
        <v>False</v>
      </c>
      <c r="U1238" s="1" t="str">
        <f t="shared" si="809"/>
        <v>True</v>
      </c>
      <c r="V1238" s="1" t="str">
        <f>"U0034841"</f>
        <v>U0034841</v>
      </c>
      <c r="W1238" s="1">
        <v>1</v>
      </c>
      <c r="Y1238" s="1">
        <v>0</v>
      </c>
      <c r="Z1238" s="1">
        <v>0</v>
      </c>
      <c r="AI1238" s="1" t="str">
        <f t="shared" ref="AI1238:AI1269" si="818">"F10"</f>
        <v>F10</v>
      </c>
      <c r="AJ1238" s="1" t="str">
        <f t="shared" ref="AJ1238:AJ1262" si="819">"UNISEX"</f>
        <v>UNISEX</v>
      </c>
      <c r="AK1238" s="1" t="str">
        <f t="shared" si="810"/>
        <v>PA</v>
      </c>
      <c r="AP1238" s="1" t="str">
        <f t="shared" si="811"/>
        <v>False</v>
      </c>
      <c r="AR1238" s="1" t="str">
        <f t="shared" ref="AR1238:AR1262" si="820">"VAIAN"</f>
        <v>VAIAN</v>
      </c>
      <c r="AY1238" s="1" t="str">
        <f t="shared" si="812"/>
        <v>PF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 t="str">
        <f t="shared" si="816"/>
        <v>TOMAIA GOMMA</v>
      </c>
      <c r="BF1238" s="1" t="str">
        <f t="shared" si="813"/>
        <v>Bonis SpA</v>
      </c>
    </row>
    <row r="1239" spans="2:58" x14ac:dyDescent="0.25">
      <c r="B1239" s="1">
        <v>2470</v>
      </c>
      <c r="C1239" s="1" t="str">
        <f t="shared" si="817"/>
        <v>VAIAN4209S7/G1</v>
      </c>
      <c r="E1239" s="1" t="str">
        <f>"42"</f>
        <v>42</v>
      </c>
      <c r="F1239" s="1" t="str">
        <f t="shared" si="802"/>
        <v>BONIS SPA</v>
      </c>
      <c r="G1239" s="1" t="str">
        <f t="shared" si="792"/>
        <v>STOCK SCAFFALE MP</v>
      </c>
      <c r="H1239" s="1" t="str">
        <f t="shared" si="815"/>
        <v>DKBL</v>
      </c>
      <c r="K1239" s="1">
        <v>7</v>
      </c>
      <c r="L1239" s="1" t="str">
        <f t="shared" si="803"/>
        <v>01</v>
      </c>
      <c r="M1239" s="1" t="str">
        <f t="shared" si="793"/>
        <v>408</v>
      </c>
      <c r="N1239" s="1" t="str">
        <f t="shared" si="801"/>
        <v>005</v>
      </c>
      <c r="O1239" s="1" t="str">
        <f t="shared" si="804"/>
        <v>00</v>
      </c>
      <c r="P1239" s="1" t="str">
        <f t="shared" si="805"/>
        <v>S</v>
      </c>
      <c r="Q1239" s="1" t="str">
        <f t="shared" si="806"/>
        <v>P</v>
      </c>
      <c r="R1239" s="1" t="str">
        <f t="shared" si="807"/>
        <v>01</v>
      </c>
      <c r="S1239" s="1" t="str">
        <f t="shared" si="794"/>
        <v>04</v>
      </c>
      <c r="T1239" s="1" t="str">
        <f t="shared" si="808"/>
        <v>False</v>
      </c>
      <c r="U1239" s="1" t="str">
        <f t="shared" si="809"/>
        <v>True</v>
      </c>
      <c r="V1239" s="1" t="str">
        <f>"U0034841"</f>
        <v>U0034841</v>
      </c>
      <c r="W1239" s="1">
        <v>1</v>
      </c>
      <c r="Y1239" s="1">
        <v>0</v>
      </c>
      <c r="Z1239" s="1">
        <v>0</v>
      </c>
      <c r="AI1239" s="1" t="str">
        <f t="shared" si="818"/>
        <v>F10</v>
      </c>
      <c r="AJ1239" s="1" t="str">
        <f t="shared" si="819"/>
        <v>UNISEX</v>
      </c>
      <c r="AK1239" s="1" t="str">
        <f t="shared" si="810"/>
        <v>PA</v>
      </c>
      <c r="AP1239" s="1" t="str">
        <f t="shared" si="811"/>
        <v>False</v>
      </c>
      <c r="AR1239" s="1" t="str">
        <f t="shared" si="820"/>
        <v>VAIAN</v>
      </c>
      <c r="AY1239" s="1" t="str">
        <f t="shared" si="812"/>
        <v>PF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 t="str">
        <f t="shared" si="816"/>
        <v>TOMAIA GOMMA</v>
      </c>
      <c r="BF1239" s="1" t="str">
        <f t="shared" si="813"/>
        <v>Bonis SpA</v>
      </c>
    </row>
    <row r="1240" spans="2:58" x14ac:dyDescent="0.25">
      <c r="B1240" s="1">
        <v>2470</v>
      </c>
      <c r="C1240" s="1" t="str">
        <f t="shared" si="817"/>
        <v>VAIAN4209S7/G1</v>
      </c>
      <c r="E1240" s="1" t="str">
        <f>"37"</f>
        <v>37</v>
      </c>
      <c r="F1240" s="1" t="str">
        <f t="shared" si="802"/>
        <v>BONIS SPA</v>
      </c>
      <c r="G1240" s="1" t="str">
        <f t="shared" si="792"/>
        <v>STOCK SCAFFALE MP</v>
      </c>
      <c r="H1240" s="1" t="str">
        <f t="shared" si="815"/>
        <v>DKBL</v>
      </c>
      <c r="K1240" s="1">
        <v>7</v>
      </c>
      <c r="L1240" s="1" t="str">
        <f t="shared" si="803"/>
        <v>01</v>
      </c>
      <c r="M1240" s="1" t="str">
        <f t="shared" si="793"/>
        <v>408</v>
      </c>
      <c r="N1240" s="1" t="str">
        <f t="shared" si="801"/>
        <v>005</v>
      </c>
      <c r="O1240" s="1" t="str">
        <f t="shared" si="804"/>
        <v>00</v>
      </c>
      <c r="P1240" s="1" t="str">
        <f t="shared" si="805"/>
        <v>S</v>
      </c>
      <c r="Q1240" s="1" t="str">
        <f t="shared" si="806"/>
        <v>P</v>
      </c>
      <c r="R1240" s="1" t="str">
        <f t="shared" si="807"/>
        <v>01</v>
      </c>
      <c r="S1240" s="1" t="str">
        <f t="shared" si="794"/>
        <v>04</v>
      </c>
      <c r="T1240" s="1" t="str">
        <f t="shared" si="808"/>
        <v>False</v>
      </c>
      <c r="U1240" s="1" t="str">
        <f t="shared" si="809"/>
        <v>True</v>
      </c>
      <c r="V1240" s="1" t="str">
        <f t="shared" ref="V1240:V1245" si="821">"U0034842"</f>
        <v>U0034842</v>
      </c>
      <c r="W1240" s="1">
        <v>1</v>
      </c>
      <c r="Y1240" s="1">
        <v>0</v>
      </c>
      <c r="Z1240" s="1">
        <v>0</v>
      </c>
      <c r="AI1240" s="1" t="str">
        <f t="shared" si="818"/>
        <v>F10</v>
      </c>
      <c r="AJ1240" s="1" t="str">
        <f t="shared" si="819"/>
        <v>UNISEX</v>
      </c>
      <c r="AK1240" s="1" t="str">
        <f t="shared" si="810"/>
        <v>PA</v>
      </c>
      <c r="AP1240" s="1" t="str">
        <f t="shared" si="811"/>
        <v>False</v>
      </c>
      <c r="AR1240" s="1" t="str">
        <f t="shared" si="820"/>
        <v>VAIAN</v>
      </c>
      <c r="AY1240" s="1" t="str">
        <f t="shared" si="812"/>
        <v>PF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 t="str">
        <f t="shared" si="816"/>
        <v>TOMAIA GOMMA</v>
      </c>
      <c r="BF1240" s="1" t="str">
        <f t="shared" si="813"/>
        <v>Bonis SpA</v>
      </c>
    </row>
    <row r="1241" spans="2:58" x14ac:dyDescent="0.25">
      <c r="B1241" s="1">
        <v>2470</v>
      </c>
      <c r="C1241" s="1" t="str">
        <f t="shared" si="817"/>
        <v>VAIAN4209S7/G1</v>
      </c>
      <c r="E1241" s="1" t="str">
        <f>"38"</f>
        <v>38</v>
      </c>
      <c r="F1241" s="1" t="str">
        <f t="shared" si="802"/>
        <v>BONIS SPA</v>
      </c>
      <c r="G1241" s="1" t="str">
        <f t="shared" si="792"/>
        <v>STOCK SCAFFALE MP</v>
      </c>
      <c r="H1241" s="1" t="str">
        <f t="shared" si="815"/>
        <v>DKBL</v>
      </c>
      <c r="K1241" s="1">
        <v>11</v>
      </c>
      <c r="L1241" s="1" t="str">
        <f t="shared" si="803"/>
        <v>01</v>
      </c>
      <c r="M1241" s="1" t="str">
        <f t="shared" si="793"/>
        <v>408</v>
      </c>
      <c r="N1241" s="1" t="str">
        <f t="shared" si="801"/>
        <v>005</v>
      </c>
      <c r="O1241" s="1" t="str">
        <f t="shared" si="804"/>
        <v>00</v>
      </c>
      <c r="P1241" s="1" t="str">
        <f t="shared" si="805"/>
        <v>S</v>
      </c>
      <c r="Q1241" s="1" t="str">
        <f t="shared" si="806"/>
        <v>P</v>
      </c>
      <c r="R1241" s="1" t="str">
        <f t="shared" si="807"/>
        <v>01</v>
      </c>
      <c r="S1241" s="1" t="str">
        <f t="shared" si="794"/>
        <v>04</v>
      </c>
      <c r="T1241" s="1" t="str">
        <f t="shared" si="808"/>
        <v>False</v>
      </c>
      <c r="U1241" s="1" t="str">
        <f t="shared" si="809"/>
        <v>True</v>
      </c>
      <c r="V1241" s="1" t="str">
        <f t="shared" si="821"/>
        <v>U0034842</v>
      </c>
      <c r="W1241" s="1">
        <v>1</v>
      </c>
      <c r="Y1241" s="1">
        <v>0</v>
      </c>
      <c r="Z1241" s="1">
        <v>0</v>
      </c>
      <c r="AI1241" s="1" t="str">
        <f t="shared" si="818"/>
        <v>F10</v>
      </c>
      <c r="AJ1241" s="1" t="str">
        <f t="shared" si="819"/>
        <v>UNISEX</v>
      </c>
      <c r="AK1241" s="1" t="str">
        <f t="shared" si="810"/>
        <v>PA</v>
      </c>
      <c r="AP1241" s="1" t="str">
        <f t="shared" si="811"/>
        <v>False</v>
      </c>
      <c r="AR1241" s="1" t="str">
        <f t="shared" si="820"/>
        <v>VAIAN</v>
      </c>
      <c r="AY1241" s="1" t="str">
        <f t="shared" si="812"/>
        <v>PF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 t="str">
        <f t="shared" si="816"/>
        <v>TOMAIA GOMMA</v>
      </c>
      <c r="BF1241" s="1" t="str">
        <f t="shared" si="813"/>
        <v>Bonis SpA</v>
      </c>
    </row>
    <row r="1242" spans="2:58" x14ac:dyDescent="0.25">
      <c r="B1242" s="1">
        <v>2470</v>
      </c>
      <c r="C1242" s="1" t="str">
        <f t="shared" si="817"/>
        <v>VAIAN4209S7/G1</v>
      </c>
      <c r="E1242" s="1" t="str">
        <f>"41"</f>
        <v>41</v>
      </c>
      <c r="F1242" s="1" t="str">
        <f t="shared" si="802"/>
        <v>BONIS SPA</v>
      </c>
      <c r="G1242" s="1" t="str">
        <f t="shared" si="792"/>
        <v>STOCK SCAFFALE MP</v>
      </c>
      <c r="H1242" s="1" t="str">
        <f t="shared" si="815"/>
        <v>DKBL</v>
      </c>
      <c r="K1242" s="1">
        <v>1</v>
      </c>
      <c r="L1242" s="1" t="str">
        <f t="shared" si="803"/>
        <v>01</v>
      </c>
      <c r="M1242" s="1" t="str">
        <f t="shared" si="793"/>
        <v>408</v>
      </c>
      <c r="N1242" s="1" t="str">
        <f t="shared" si="801"/>
        <v>005</v>
      </c>
      <c r="O1242" s="1" t="str">
        <f t="shared" si="804"/>
        <v>00</v>
      </c>
      <c r="P1242" s="1" t="str">
        <f t="shared" si="805"/>
        <v>S</v>
      </c>
      <c r="Q1242" s="1" t="str">
        <f t="shared" si="806"/>
        <v>P</v>
      </c>
      <c r="R1242" s="1" t="str">
        <f t="shared" si="807"/>
        <v>01</v>
      </c>
      <c r="S1242" s="1" t="str">
        <f t="shared" si="794"/>
        <v>04</v>
      </c>
      <c r="T1242" s="1" t="str">
        <f t="shared" si="808"/>
        <v>False</v>
      </c>
      <c r="U1242" s="1" t="str">
        <f t="shared" si="809"/>
        <v>True</v>
      </c>
      <c r="V1242" s="1" t="str">
        <f t="shared" si="821"/>
        <v>U0034842</v>
      </c>
      <c r="W1242" s="1">
        <v>1</v>
      </c>
      <c r="Y1242" s="1">
        <v>0</v>
      </c>
      <c r="Z1242" s="1">
        <v>0</v>
      </c>
      <c r="AI1242" s="1" t="str">
        <f t="shared" si="818"/>
        <v>F10</v>
      </c>
      <c r="AJ1242" s="1" t="str">
        <f t="shared" si="819"/>
        <v>UNISEX</v>
      </c>
      <c r="AK1242" s="1" t="str">
        <f t="shared" si="810"/>
        <v>PA</v>
      </c>
      <c r="AP1242" s="1" t="str">
        <f t="shared" si="811"/>
        <v>False</v>
      </c>
      <c r="AR1242" s="1" t="str">
        <f t="shared" si="820"/>
        <v>VAIAN</v>
      </c>
      <c r="AY1242" s="1" t="str">
        <f t="shared" si="812"/>
        <v>PF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 t="str">
        <f t="shared" si="816"/>
        <v>TOMAIA GOMMA</v>
      </c>
      <c r="BF1242" s="1" t="str">
        <f t="shared" si="813"/>
        <v>Bonis SpA</v>
      </c>
    </row>
    <row r="1243" spans="2:58" x14ac:dyDescent="0.25">
      <c r="B1243" s="1">
        <v>2470</v>
      </c>
      <c r="C1243" s="1" t="str">
        <f t="shared" si="817"/>
        <v>VAIAN4209S7/G1</v>
      </c>
      <c r="E1243" s="1" t="str">
        <f>"39"</f>
        <v>39</v>
      </c>
      <c r="F1243" s="1" t="str">
        <f t="shared" si="802"/>
        <v>BONIS SPA</v>
      </c>
      <c r="G1243" s="1" t="str">
        <f t="shared" si="792"/>
        <v>STOCK SCAFFALE MP</v>
      </c>
      <c r="H1243" s="1" t="str">
        <f t="shared" si="815"/>
        <v>DKBL</v>
      </c>
      <c r="K1243" s="1">
        <v>5</v>
      </c>
      <c r="L1243" s="1" t="str">
        <f t="shared" si="803"/>
        <v>01</v>
      </c>
      <c r="M1243" s="1" t="str">
        <f t="shared" si="793"/>
        <v>408</v>
      </c>
      <c r="N1243" s="1" t="str">
        <f t="shared" si="801"/>
        <v>005</v>
      </c>
      <c r="O1243" s="1" t="str">
        <f t="shared" si="804"/>
        <v>00</v>
      </c>
      <c r="P1243" s="1" t="str">
        <f t="shared" si="805"/>
        <v>S</v>
      </c>
      <c r="Q1243" s="1" t="str">
        <f t="shared" si="806"/>
        <v>P</v>
      </c>
      <c r="R1243" s="1" t="str">
        <f t="shared" si="807"/>
        <v>01</v>
      </c>
      <c r="S1243" s="1" t="str">
        <f t="shared" si="794"/>
        <v>04</v>
      </c>
      <c r="T1243" s="1" t="str">
        <f t="shared" si="808"/>
        <v>False</v>
      </c>
      <c r="U1243" s="1" t="str">
        <f t="shared" si="809"/>
        <v>True</v>
      </c>
      <c r="V1243" s="1" t="str">
        <f t="shared" si="821"/>
        <v>U0034842</v>
      </c>
      <c r="W1243" s="1">
        <v>1</v>
      </c>
      <c r="Y1243" s="1">
        <v>0</v>
      </c>
      <c r="Z1243" s="1">
        <v>0</v>
      </c>
      <c r="AI1243" s="1" t="str">
        <f t="shared" si="818"/>
        <v>F10</v>
      </c>
      <c r="AJ1243" s="1" t="str">
        <f t="shared" si="819"/>
        <v>UNISEX</v>
      </c>
      <c r="AK1243" s="1" t="str">
        <f t="shared" si="810"/>
        <v>PA</v>
      </c>
      <c r="AP1243" s="1" t="str">
        <f t="shared" si="811"/>
        <v>False</v>
      </c>
      <c r="AR1243" s="1" t="str">
        <f t="shared" si="820"/>
        <v>VAIAN</v>
      </c>
      <c r="AY1243" s="1" t="str">
        <f t="shared" si="812"/>
        <v>PF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 t="str">
        <f t="shared" si="816"/>
        <v>TOMAIA GOMMA</v>
      </c>
      <c r="BF1243" s="1" t="str">
        <f t="shared" si="813"/>
        <v>Bonis SpA</v>
      </c>
    </row>
    <row r="1244" spans="2:58" x14ac:dyDescent="0.25">
      <c r="B1244" s="1">
        <v>2470</v>
      </c>
      <c r="C1244" s="1" t="str">
        <f t="shared" si="817"/>
        <v>VAIAN4209S7/G1</v>
      </c>
      <c r="E1244" s="1" t="str">
        <f>"36"</f>
        <v>36</v>
      </c>
      <c r="F1244" s="1" t="str">
        <f t="shared" si="802"/>
        <v>BONIS SPA</v>
      </c>
      <c r="G1244" s="1" t="str">
        <f t="shared" si="792"/>
        <v>STOCK SCAFFALE MP</v>
      </c>
      <c r="H1244" s="1" t="str">
        <f t="shared" si="815"/>
        <v>DKBL</v>
      </c>
      <c r="K1244" s="1">
        <v>2</v>
      </c>
      <c r="L1244" s="1" t="str">
        <f t="shared" si="803"/>
        <v>01</v>
      </c>
      <c r="M1244" s="1" t="str">
        <f t="shared" si="793"/>
        <v>408</v>
      </c>
      <c r="N1244" s="1" t="str">
        <f t="shared" si="801"/>
        <v>005</v>
      </c>
      <c r="O1244" s="1" t="str">
        <f t="shared" si="804"/>
        <v>00</v>
      </c>
      <c r="P1244" s="1" t="str">
        <f t="shared" si="805"/>
        <v>S</v>
      </c>
      <c r="Q1244" s="1" t="str">
        <f t="shared" si="806"/>
        <v>P</v>
      </c>
      <c r="R1244" s="1" t="str">
        <f t="shared" si="807"/>
        <v>01</v>
      </c>
      <c r="S1244" s="1" t="str">
        <f t="shared" si="794"/>
        <v>04</v>
      </c>
      <c r="T1244" s="1" t="str">
        <f t="shared" si="808"/>
        <v>False</v>
      </c>
      <c r="U1244" s="1" t="str">
        <f t="shared" si="809"/>
        <v>True</v>
      </c>
      <c r="V1244" s="1" t="str">
        <f t="shared" si="821"/>
        <v>U0034842</v>
      </c>
      <c r="W1244" s="1">
        <v>1</v>
      </c>
      <c r="Y1244" s="1">
        <v>0</v>
      </c>
      <c r="Z1244" s="1">
        <v>0</v>
      </c>
      <c r="AI1244" s="1" t="str">
        <f t="shared" si="818"/>
        <v>F10</v>
      </c>
      <c r="AJ1244" s="1" t="str">
        <f t="shared" si="819"/>
        <v>UNISEX</v>
      </c>
      <c r="AK1244" s="1" t="str">
        <f t="shared" si="810"/>
        <v>PA</v>
      </c>
      <c r="AP1244" s="1" t="str">
        <f t="shared" si="811"/>
        <v>False</v>
      </c>
      <c r="AR1244" s="1" t="str">
        <f t="shared" si="820"/>
        <v>VAIAN</v>
      </c>
      <c r="AY1244" s="1" t="str">
        <f t="shared" si="812"/>
        <v>PF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 t="str">
        <f t="shared" si="816"/>
        <v>TOMAIA GOMMA</v>
      </c>
      <c r="BF1244" s="1" t="str">
        <f t="shared" si="813"/>
        <v>Bonis SpA</v>
      </c>
    </row>
    <row r="1245" spans="2:58" x14ac:dyDescent="0.25">
      <c r="B1245" s="1">
        <v>2470</v>
      </c>
      <c r="C1245" s="1" t="str">
        <f t="shared" si="817"/>
        <v>VAIAN4209S7/G1</v>
      </c>
      <c r="E1245" s="1" t="str">
        <f>"40"</f>
        <v>40</v>
      </c>
      <c r="F1245" s="1" t="str">
        <f t="shared" si="802"/>
        <v>BONIS SPA</v>
      </c>
      <c r="G1245" s="1" t="str">
        <f t="shared" si="792"/>
        <v>STOCK SCAFFALE MP</v>
      </c>
      <c r="H1245" s="1" t="str">
        <f t="shared" si="815"/>
        <v>DKBL</v>
      </c>
      <c r="K1245" s="1">
        <v>2</v>
      </c>
      <c r="L1245" s="1" t="str">
        <f t="shared" si="803"/>
        <v>01</v>
      </c>
      <c r="M1245" s="1" t="str">
        <f t="shared" si="793"/>
        <v>408</v>
      </c>
      <c r="N1245" s="1" t="str">
        <f t="shared" si="801"/>
        <v>005</v>
      </c>
      <c r="O1245" s="1" t="str">
        <f t="shared" si="804"/>
        <v>00</v>
      </c>
      <c r="P1245" s="1" t="str">
        <f t="shared" si="805"/>
        <v>S</v>
      </c>
      <c r="Q1245" s="1" t="str">
        <f t="shared" si="806"/>
        <v>P</v>
      </c>
      <c r="R1245" s="1" t="str">
        <f t="shared" si="807"/>
        <v>01</v>
      </c>
      <c r="S1245" s="1" t="str">
        <f t="shared" si="794"/>
        <v>04</v>
      </c>
      <c r="T1245" s="1" t="str">
        <f t="shared" si="808"/>
        <v>False</v>
      </c>
      <c r="U1245" s="1" t="str">
        <f t="shared" si="809"/>
        <v>True</v>
      </c>
      <c r="V1245" s="1" t="str">
        <f t="shared" si="821"/>
        <v>U0034842</v>
      </c>
      <c r="W1245" s="1">
        <v>1</v>
      </c>
      <c r="Y1245" s="1">
        <v>0</v>
      </c>
      <c r="Z1245" s="1">
        <v>0</v>
      </c>
      <c r="AI1245" s="1" t="str">
        <f t="shared" si="818"/>
        <v>F10</v>
      </c>
      <c r="AJ1245" s="1" t="str">
        <f t="shared" si="819"/>
        <v>UNISEX</v>
      </c>
      <c r="AK1245" s="1" t="str">
        <f t="shared" si="810"/>
        <v>PA</v>
      </c>
      <c r="AP1245" s="1" t="str">
        <f t="shared" si="811"/>
        <v>False</v>
      </c>
      <c r="AR1245" s="1" t="str">
        <f t="shared" si="820"/>
        <v>VAIAN</v>
      </c>
      <c r="AY1245" s="1" t="str">
        <f t="shared" si="812"/>
        <v>PF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 t="str">
        <f t="shared" si="816"/>
        <v>TOMAIA GOMMA</v>
      </c>
      <c r="BF1245" s="1" t="str">
        <f t="shared" si="813"/>
        <v>Bonis SpA</v>
      </c>
    </row>
    <row r="1246" spans="2:58" x14ac:dyDescent="0.25">
      <c r="B1246" s="1">
        <v>2470</v>
      </c>
      <c r="C1246" s="1" t="str">
        <f t="shared" si="817"/>
        <v>VAIAN4209S7/G1</v>
      </c>
      <c r="E1246" s="1" t="str">
        <f>"38"</f>
        <v>38</v>
      </c>
      <c r="F1246" s="1" t="str">
        <f t="shared" si="802"/>
        <v>BONIS SPA</v>
      </c>
      <c r="G1246" s="1" t="str">
        <f t="shared" si="792"/>
        <v>STOCK SCAFFALE MP</v>
      </c>
      <c r="H1246" s="1" t="str">
        <f t="shared" si="815"/>
        <v>DKBL</v>
      </c>
      <c r="K1246" s="1">
        <v>9</v>
      </c>
      <c r="L1246" s="1" t="str">
        <f t="shared" si="803"/>
        <v>01</v>
      </c>
      <c r="M1246" s="1" t="str">
        <f t="shared" si="793"/>
        <v>408</v>
      </c>
      <c r="N1246" s="1" t="str">
        <f t="shared" si="801"/>
        <v>005</v>
      </c>
      <c r="O1246" s="1" t="str">
        <f t="shared" si="804"/>
        <v>00</v>
      </c>
      <c r="P1246" s="1" t="str">
        <f t="shared" si="805"/>
        <v>S</v>
      </c>
      <c r="Q1246" s="1" t="str">
        <f t="shared" si="806"/>
        <v>P</v>
      </c>
      <c r="R1246" s="1" t="str">
        <f t="shared" si="807"/>
        <v>01</v>
      </c>
      <c r="S1246" s="1" t="str">
        <f t="shared" si="794"/>
        <v>04</v>
      </c>
      <c r="T1246" s="1" t="str">
        <f t="shared" si="808"/>
        <v>False</v>
      </c>
      <c r="U1246" s="1" t="str">
        <f t="shared" si="809"/>
        <v>True</v>
      </c>
      <c r="V1246" s="1" t="str">
        <f t="shared" ref="V1246:V1251" si="822">"U0034843"</f>
        <v>U0034843</v>
      </c>
      <c r="W1246" s="1">
        <v>1</v>
      </c>
      <c r="Y1246" s="1">
        <v>0</v>
      </c>
      <c r="Z1246" s="1">
        <v>0</v>
      </c>
      <c r="AI1246" s="1" t="str">
        <f t="shared" si="818"/>
        <v>F10</v>
      </c>
      <c r="AJ1246" s="1" t="str">
        <f t="shared" si="819"/>
        <v>UNISEX</v>
      </c>
      <c r="AK1246" s="1" t="str">
        <f t="shared" si="810"/>
        <v>PA</v>
      </c>
      <c r="AP1246" s="1" t="str">
        <f t="shared" si="811"/>
        <v>False</v>
      </c>
      <c r="AR1246" s="1" t="str">
        <f t="shared" si="820"/>
        <v>VAIAN</v>
      </c>
      <c r="AY1246" s="1" t="str">
        <f t="shared" si="812"/>
        <v>PF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 t="str">
        <f t="shared" si="816"/>
        <v>TOMAIA GOMMA</v>
      </c>
      <c r="BF1246" s="1" t="str">
        <f t="shared" si="813"/>
        <v>Bonis SpA</v>
      </c>
    </row>
    <row r="1247" spans="2:58" x14ac:dyDescent="0.25">
      <c r="B1247" s="1">
        <v>2470</v>
      </c>
      <c r="C1247" s="1" t="str">
        <f t="shared" si="817"/>
        <v>VAIAN4209S7/G1</v>
      </c>
      <c r="E1247" s="1" t="str">
        <f>"39"</f>
        <v>39</v>
      </c>
      <c r="F1247" s="1" t="str">
        <f t="shared" si="802"/>
        <v>BONIS SPA</v>
      </c>
      <c r="G1247" s="1" t="str">
        <f t="shared" si="792"/>
        <v>STOCK SCAFFALE MP</v>
      </c>
      <c r="H1247" s="1" t="str">
        <f t="shared" si="815"/>
        <v>DKBL</v>
      </c>
      <c r="K1247" s="1">
        <v>7</v>
      </c>
      <c r="L1247" s="1" t="str">
        <f t="shared" si="803"/>
        <v>01</v>
      </c>
      <c r="M1247" s="1" t="str">
        <f t="shared" si="793"/>
        <v>408</v>
      </c>
      <c r="N1247" s="1" t="str">
        <f t="shared" ref="N1247:N1278" si="823">"005"</f>
        <v>005</v>
      </c>
      <c r="O1247" s="1" t="str">
        <f t="shared" si="804"/>
        <v>00</v>
      </c>
      <c r="P1247" s="1" t="str">
        <f t="shared" si="805"/>
        <v>S</v>
      </c>
      <c r="Q1247" s="1" t="str">
        <f t="shared" si="806"/>
        <v>P</v>
      </c>
      <c r="R1247" s="1" t="str">
        <f t="shared" si="807"/>
        <v>01</v>
      </c>
      <c r="S1247" s="1" t="str">
        <f t="shared" si="794"/>
        <v>04</v>
      </c>
      <c r="T1247" s="1" t="str">
        <f t="shared" si="808"/>
        <v>False</v>
      </c>
      <c r="U1247" s="1" t="str">
        <f t="shared" si="809"/>
        <v>True</v>
      </c>
      <c r="V1247" s="1" t="str">
        <f t="shared" si="822"/>
        <v>U0034843</v>
      </c>
      <c r="W1247" s="1">
        <v>1</v>
      </c>
      <c r="Y1247" s="1">
        <v>0</v>
      </c>
      <c r="Z1247" s="1">
        <v>0</v>
      </c>
      <c r="AI1247" s="1" t="str">
        <f t="shared" si="818"/>
        <v>F10</v>
      </c>
      <c r="AJ1247" s="1" t="str">
        <f t="shared" si="819"/>
        <v>UNISEX</v>
      </c>
      <c r="AK1247" s="1" t="str">
        <f t="shared" si="810"/>
        <v>PA</v>
      </c>
      <c r="AP1247" s="1" t="str">
        <f t="shared" si="811"/>
        <v>False</v>
      </c>
      <c r="AR1247" s="1" t="str">
        <f t="shared" si="820"/>
        <v>VAIAN</v>
      </c>
      <c r="AY1247" s="1" t="str">
        <f t="shared" si="812"/>
        <v>PF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 t="str">
        <f t="shared" si="816"/>
        <v>TOMAIA GOMMA</v>
      </c>
      <c r="BF1247" s="1" t="str">
        <f t="shared" si="813"/>
        <v>Bonis SpA</v>
      </c>
    </row>
    <row r="1248" spans="2:58" x14ac:dyDescent="0.25">
      <c r="B1248" s="1">
        <v>2470</v>
      </c>
      <c r="C1248" s="1" t="str">
        <f t="shared" si="817"/>
        <v>VAIAN4209S7/G1</v>
      </c>
      <c r="E1248" s="1" t="str">
        <f>"36"</f>
        <v>36</v>
      </c>
      <c r="F1248" s="1" t="str">
        <f t="shared" si="802"/>
        <v>BONIS SPA</v>
      </c>
      <c r="G1248" s="1" t="str">
        <f t="shared" si="792"/>
        <v>STOCK SCAFFALE MP</v>
      </c>
      <c r="H1248" s="1" t="str">
        <f t="shared" si="815"/>
        <v>DKBL</v>
      </c>
      <c r="K1248" s="1">
        <v>3</v>
      </c>
      <c r="L1248" s="1" t="str">
        <f t="shared" si="803"/>
        <v>01</v>
      </c>
      <c r="M1248" s="1" t="str">
        <f t="shared" si="793"/>
        <v>408</v>
      </c>
      <c r="N1248" s="1" t="str">
        <f t="shared" si="823"/>
        <v>005</v>
      </c>
      <c r="O1248" s="1" t="str">
        <f t="shared" si="804"/>
        <v>00</v>
      </c>
      <c r="P1248" s="1" t="str">
        <f t="shared" si="805"/>
        <v>S</v>
      </c>
      <c r="Q1248" s="1" t="str">
        <f t="shared" si="806"/>
        <v>P</v>
      </c>
      <c r="R1248" s="1" t="str">
        <f t="shared" si="807"/>
        <v>01</v>
      </c>
      <c r="S1248" s="1" t="str">
        <f t="shared" si="794"/>
        <v>04</v>
      </c>
      <c r="T1248" s="1" t="str">
        <f t="shared" si="808"/>
        <v>False</v>
      </c>
      <c r="U1248" s="1" t="str">
        <f t="shared" si="809"/>
        <v>True</v>
      </c>
      <c r="V1248" s="1" t="str">
        <f t="shared" si="822"/>
        <v>U0034843</v>
      </c>
      <c r="W1248" s="1">
        <v>1</v>
      </c>
      <c r="Y1248" s="1">
        <v>0</v>
      </c>
      <c r="Z1248" s="1">
        <v>0</v>
      </c>
      <c r="AI1248" s="1" t="str">
        <f t="shared" si="818"/>
        <v>F10</v>
      </c>
      <c r="AJ1248" s="1" t="str">
        <f t="shared" si="819"/>
        <v>UNISEX</v>
      </c>
      <c r="AK1248" s="1" t="str">
        <f t="shared" si="810"/>
        <v>PA</v>
      </c>
      <c r="AP1248" s="1" t="str">
        <f t="shared" si="811"/>
        <v>False</v>
      </c>
      <c r="AR1248" s="1" t="str">
        <f t="shared" si="820"/>
        <v>VAIAN</v>
      </c>
      <c r="AY1248" s="1" t="str">
        <f t="shared" si="812"/>
        <v>PF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 t="str">
        <f t="shared" si="816"/>
        <v>TOMAIA GOMMA</v>
      </c>
      <c r="BF1248" s="1" t="str">
        <f t="shared" si="813"/>
        <v>Bonis SpA</v>
      </c>
    </row>
    <row r="1249" spans="2:58" x14ac:dyDescent="0.25">
      <c r="B1249" s="1">
        <v>2470</v>
      </c>
      <c r="C1249" s="1" t="str">
        <f t="shared" si="817"/>
        <v>VAIAN4209S7/G1</v>
      </c>
      <c r="E1249" s="1" t="str">
        <f>"40"</f>
        <v>40</v>
      </c>
      <c r="F1249" s="1" t="str">
        <f t="shared" si="802"/>
        <v>BONIS SPA</v>
      </c>
      <c r="G1249" s="1" t="str">
        <f t="shared" si="792"/>
        <v>STOCK SCAFFALE MP</v>
      </c>
      <c r="H1249" s="1" t="str">
        <f t="shared" si="815"/>
        <v>DKBL</v>
      </c>
      <c r="K1249" s="1">
        <v>6</v>
      </c>
      <c r="L1249" s="1" t="str">
        <f t="shared" si="803"/>
        <v>01</v>
      </c>
      <c r="M1249" s="1" t="str">
        <f t="shared" si="793"/>
        <v>408</v>
      </c>
      <c r="N1249" s="1" t="str">
        <f t="shared" si="823"/>
        <v>005</v>
      </c>
      <c r="O1249" s="1" t="str">
        <f t="shared" si="804"/>
        <v>00</v>
      </c>
      <c r="P1249" s="1" t="str">
        <f t="shared" si="805"/>
        <v>S</v>
      </c>
      <c r="Q1249" s="1" t="str">
        <f t="shared" si="806"/>
        <v>P</v>
      </c>
      <c r="R1249" s="1" t="str">
        <f t="shared" si="807"/>
        <v>01</v>
      </c>
      <c r="S1249" s="1" t="str">
        <f t="shared" si="794"/>
        <v>04</v>
      </c>
      <c r="T1249" s="1" t="str">
        <f t="shared" si="808"/>
        <v>False</v>
      </c>
      <c r="U1249" s="1" t="str">
        <f t="shared" si="809"/>
        <v>True</v>
      </c>
      <c r="V1249" s="1" t="str">
        <f t="shared" si="822"/>
        <v>U0034843</v>
      </c>
      <c r="W1249" s="1">
        <v>1</v>
      </c>
      <c r="Y1249" s="1">
        <v>0</v>
      </c>
      <c r="Z1249" s="1">
        <v>0</v>
      </c>
      <c r="AI1249" s="1" t="str">
        <f t="shared" si="818"/>
        <v>F10</v>
      </c>
      <c r="AJ1249" s="1" t="str">
        <f t="shared" si="819"/>
        <v>UNISEX</v>
      </c>
      <c r="AK1249" s="1" t="str">
        <f t="shared" si="810"/>
        <v>PA</v>
      </c>
      <c r="AP1249" s="1" t="str">
        <f t="shared" si="811"/>
        <v>False</v>
      </c>
      <c r="AR1249" s="1" t="str">
        <f t="shared" si="820"/>
        <v>VAIAN</v>
      </c>
      <c r="AY1249" s="1" t="str">
        <f t="shared" si="812"/>
        <v>PF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 t="str">
        <f t="shared" si="816"/>
        <v>TOMAIA GOMMA</v>
      </c>
      <c r="BF1249" s="1" t="str">
        <f t="shared" si="813"/>
        <v>Bonis SpA</v>
      </c>
    </row>
    <row r="1250" spans="2:58" x14ac:dyDescent="0.25">
      <c r="B1250" s="1">
        <v>2470</v>
      </c>
      <c r="C1250" s="1" t="str">
        <f t="shared" si="817"/>
        <v>VAIAN4209S7/G1</v>
      </c>
      <c r="E1250" s="1" t="str">
        <f>"37"</f>
        <v>37</v>
      </c>
      <c r="F1250" s="1" t="str">
        <f t="shared" si="802"/>
        <v>BONIS SPA</v>
      </c>
      <c r="G1250" s="1" t="str">
        <f t="shared" si="792"/>
        <v>STOCK SCAFFALE MP</v>
      </c>
      <c r="H1250" s="1" t="str">
        <f t="shared" si="815"/>
        <v>DKBL</v>
      </c>
      <c r="K1250" s="1">
        <v>6</v>
      </c>
      <c r="L1250" s="1" t="str">
        <f t="shared" si="803"/>
        <v>01</v>
      </c>
      <c r="M1250" s="1" t="str">
        <f t="shared" si="793"/>
        <v>408</v>
      </c>
      <c r="N1250" s="1" t="str">
        <f t="shared" si="823"/>
        <v>005</v>
      </c>
      <c r="O1250" s="1" t="str">
        <f t="shared" si="804"/>
        <v>00</v>
      </c>
      <c r="P1250" s="1" t="str">
        <f t="shared" si="805"/>
        <v>S</v>
      </c>
      <c r="Q1250" s="1" t="str">
        <f t="shared" si="806"/>
        <v>P</v>
      </c>
      <c r="R1250" s="1" t="str">
        <f t="shared" si="807"/>
        <v>01</v>
      </c>
      <c r="S1250" s="1" t="str">
        <f t="shared" si="794"/>
        <v>04</v>
      </c>
      <c r="T1250" s="1" t="str">
        <f t="shared" si="808"/>
        <v>False</v>
      </c>
      <c r="U1250" s="1" t="str">
        <f t="shared" si="809"/>
        <v>True</v>
      </c>
      <c r="V1250" s="1" t="str">
        <f t="shared" si="822"/>
        <v>U0034843</v>
      </c>
      <c r="W1250" s="1">
        <v>1</v>
      </c>
      <c r="Y1250" s="1">
        <v>0</v>
      </c>
      <c r="Z1250" s="1">
        <v>0</v>
      </c>
      <c r="AI1250" s="1" t="str">
        <f t="shared" si="818"/>
        <v>F10</v>
      </c>
      <c r="AJ1250" s="1" t="str">
        <f t="shared" si="819"/>
        <v>UNISEX</v>
      </c>
      <c r="AK1250" s="1" t="str">
        <f t="shared" si="810"/>
        <v>PA</v>
      </c>
      <c r="AP1250" s="1" t="str">
        <f t="shared" si="811"/>
        <v>False</v>
      </c>
      <c r="AR1250" s="1" t="str">
        <f t="shared" si="820"/>
        <v>VAIAN</v>
      </c>
      <c r="AY1250" s="1" t="str">
        <f t="shared" si="812"/>
        <v>PF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 t="str">
        <f t="shared" si="816"/>
        <v>TOMAIA GOMMA</v>
      </c>
      <c r="BF1250" s="1" t="str">
        <f t="shared" si="813"/>
        <v>Bonis SpA</v>
      </c>
    </row>
    <row r="1251" spans="2:58" x14ac:dyDescent="0.25">
      <c r="B1251" s="1">
        <v>2470</v>
      </c>
      <c r="C1251" s="1" t="str">
        <f t="shared" si="817"/>
        <v>VAIAN4209S7/G1</v>
      </c>
      <c r="E1251" s="1" t="str">
        <f>"41"</f>
        <v>41</v>
      </c>
      <c r="F1251" s="1" t="str">
        <f t="shared" si="802"/>
        <v>BONIS SPA</v>
      </c>
      <c r="G1251" s="1" t="str">
        <f t="shared" si="792"/>
        <v>STOCK SCAFFALE MP</v>
      </c>
      <c r="H1251" s="1" t="str">
        <f t="shared" si="815"/>
        <v>DKBL</v>
      </c>
      <c r="K1251" s="1">
        <v>2</v>
      </c>
      <c r="L1251" s="1" t="str">
        <f t="shared" si="803"/>
        <v>01</v>
      </c>
      <c r="M1251" s="1" t="str">
        <f t="shared" si="793"/>
        <v>408</v>
      </c>
      <c r="N1251" s="1" t="str">
        <f t="shared" si="823"/>
        <v>005</v>
      </c>
      <c r="O1251" s="1" t="str">
        <f t="shared" si="804"/>
        <v>00</v>
      </c>
      <c r="P1251" s="1" t="str">
        <f t="shared" si="805"/>
        <v>S</v>
      </c>
      <c r="Q1251" s="1" t="str">
        <f t="shared" si="806"/>
        <v>P</v>
      </c>
      <c r="R1251" s="1" t="str">
        <f t="shared" si="807"/>
        <v>01</v>
      </c>
      <c r="S1251" s="1" t="str">
        <f t="shared" si="794"/>
        <v>04</v>
      </c>
      <c r="T1251" s="1" t="str">
        <f t="shared" si="808"/>
        <v>False</v>
      </c>
      <c r="U1251" s="1" t="str">
        <f t="shared" si="809"/>
        <v>True</v>
      </c>
      <c r="V1251" s="1" t="str">
        <f t="shared" si="822"/>
        <v>U0034843</v>
      </c>
      <c r="W1251" s="1">
        <v>1</v>
      </c>
      <c r="Y1251" s="1">
        <v>0</v>
      </c>
      <c r="Z1251" s="1">
        <v>0</v>
      </c>
      <c r="AI1251" s="1" t="str">
        <f t="shared" si="818"/>
        <v>F10</v>
      </c>
      <c r="AJ1251" s="1" t="str">
        <f t="shared" si="819"/>
        <v>UNISEX</v>
      </c>
      <c r="AK1251" s="1" t="str">
        <f t="shared" si="810"/>
        <v>PA</v>
      </c>
      <c r="AP1251" s="1" t="str">
        <f t="shared" si="811"/>
        <v>False</v>
      </c>
      <c r="AR1251" s="1" t="str">
        <f t="shared" si="820"/>
        <v>VAIAN</v>
      </c>
      <c r="AY1251" s="1" t="str">
        <f t="shared" si="812"/>
        <v>PF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 t="str">
        <f t="shared" si="816"/>
        <v>TOMAIA GOMMA</v>
      </c>
      <c r="BF1251" s="1" t="str">
        <f t="shared" si="813"/>
        <v>Bonis SpA</v>
      </c>
    </row>
    <row r="1252" spans="2:58" x14ac:dyDescent="0.25">
      <c r="B1252" s="1">
        <v>2470</v>
      </c>
      <c r="C1252" s="1" t="str">
        <f t="shared" si="817"/>
        <v>VAIAN4209S7/G1</v>
      </c>
      <c r="E1252" s="1" t="str">
        <f>"38"</f>
        <v>38</v>
      </c>
      <c r="F1252" s="1" t="str">
        <f t="shared" si="802"/>
        <v>BONIS SPA</v>
      </c>
      <c r="G1252" s="1" t="str">
        <f t="shared" si="792"/>
        <v>STOCK SCAFFALE MP</v>
      </c>
      <c r="H1252" s="1" t="str">
        <f t="shared" si="815"/>
        <v>DKBL</v>
      </c>
      <c r="K1252" s="1">
        <v>9</v>
      </c>
      <c r="L1252" s="1" t="str">
        <f t="shared" si="803"/>
        <v>01</v>
      </c>
      <c r="M1252" s="1" t="str">
        <f t="shared" si="793"/>
        <v>408</v>
      </c>
      <c r="N1252" s="1" t="str">
        <f t="shared" si="823"/>
        <v>005</v>
      </c>
      <c r="O1252" s="1" t="str">
        <f t="shared" si="804"/>
        <v>00</v>
      </c>
      <c r="P1252" s="1" t="str">
        <f t="shared" si="805"/>
        <v>S</v>
      </c>
      <c r="Q1252" s="1" t="str">
        <f t="shared" si="806"/>
        <v>P</v>
      </c>
      <c r="R1252" s="1" t="str">
        <f t="shared" si="807"/>
        <v>01</v>
      </c>
      <c r="S1252" s="1" t="str">
        <f t="shared" si="794"/>
        <v>04</v>
      </c>
      <c r="T1252" s="1" t="str">
        <f t="shared" si="808"/>
        <v>False</v>
      </c>
      <c r="U1252" s="1" t="str">
        <f t="shared" si="809"/>
        <v>True</v>
      </c>
      <c r="V1252" s="1" t="str">
        <f t="shared" ref="V1252:V1257" si="824">"U0034844"</f>
        <v>U0034844</v>
      </c>
      <c r="W1252" s="1">
        <v>1</v>
      </c>
      <c r="Y1252" s="1">
        <v>0</v>
      </c>
      <c r="Z1252" s="1">
        <v>0</v>
      </c>
      <c r="AI1252" s="1" t="str">
        <f t="shared" si="818"/>
        <v>F10</v>
      </c>
      <c r="AJ1252" s="1" t="str">
        <f t="shared" si="819"/>
        <v>UNISEX</v>
      </c>
      <c r="AK1252" s="1" t="str">
        <f t="shared" si="810"/>
        <v>PA</v>
      </c>
      <c r="AP1252" s="1" t="str">
        <f t="shared" si="811"/>
        <v>False</v>
      </c>
      <c r="AR1252" s="1" t="str">
        <f t="shared" si="820"/>
        <v>VAIAN</v>
      </c>
      <c r="AY1252" s="1" t="str">
        <f t="shared" si="812"/>
        <v>PF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 t="str">
        <f t="shared" si="816"/>
        <v>TOMAIA GOMMA</v>
      </c>
      <c r="BF1252" s="1" t="str">
        <f t="shared" si="813"/>
        <v>Bonis SpA</v>
      </c>
    </row>
    <row r="1253" spans="2:58" x14ac:dyDescent="0.25">
      <c r="B1253" s="1">
        <v>2470</v>
      </c>
      <c r="C1253" s="1" t="str">
        <f t="shared" si="817"/>
        <v>VAIAN4209S7/G1</v>
      </c>
      <c r="E1253" s="1" t="str">
        <f>"39"</f>
        <v>39</v>
      </c>
      <c r="F1253" s="1" t="str">
        <f t="shared" si="802"/>
        <v>BONIS SPA</v>
      </c>
      <c r="G1253" s="1" t="str">
        <f t="shared" si="792"/>
        <v>STOCK SCAFFALE MP</v>
      </c>
      <c r="H1253" s="1" t="str">
        <f t="shared" si="815"/>
        <v>DKBL</v>
      </c>
      <c r="K1253" s="1">
        <v>7</v>
      </c>
      <c r="L1253" s="1" t="str">
        <f t="shared" si="803"/>
        <v>01</v>
      </c>
      <c r="M1253" s="1" t="str">
        <f t="shared" si="793"/>
        <v>408</v>
      </c>
      <c r="N1253" s="1" t="str">
        <f t="shared" si="823"/>
        <v>005</v>
      </c>
      <c r="O1253" s="1" t="str">
        <f t="shared" si="804"/>
        <v>00</v>
      </c>
      <c r="P1253" s="1" t="str">
        <f t="shared" si="805"/>
        <v>S</v>
      </c>
      <c r="Q1253" s="1" t="str">
        <f t="shared" si="806"/>
        <v>P</v>
      </c>
      <c r="R1253" s="1" t="str">
        <f t="shared" si="807"/>
        <v>01</v>
      </c>
      <c r="S1253" s="1" t="str">
        <f t="shared" si="794"/>
        <v>04</v>
      </c>
      <c r="T1253" s="1" t="str">
        <f t="shared" si="808"/>
        <v>False</v>
      </c>
      <c r="U1253" s="1" t="str">
        <f t="shared" si="809"/>
        <v>True</v>
      </c>
      <c r="V1253" s="1" t="str">
        <f t="shared" si="824"/>
        <v>U0034844</v>
      </c>
      <c r="W1253" s="1">
        <v>1</v>
      </c>
      <c r="Y1253" s="1">
        <v>0</v>
      </c>
      <c r="Z1253" s="1">
        <v>0</v>
      </c>
      <c r="AI1253" s="1" t="str">
        <f t="shared" si="818"/>
        <v>F10</v>
      </c>
      <c r="AJ1253" s="1" t="str">
        <f t="shared" si="819"/>
        <v>UNISEX</v>
      </c>
      <c r="AK1253" s="1" t="str">
        <f t="shared" si="810"/>
        <v>PA</v>
      </c>
      <c r="AP1253" s="1" t="str">
        <f t="shared" si="811"/>
        <v>False</v>
      </c>
      <c r="AR1253" s="1" t="str">
        <f t="shared" si="820"/>
        <v>VAIAN</v>
      </c>
      <c r="AY1253" s="1" t="str">
        <f t="shared" si="812"/>
        <v>PF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 t="str">
        <f t="shared" si="816"/>
        <v>TOMAIA GOMMA</v>
      </c>
      <c r="BF1253" s="1" t="str">
        <f t="shared" si="813"/>
        <v>Bonis SpA</v>
      </c>
    </row>
    <row r="1254" spans="2:58" x14ac:dyDescent="0.25">
      <c r="B1254" s="1">
        <v>2470</v>
      </c>
      <c r="C1254" s="1" t="str">
        <f t="shared" si="817"/>
        <v>VAIAN4209S7/G1</v>
      </c>
      <c r="E1254" s="1" t="str">
        <f>"40"</f>
        <v>40</v>
      </c>
      <c r="F1254" s="1" t="str">
        <f t="shared" si="802"/>
        <v>BONIS SPA</v>
      </c>
      <c r="G1254" s="1" t="str">
        <f t="shared" si="792"/>
        <v>STOCK SCAFFALE MP</v>
      </c>
      <c r="H1254" s="1" t="str">
        <f t="shared" si="815"/>
        <v>DKBL</v>
      </c>
      <c r="K1254" s="1">
        <v>6</v>
      </c>
      <c r="L1254" s="1" t="str">
        <f t="shared" si="803"/>
        <v>01</v>
      </c>
      <c r="M1254" s="1" t="str">
        <f t="shared" si="793"/>
        <v>408</v>
      </c>
      <c r="N1254" s="1" t="str">
        <f t="shared" si="823"/>
        <v>005</v>
      </c>
      <c r="O1254" s="1" t="str">
        <f t="shared" si="804"/>
        <v>00</v>
      </c>
      <c r="P1254" s="1" t="str">
        <f t="shared" si="805"/>
        <v>S</v>
      </c>
      <c r="Q1254" s="1" t="str">
        <f t="shared" si="806"/>
        <v>P</v>
      </c>
      <c r="R1254" s="1" t="str">
        <f t="shared" si="807"/>
        <v>01</v>
      </c>
      <c r="S1254" s="1" t="str">
        <f t="shared" si="794"/>
        <v>04</v>
      </c>
      <c r="T1254" s="1" t="str">
        <f t="shared" si="808"/>
        <v>False</v>
      </c>
      <c r="U1254" s="1" t="str">
        <f t="shared" si="809"/>
        <v>True</v>
      </c>
      <c r="V1254" s="1" t="str">
        <f t="shared" si="824"/>
        <v>U0034844</v>
      </c>
      <c r="W1254" s="1">
        <v>1</v>
      </c>
      <c r="Y1254" s="1">
        <v>0</v>
      </c>
      <c r="Z1254" s="1">
        <v>0</v>
      </c>
      <c r="AI1254" s="1" t="str">
        <f t="shared" si="818"/>
        <v>F10</v>
      </c>
      <c r="AJ1254" s="1" t="str">
        <f t="shared" si="819"/>
        <v>UNISEX</v>
      </c>
      <c r="AK1254" s="1" t="str">
        <f t="shared" si="810"/>
        <v>PA</v>
      </c>
      <c r="AP1254" s="1" t="str">
        <f t="shared" si="811"/>
        <v>False</v>
      </c>
      <c r="AR1254" s="1" t="str">
        <f t="shared" si="820"/>
        <v>VAIAN</v>
      </c>
      <c r="AY1254" s="1" t="str">
        <f t="shared" si="812"/>
        <v>PF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 t="str">
        <f t="shared" si="816"/>
        <v>TOMAIA GOMMA</v>
      </c>
      <c r="BF1254" s="1" t="str">
        <f t="shared" si="813"/>
        <v>Bonis SpA</v>
      </c>
    </row>
    <row r="1255" spans="2:58" x14ac:dyDescent="0.25">
      <c r="B1255" s="1">
        <v>2470</v>
      </c>
      <c r="C1255" s="1" t="str">
        <f t="shared" si="817"/>
        <v>VAIAN4209S7/G1</v>
      </c>
      <c r="E1255" s="1" t="str">
        <f>"41"</f>
        <v>41</v>
      </c>
      <c r="F1255" s="1" t="str">
        <f t="shared" si="802"/>
        <v>BONIS SPA</v>
      </c>
      <c r="G1255" s="1" t="str">
        <f t="shared" si="792"/>
        <v>STOCK SCAFFALE MP</v>
      </c>
      <c r="H1255" s="1" t="str">
        <f t="shared" si="815"/>
        <v>DKBL</v>
      </c>
      <c r="K1255" s="1">
        <v>1</v>
      </c>
      <c r="L1255" s="1" t="str">
        <f t="shared" si="803"/>
        <v>01</v>
      </c>
      <c r="M1255" s="1" t="str">
        <f t="shared" si="793"/>
        <v>408</v>
      </c>
      <c r="N1255" s="1" t="str">
        <f t="shared" si="823"/>
        <v>005</v>
      </c>
      <c r="O1255" s="1" t="str">
        <f t="shared" si="804"/>
        <v>00</v>
      </c>
      <c r="P1255" s="1" t="str">
        <f t="shared" si="805"/>
        <v>S</v>
      </c>
      <c r="Q1255" s="1" t="str">
        <f t="shared" si="806"/>
        <v>P</v>
      </c>
      <c r="R1255" s="1" t="str">
        <f t="shared" si="807"/>
        <v>01</v>
      </c>
      <c r="S1255" s="1" t="str">
        <f t="shared" si="794"/>
        <v>04</v>
      </c>
      <c r="T1255" s="1" t="str">
        <f t="shared" si="808"/>
        <v>False</v>
      </c>
      <c r="U1255" s="1" t="str">
        <f t="shared" si="809"/>
        <v>True</v>
      </c>
      <c r="V1255" s="1" t="str">
        <f t="shared" si="824"/>
        <v>U0034844</v>
      </c>
      <c r="W1255" s="1">
        <v>1</v>
      </c>
      <c r="Y1255" s="1">
        <v>0</v>
      </c>
      <c r="Z1255" s="1">
        <v>0</v>
      </c>
      <c r="AI1255" s="1" t="str">
        <f t="shared" si="818"/>
        <v>F10</v>
      </c>
      <c r="AJ1255" s="1" t="str">
        <f t="shared" si="819"/>
        <v>UNISEX</v>
      </c>
      <c r="AK1255" s="1" t="str">
        <f t="shared" si="810"/>
        <v>PA</v>
      </c>
      <c r="AP1255" s="1" t="str">
        <f t="shared" si="811"/>
        <v>False</v>
      </c>
      <c r="AR1255" s="1" t="str">
        <f t="shared" si="820"/>
        <v>VAIAN</v>
      </c>
      <c r="AY1255" s="1" t="str">
        <f t="shared" si="812"/>
        <v>PF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 t="str">
        <f t="shared" si="816"/>
        <v>TOMAIA GOMMA</v>
      </c>
      <c r="BF1255" s="1" t="str">
        <f t="shared" si="813"/>
        <v>Bonis SpA</v>
      </c>
    </row>
    <row r="1256" spans="2:58" x14ac:dyDescent="0.25">
      <c r="B1256" s="1">
        <v>2470</v>
      </c>
      <c r="C1256" s="1" t="str">
        <f t="shared" si="817"/>
        <v>VAIAN4209S7/G1</v>
      </c>
      <c r="E1256" s="1" t="str">
        <f>"37"</f>
        <v>37</v>
      </c>
      <c r="F1256" s="1" t="str">
        <f t="shared" si="802"/>
        <v>BONIS SPA</v>
      </c>
      <c r="G1256" s="1" t="str">
        <f t="shared" si="792"/>
        <v>STOCK SCAFFALE MP</v>
      </c>
      <c r="H1256" s="1" t="str">
        <f t="shared" si="815"/>
        <v>DKBL</v>
      </c>
      <c r="K1256" s="1">
        <v>6</v>
      </c>
      <c r="L1256" s="1" t="str">
        <f t="shared" si="803"/>
        <v>01</v>
      </c>
      <c r="M1256" s="1" t="str">
        <f t="shared" si="793"/>
        <v>408</v>
      </c>
      <c r="N1256" s="1" t="str">
        <f t="shared" si="823"/>
        <v>005</v>
      </c>
      <c r="O1256" s="1" t="str">
        <f t="shared" si="804"/>
        <v>00</v>
      </c>
      <c r="P1256" s="1" t="str">
        <f t="shared" si="805"/>
        <v>S</v>
      </c>
      <c r="Q1256" s="1" t="str">
        <f t="shared" si="806"/>
        <v>P</v>
      </c>
      <c r="R1256" s="1" t="str">
        <f t="shared" si="807"/>
        <v>01</v>
      </c>
      <c r="S1256" s="1" t="str">
        <f t="shared" si="794"/>
        <v>04</v>
      </c>
      <c r="T1256" s="1" t="str">
        <f t="shared" si="808"/>
        <v>False</v>
      </c>
      <c r="U1256" s="1" t="str">
        <f t="shared" si="809"/>
        <v>True</v>
      </c>
      <c r="V1256" s="1" t="str">
        <f t="shared" si="824"/>
        <v>U0034844</v>
      </c>
      <c r="W1256" s="1">
        <v>1</v>
      </c>
      <c r="Y1256" s="1">
        <v>0</v>
      </c>
      <c r="Z1256" s="1">
        <v>0</v>
      </c>
      <c r="AI1256" s="1" t="str">
        <f t="shared" si="818"/>
        <v>F10</v>
      </c>
      <c r="AJ1256" s="1" t="str">
        <f t="shared" si="819"/>
        <v>UNISEX</v>
      </c>
      <c r="AK1256" s="1" t="str">
        <f t="shared" si="810"/>
        <v>PA</v>
      </c>
      <c r="AP1256" s="1" t="str">
        <f t="shared" si="811"/>
        <v>False</v>
      </c>
      <c r="AR1256" s="1" t="str">
        <f t="shared" si="820"/>
        <v>VAIAN</v>
      </c>
      <c r="AY1256" s="1" t="str">
        <f t="shared" si="812"/>
        <v>PF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 t="str">
        <f t="shared" si="816"/>
        <v>TOMAIA GOMMA</v>
      </c>
      <c r="BF1256" s="1" t="str">
        <f t="shared" si="813"/>
        <v>Bonis SpA</v>
      </c>
    </row>
    <row r="1257" spans="2:58" x14ac:dyDescent="0.25">
      <c r="B1257" s="1">
        <v>2470</v>
      </c>
      <c r="C1257" s="1" t="str">
        <f t="shared" si="817"/>
        <v>VAIAN4209S7/G1</v>
      </c>
      <c r="E1257" s="1" t="str">
        <f>"36"</f>
        <v>36</v>
      </c>
      <c r="F1257" s="1" t="str">
        <f t="shared" si="802"/>
        <v>BONIS SPA</v>
      </c>
      <c r="G1257" s="1" t="str">
        <f t="shared" si="792"/>
        <v>STOCK SCAFFALE MP</v>
      </c>
      <c r="H1257" s="1" t="str">
        <f t="shared" si="815"/>
        <v>DKBL</v>
      </c>
      <c r="K1257" s="1">
        <v>3</v>
      </c>
      <c r="L1257" s="1" t="str">
        <f t="shared" si="803"/>
        <v>01</v>
      </c>
      <c r="M1257" s="1" t="str">
        <f t="shared" si="793"/>
        <v>408</v>
      </c>
      <c r="N1257" s="1" t="str">
        <f t="shared" si="823"/>
        <v>005</v>
      </c>
      <c r="O1257" s="1" t="str">
        <f t="shared" si="804"/>
        <v>00</v>
      </c>
      <c r="P1257" s="1" t="str">
        <f t="shared" si="805"/>
        <v>S</v>
      </c>
      <c r="Q1257" s="1" t="str">
        <f t="shared" si="806"/>
        <v>P</v>
      </c>
      <c r="R1257" s="1" t="str">
        <f t="shared" si="807"/>
        <v>01</v>
      </c>
      <c r="S1257" s="1" t="str">
        <f t="shared" si="794"/>
        <v>04</v>
      </c>
      <c r="T1257" s="1" t="str">
        <f t="shared" si="808"/>
        <v>False</v>
      </c>
      <c r="U1257" s="1" t="str">
        <f t="shared" si="809"/>
        <v>True</v>
      </c>
      <c r="V1257" s="1" t="str">
        <f t="shared" si="824"/>
        <v>U0034844</v>
      </c>
      <c r="W1257" s="1">
        <v>1</v>
      </c>
      <c r="Y1257" s="1">
        <v>0</v>
      </c>
      <c r="Z1257" s="1">
        <v>0</v>
      </c>
      <c r="AI1257" s="1" t="str">
        <f t="shared" si="818"/>
        <v>F10</v>
      </c>
      <c r="AJ1257" s="1" t="str">
        <f t="shared" si="819"/>
        <v>UNISEX</v>
      </c>
      <c r="AK1257" s="1" t="str">
        <f t="shared" si="810"/>
        <v>PA</v>
      </c>
      <c r="AP1257" s="1" t="str">
        <f t="shared" si="811"/>
        <v>False</v>
      </c>
      <c r="AR1257" s="1" t="str">
        <f t="shared" si="820"/>
        <v>VAIAN</v>
      </c>
      <c r="AY1257" s="1" t="str">
        <f t="shared" si="812"/>
        <v>PF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 t="str">
        <f t="shared" si="816"/>
        <v>TOMAIA GOMMA</v>
      </c>
      <c r="BF1257" s="1" t="str">
        <f t="shared" si="813"/>
        <v>Bonis SpA</v>
      </c>
    </row>
    <row r="1258" spans="2:58" x14ac:dyDescent="0.25">
      <c r="B1258" s="1">
        <v>2470</v>
      </c>
      <c r="C1258" s="1" t="str">
        <f t="shared" si="817"/>
        <v>VAIAN4209S7/G1</v>
      </c>
      <c r="E1258" s="1" t="str">
        <f>"40"</f>
        <v>40</v>
      </c>
      <c r="F1258" s="1" t="str">
        <f t="shared" si="802"/>
        <v>BONIS SPA</v>
      </c>
      <c r="G1258" s="1" t="str">
        <f t="shared" si="792"/>
        <v>STOCK SCAFFALE MP</v>
      </c>
      <c r="H1258" s="1" t="str">
        <f t="shared" ref="H1258:H1263" si="825">"RED"</f>
        <v>RED</v>
      </c>
      <c r="K1258" s="1">
        <v>5</v>
      </c>
      <c r="L1258" s="1" t="str">
        <f t="shared" si="803"/>
        <v>01</v>
      </c>
      <c r="M1258" s="1" t="str">
        <f t="shared" si="793"/>
        <v>408</v>
      </c>
      <c r="N1258" s="1" t="str">
        <f t="shared" si="823"/>
        <v>005</v>
      </c>
      <c r="O1258" s="1" t="str">
        <f t="shared" si="804"/>
        <v>00</v>
      </c>
      <c r="P1258" s="1" t="str">
        <f t="shared" si="805"/>
        <v>S</v>
      </c>
      <c r="Q1258" s="1" t="str">
        <f t="shared" si="806"/>
        <v>P</v>
      </c>
      <c r="R1258" s="1" t="str">
        <f t="shared" si="807"/>
        <v>01</v>
      </c>
      <c r="S1258" s="1" t="str">
        <f t="shared" si="794"/>
        <v>04</v>
      </c>
      <c r="T1258" s="1" t="str">
        <f t="shared" si="808"/>
        <v>False</v>
      </c>
      <c r="U1258" s="1" t="str">
        <f t="shared" si="809"/>
        <v>True</v>
      </c>
      <c r="V1258" s="1" t="str">
        <f t="shared" ref="V1258:V1263" si="826">"U0034845"</f>
        <v>U0034845</v>
      </c>
      <c r="W1258" s="1">
        <v>1</v>
      </c>
      <c r="Y1258" s="1">
        <v>0</v>
      </c>
      <c r="Z1258" s="1">
        <v>0</v>
      </c>
      <c r="AI1258" s="1" t="str">
        <f t="shared" si="818"/>
        <v>F10</v>
      </c>
      <c r="AJ1258" s="1" t="str">
        <f t="shared" si="819"/>
        <v>UNISEX</v>
      </c>
      <c r="AK1258" s="1" t="str">
        <f t="shared" si="810"/>
        <v>PA</v>
      </c>
      <c r="AP1258" s="1" t="str">
        <f t="shared" si="811"/>
        <v>False</v>
      </c>
      <c r="AR1258" s="1" t="str">
        <f t="shared" si="820"/>
        <v>VAIAN</v>
      </c>
      <c r="AY1258" s="1" t="str">
        <f t="shared" si="812"/>
        <v>PF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 t="str">
        <f t="shared" si="816"/>
        <v>TOMAIA GOMMA</v>
      </c>
      <c r="BF1258" s="1" t="str">
        <f t="shared" si="813"/>
        <v>Bonis SpA</v>
      </c>
    </row>
    <row r="1259" spans="2:58" x14ac:dyDescent="0.25">
      <c r="B1259" s="1">
        <v>2470</v>
      </c>
      <c r="C1259" s="1" t="str">
        <f t="shared" si="817"/>
        <v>VAIAN4209S7/G1</v>
      </c>
      <c r="E1259" s="1" t="str">
        <f>"44"</f>
        <v>44</v>
      </c>
      <c r="F1259" s="1" t="str">
        <f t="shared" si="802"/>
        <v>BONIS SPA</v>
      </c>
      <c r="G1259" s="1" t="str">
        <f t="shared" si="792"/>
        <v>STOCK SCAFFALE MP</v>
      </c>
      <c r="H1259" s="1" t="str">
        <f t="shared" si="825"/>
        <v>RED</v>
      </c>
      <c r="K1259" s="1">
        <v>6</v>
      </c>
      <c r="L1259" s="1" t="str">
        <f t="shared" si="803"/>
        <v>01</v>
      </c>
      <c r="M1259" s="1" t="str">
        <f t="shared" si="793"/>
        <v>408</v>
      </c>
      <c r="N1259" s="1" t="str">
        <f t="shared" si="823"/>
        <v>005</v>
      </c>
      <c r="O1259" s="1" t="str">
        <f t="shared" si="804"/>
        <v>00</v>
      </c>
      <c r="P1259" s="1" t="str">
        <f t="shared" si="805"/>
        <v>S</v>
      </c>
      <c r="Q1259" s="1" t="str">
        <f t="shared" si="806"/>
        <v>P</v>
      </c>
      <c r="R1259" s="1" t="str">
        <f t="shared" si="807"/>
        <v>01</v>
      </c>
      <c r="S1259" s="1" t="str">
        <f t="shared" si="794"/>
        <v>04</v>
      </c>
      <c r="T1259" s="1" t="str">
        <f t="shared" si="808"/>
        <v>False</v>
      </c>
      <c r="U1259" s="1" t="str">
        <f t="shared" si="809"/>
        <v>True</v>
      </c>
      <c r="V1259" s="1" t="str">
        <f t="shared" si="826"/>
        <v>U0034845</v>
      </c>
      <c r="W1259" s="1">
        <v>1</v>
      </c>
      <c r="Y1259" s="1">
        <v>0</v>
      </c>
      <c r="Z1259" s="1">
        <v>0</v>
      </c>
      <c r="AI1259" s="1" t="str">
        <f t="shared" si="818"/>
        <v>F10</v>
      </c>
      <c r="AJ1259" s="1" t="str">
        <f t="shared" si="819"/>
        <v>UNISEX</v>
      </c>
      <c r="AK1259" s="1" t="str">
        <f t="shared" si="810"/>
        <v>PA</v>
      </c>
      <c r="AP1259" s="1" t="str">
        <f t="shared" si="811"/>
        <v>False</v>
      </c>
      <c r="AR1259" s="1" t="str">
        <f t="shared" si="820"/>
        <v>VAIAN</v>
      </c>
      <c r="AY1259" s="1" t="str">
        <f t="shared" si="812"/>
        <v>PF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 t="str">
        <f t="shared" si="816"/>
        <v>TOMAIA GOMMA</v>
      </c>
      <c r="BF1259" s="1" t="str">
        <f t="shared" si="813"/>
        <v>Bonis SpA</v>
      </c>
    </row>
    <row r="1260" spans="2:58" x14ac:dyDescent="0.25">
      <c r="B1260" s="1">
        <v>2470</v>
      </c>
      <c r="C1260" s="1" t="str">
        <f t="shared" si="817"/>
        <v>VAIAN4209S7/G1</v>
      </c>
      <c r="E1260" s="1" t="str">
        <f>"43"</f>
        <v>43</v>
      </c>
      <c r="F1260" s="1" t="str">
        <f t="shared" si="802"/>
        <v>BONIS SPA</v>
      </c>
      <c r="G1260" s="1" t="str">
        <f t="shared" si="792"/>
        <v>STOCK SCAFFALE MP</v>
      </c>
      <c r="H1260" s="1" t="str">
        <f t="shared" si="825"/>
        <v>RED</v>
      </c>
      <c r="K1260" s="1">
        <v>2</v>
      </c>
      <c r="L1260" s="1" t="str">
        <f t="shared" si="803"/>
        <v>01</v>
      </c>
      <c r="M1260" s="1" t="str">
        <f t="shared" si="793"/>
        <v>408</v>
      </c>
      <c r="N1260" s="1" t="str">
        <f t="shared" si="823"/>
        <v>005</v>
      </c>
      <c r="O1260" s="1" t="str">
        <f t="shared" si="804"/>
        <v>00</v>
      </c>
      <c r="P1260" s="1" t="str">
        <f t="shared" si="805"/>
        <v>S</v>
      </c>
      <c r="Q1260" s="1" t="str">
        <f t="shared" si="806"/>
        <v>P</v>
      </c>
      <c r="R1260" s="1" t="str">
        <f t="shared" si="807"/>
        <v>01</v>
      </c>
      <c r="S1260" s="1" t="str">
        <f t="shared" si="794"/>
        <v>04</v>
      </c>
      <c r="T1260" s="1" t="str">
        <f t="shared" si="808"/>
        <v>False</v>
      </c>
      <c r="U1260" s="1" t="str">
        <f t="shared" si="809"/>
        <v>True</v>
      </c>
      <c r="V1260" s="1" t="str">
        <f t="shared" si="826"/>
        <v>U0034845</v>
      </c>
      <c r="W1260" s="1">
        <v>1</v>
      </c>
      <c r="Y1260" s="1">
        <v>0</v>
      </c>
      <c r="Z1260" s="1">
        <v>0</v>
      </c>
      <c r="AI1260" s="1" t="str">
        <f t="shared" si="818"/>
        <v>F10</v>
      </c>
      <c r="AJ1260" s="1" t="str">
        <f t="shared" si="819"/>
        <v>UNISEX</v>
      </c>
      <c r="AK1260" s="1" t="str">
        <f t="shared" si="810"/>
        <v>PA</v>
      </c>
      <c r="AP1260" s="1" t="str">
        <f t="shared" si="811"/>
        <v>False</v>
      </c>
      <c r="AR1260" s="1" t="str">
        <f t="shared" si="820"/>
        <v>VAIAN</v>
      </c>
      <c r="AY1260" s="1" t="str">
        <f t="shared" si="812"/>
        <v>PF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 t="str">
        <f t="shared" si="816"/>
        <v>TOMAIA GOMMA</v>
      </c>
      <c r="BF1260" s="1" t="str">
        <f t="shared" si="813"/>
        <v>Bonis SpA</v>
      </c>
    </row>
    <row r="1261" spans="2:58" x14ac:dyDescent="0.25">
      <c r="B1261" s="1">
        <v>2470</v>
      </c>
      <c r="C1261" s="1" t="str">
        <f t="shared" si="817"/>
        <v>VAIAN4209S7/G1</v>
      </c>
      <c r="E1261" s="1" t="str">
        <f>"42"</f>
        <v>42</v>
      </c>
      <c r="F1261" s="1" t="str">
        <f t="shared" si="802"/>
        <v>BONIS SPA</v>
      </c>
      <c r="G1261" s="1" t="str">
        <f t="shared" si="792"/>
        <v>STOCK SCAFFALE MP</v>
      </c>
      <c r="H1261" s="1" t="str">
        <f t="shared" si="825"/>
        <v>RED</v>
      </c>
      <c r="K1261" s="1">
        <v>1</v>
      </c>
      <c r="L1261" s="1" t="str">
        <f t="shared" si="803"/>
        <v>01</v>
      </c>
      <c r="M1261" s="1" t="str">
        <f t="shared" si="793"/>
        <v>408</v>
      </c>
      <c r="N1261" s="1" t="str">
        <f t="shared" si="823"/>
        <v>005</v>
      </c>
      <c r="O1261" s="1" t="str">
        <f t="shared" si="804"/>
        <v>00</v>
      </c>
      <c r="P1261" s="1" t="str">
        <f t="shared" si="805"/>
        <v>S</v>
      </c>
      <c r="Q1261" s="1" t="str">
        <f t="shared" si="806"/>
        <v>P</v>
      </c>
      <c r="R1261" s="1" t="str">
        <f t="shared" si="807"/>
        <v>01</v>
      </c>
      <c r="S1261" s="1" t="str">
        <f t="shared" si="794"/>
        <v>04</v>
      </c>
      <c r="T1261" s="1" t="str">
        <f t="shared" si="808"/>
        <v>False</v>
      </c>
      <c r="U1261" s="1" t="str">
        <f t="shared" si="809"/>
        <v>True</v>
      </c>
      <c r="V1261" s="1" t="str">
        <f t="shared" si="826"/>
        <v>U0034845</v>
      </c>
      <c r="W1261" s="1">
        <v>1</v>
      </c>
      <c r="Y1261" s="1">
        <v>0</v>
      </c>
      <c r="Z1261" s="1">
        <v>0</v>
      </c>
      <c r="AI1261" s="1" t="str">
        <f t="shared" si="818"/>
        <v>F10</v>
      </c>
      <c r="AJ1261" s="1" t="str">
        <f t="shared" si="819"/>
        <v>UNISEX</v>
      </c>
      <c r="AK1261" s="1" t="str">
        <f t="shared" si="810"/>
        <v>PA</v>
      </c>
      <c r="AP1261" s="1" t="str">
        <f t="shared" si="811"/>
        <v>False</v>
      </c>
      <c r="AR1261" s="1" t="str">
        <f t="shared" si="820"/>
        <v>VAIAN</v>
      </c>
      <c r="AY1261" s="1" t="str">
        <f t="shared" si="812"/>
        <v>PF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 t="str">
        <f t="shared" si="816"/>
        <v>TOMAIA GOMMA</v>
      </c>
      <c r="BF1261" s="1" t="str">
        <f t="shared" si="813"/>
        <v>Bonis SpA</v>
      </c>
    </row>
    <row r="1262" spans="2:58" x14ac:dyDescent="0.25">
      <c r="B1262" s="1">
        <v>2470</v>
      </c>
      <c r="C1262" s="1" t="str">
        <f t="shared" si="817"/>
        <v>VAIAN4209S7/G1</v>
      </c>
      <c r="E1262" s="1" t="str">
        <f>"36"</f>
        <v>36</v>
      </c>
      <c r="F1262" s="1" t="str">
        <f t="shared" si="802"/>
        <v>BONIS SPA</v>
      </c>
      <c r="G1262" s="1" t="str">
        <f t="shared" si="792"/>
        <v>STOCK SCAFFALE MP</v>
      </c>
      <c r="H1262" s="1" t="str">
        <f t="shared" si="825"/>
        <v>RED</v>
      </c>
      <c r="K1262" s="1">
        <v>6</v>
      </c>
      <c r="L1262" s="1" t="str">
        <f t="shared" si="803"/>
        <v>01</v>
      </c>
      <c r="M1262" s="1" t="str">
        <f t="shared" si="793"/>
        <v>408</v>
      </c>
      <c r="N1262" s="1" t="str">
        <f t="shared" si="823"/>
        <v>005</v>
      </c>
      <c r="O1262" s="1" t="str">
        <f t="shared" si="804"/>
        <v>00</v>
      </c>
      <c r="P1262" s="1" t="str">
        <f t="shared" si="805"/>
        <v>S</v>
      </c>
      <c r="Q1262" s="1" t="str">
        <f t="shared" si="806"/>
        <v>P</v>
      </c>
      <c r="R1262" s="1" t="str">
        <f t="shared" si="807"/>
        <v>01</v>
      </c>
      <c r="S1262" s="1" t="str">
        <f t="shared" si="794"/>
        <v>04</v>
      </c>
      <c r="T1262" s="1" t="str">
        <f t="shared" si="808"/>
        <v>False</v>
      </c>
      <c r="U1262" s="1" t="str">
        <f t="shared" si="809"/>
        <v>True</v>
      </c>
      <c r="V1262" s="1" t="str">
        <f t="shared" si="826"/>
        <v>U0034845</v>
      </c>
      <c r="W1262" s="1">
        <v>1</v>
      </c>
      <c r="Y1262" s="1">
        <v>0</v>
      </c>
      <c r="Z1262" s="1">
        <v>0</v>
      </c>
      <c r="AI1262" s="1" t="str">
        <f t="shared" si="818"/>
        <v>F10</v>
      </c>
      <c r="AJ1262" s="1" t="str">
        <f t="shared" si="819"/>
        <v>UNISEX</v>
      </c>
      <c r="AK1262" s="1" t="str">
        <f t="shared" si="810"/>
        <v>PA</v>
      </c>
      <c r="AP1262" s="1" t="str">
        <f t="shared" si="811"/>
        <v>False</v>
      </c>
      <c r="AR1262" s="1" t="str">
        <f t="shared" si="820"/>
        <v>VAIAN</v>
      </c>
      <c r="AY1262" s="1" t="str">
        <f t="shared" si="812"/>
        <v>PF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 t="str">
        <f t="shared" si="816"/>
        <v>TOMAIA GOMMA</v>
      </c>
      <c r="BF1262" s="1" t="str">
        <f t="shared" si="813"/>
        <v>Bonis SpA</v>
      </c>
    </row>
    <row r="1263" spans="2:58" x14ac:dyDescent="0.25">
      <c r="B1263" s="1">
        <v>2470</v>
      </c>
      <c r="C1263" s="1" t="str">
        <f>"VAIAK4119S7/G1"</f>
        <v>VAIAK4119S7/G1</v>
      </c>
      <c r="E1263" s="1" t="str">
        <f>"36"</f>
        <v>36</v>
      </c>
      <c r="F1263" s="1" t="str">
        <f t="shared" si="802"/>
        <v>BONIS SPA</v>
      </c>
      <c r="G1263" s="1" t="str">
        <f t="shared" si="792"/>
        <v>STOCK SCAFFALE MP</v>
      </c>
      <c r="H1263" s="1" t="str">
        <f t="shared" si="825"/>
        <v>RED</v>
      </c>
      <c r="K1263" s="1">
        <v>4</v>
      </c>
      <c r="L1263" s="1" t="str">
        <f t="shared" si="803"/>
        <v>01</v>
      </c>
      <c r="M1263" s="1" t="str">
        <f t="shared" si="793"/>
        <v>408</v>
      </c>
      <c r="N1263" s="1" t="str">
        <f t="shared" si="823"/>
        <v>005</v>
      </c>
      <c r="O1263" s="1" t="str">
        <f t="shared" si="804"/>
        <v>00</v>
      </c>
      <c r="P1263" s="1" t="str">
        <f t="shared" si="805"/>
        <v>S</v>
      </c>
      <c r="Q1263" s="1" t="str">
        <f t="shared" si="806"/>
        <v>P</v>
      </c>
      <c r="R1263" s="1" t="str">
        <f t="shared" si="807"/>
        <v>01</v>
      </c>
      <c r="S1263" s="1" t="str">
        <f t="shared" si="794"/>
        <v>04</v>
      </c>
      <c r="T1263" s="1" t="str">
        <f t="shared" si="808"/>
        <v>False</v>
      </c>
      <c r="U1263" s="1" t="str">
        <f t="shared" si="809"/>
        <v>True</v>
      </c>
      <c r="V1263" s="1" t="str">
        <f t="shared" si="826"/>
        <v>U0034845</v>
      </c>
      <c r="W1263" s="1">
        <v>1</v>
      </c>
      <c r="Y1263" s="1">
        <v>0</v>
      </c>
      <c r="Z1263" s="1">
        <v>0</v>
      </c>
      <c r="AI1263" s="1" t="str">
        <f t="shared" si="818"/>
        <v>F10</v>
      </c>
      <c r="AJ1263" s="1" t="str">
        <f>"KID"</f>
        <v>KID</v>
      </c>
      <c r="AK1263" s="1" t="str">
        <f t="shared" si="810"/>
        <v>PA</v>
      </c>
      <c r="AP1263" s="1" t="str">
        <f t="shared" si="811"/>
        <v>False</v>
      </c>
      <c r="AR1263" s="1" t="str">
        <f>"VAIAK"</f>
        <v>VAIAK</v>
      </c>
      <c r="AY1263" s="1" t="str">
        <f t="shared" si="812"/>
        <v>PF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 t="str">
        <f t="shared" si="816"/>
        <v>TOMAIA GOMMA</v>
      </c>
      <c r="BF1263" s="1" t="str">
        <f t="shared" si="813"/>
        <v>Bonis SpA</v>
      </c>
    </row>
    <row r="1264" spans="2:58" x14ac:dyDescent="0.25">
      <c r="B1264" s="1">
        <v>2470</v>
      </c>
      <c r="C1264" s="1" t="str">
        <f t="shared" ref="C1264:C1273" si="827">"VAIAN4209S7/G1"</f>
        <v>VAIAN4209S7/G1</v>
      </c>
      <c r="E1264" s="1" t="str">
        <f>"41"</f>
        <v>41</v>
      </c>
      <c r="F1264" s="1" t="str">
        <f t="shared" si="802"/>
        <v>BONIS SPA</v>
      </c>
      <c r="G1264" s="1" t="str">
        <f t="shared" ref="G1264:G1327" si="828">"STOCK SCAFFALE MP"</f>
        <v>STOCK SCAFFALE MP</v>
      </c>
      <c r="H1264" s="1" t="str">
        <f t="shared" ref="H1264:H1307" si="829">"DKBL"</f>
        <v>DKBL</v>
      </c>
      <c r="K1264" s="1">
        <v>2</v>
      </c>
      <c r="L1264" s="1" t="str">
        <f t="shared" si="803"/>
        <v>01</v>
      </c>
      <c r="M1264" s="1" t="str">
        <f t="shared" ref="M1264:M1327" si="830">"408"</f>
        <v>408</v>
      </c>
      <c r="N1264" s="1" t="str">
        <f t="shared" si="823"/>
        <v>005</v>
      </c>
      <c r="O1264" s="1" t="str">
        <f t="shared" si="804"/>
        <v>00</v>
      </c>
      <c r="P1264" s="1" t="str">
        <f t="shared" si="805"/>
        <v>S</v>
      </c>
      <c r="Q1264" s="1" t="str">
        <f t="shared" si="806"/>
        <v>P</v>
      </c>
      <c r="R1264" s="1" t="str">
        <f t="shared" si="807"/>
        <v>01</v>
      </c>
      <c r="S1264" s="1" t="str">
        <f t="shared" ref="S1264:S1327" si="831">"04"</f>
        <v>04</v>
      </c>
      <c r="T1264" s="1" t="str">
        <f t="shared" si="808"/>
        <v>False</v>
      </c>
      <c r="U1264" s="1" t="str">
        <f t="shared" si="809"/>
        <v>True</v>
      </c>
      <c r="V1264" s="1" t="str">
        <f t="shared" ref="V1264:V1269" si="832">"U0034846"</f>
        <v>U0034846</v>
      </c>
      <c r="W1264" s="1">
        <v>1</v>
      </c>
      <c r="Y1264" s="1">
        <v>0</v>
      </c>
      <c r="Z1264" s="1">
        <v>0</v>
      </c>
      <c r="AI1264" s="1" t="str">
        <f t="shared" si="818"/>
        <v>F10</v>
      </c>
      <c r="AJ1264" s="1" t="str">
        <f t="shared" ref="AJ1264:AJ1273" si="833">"UNISEX"</f>
        <v>UNISEX</v>
      </c>
      <c r="AK1264" s="1" t="str">
        <f t="shared" si="810"/>
        <v>PA</v>
      </c>
      <c r="AP1264" s="1" t="str">
        <f t="shared" si="811"/>
        <v>False</v>
      </c>
      <c r="AR1264" s="1" t="str">
        <f t="shared" ref="AR1264:AR1273" si="834">"VAIAN"</f>
        <v>VAIAN</v>
      </c>
      <c r="AY1264" s="1" t="str">
        <f t="shared" si="812"/>
        <v>PF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 t="str">
        <f t="shared" si="816"/>
        <v>TOMAIA GOMMA</v>
      </c>
      <c r="BF1264" s="1" t="str">
        <f t="shared" si="813"/>
        <v>Bonis SpA</v>
      </c>
    </row>
    <row r="1265" spans="2:58" x14ac:dyDescent="0.25">
      <c r="B1265" s="1">
        <v>2470</v>
      </c>
      <c r="C1265" s="1" t="str">
        <f t="shared" si="827"/>
        <v>VAIAN4209S7/G1</v>
      </c>
      <c r="E1265" s="1" t="str">
        <f>"39"</f>
        <v>39</v>
      </c>
      <c r="F1265" s="1" t="str">
        <f t="shared" si="802"/>
        <v>BONIS SPA</v>
      </c>
      <c r="G1265" s="1" t="str">
        <f t="shared" si="828"/>
        <v>STOCK SCAFFALE MP</v>
      </c>
      <c r="H1265" s="1" t="str">
        <f t="shared" si="829"/>
        <v>DKBL</v>
      </c>
      <c r="K1265" s="1">
        <v>7</v>
      </c>
      <c r="L1265" s="1" t="str">
        <f t="shared" si="803"/>
        <v>01</v>
      </c>
      <c r="M1265" s="1" t="str">
        <f t="shared" si="830"/>
        <v>408</v>
      </c>
      <c r="N1265" s="1" t="str">
        <f t="shared" si="823"/>
        <v>005</v>
      </c>
      <c r="O1265" s="1" t="str">
        <f t="shared" si="804"/>
        <v>00</v>
      </c>
      <c r="P1265" s="1" t="str">
        <f t="shared" si="805"/>
        <v>S</v>
      </c>
      <c r="Q1265" s="1" t="str">
        <f t="shared" si="806"/>
        <v>P</v>
      </c>
      <c r="R1265" s="1" t="str">
        <f t="shared" si="807"/>
        <v>01</v>
      </c>
      <c r="S1265" s="1" t="str">
        <f t="shared" si="831"/>
        <v>04</v>
      </c>
      <c r="T1265" s="1" t="str">
        <f t="shared" si="808"/>
        <v>False</v>
      </c>
      <c r="U1265" s="1" t="str">
        <f t="shared" si="809"/>
        <v>True</v>
      </c>
      <c r="V1265" s="1" t="str">
        <f t="shared" si="832"/>
        <v>U0034846</v>
      </c>
      <c r="W1265" s="1">
        <v>1</v>
      </c>
      <c r="Y1265" s="1">
        <v>0</v>
      </c>
      <c r="Z1265" s="1">
        <v>0</v>
      </c>
      <c r="AI1265" s="1" t="str">
        <f t="shared" si="818"/>
        <v>F10</v>
      </c>
      <c r="AJ1265" s="1" t="str">
        <f t="shared" si="833"/>
        <v>UNISEX</v>
      </c>
      <c r="AK1265" s="1" t="str">
        <f t="shared" si="810"/>
        <v>PA</v>
      </c>
      <c r="AP1265" s="1" t="str">
        <f t="shared" si="811"/>
        <v>False</v>
      </c>
      <c r="AR1265" s="1" t="str">
        <f t="shared" si="834"/>
        <v>VAIAN</v>
      </c>
      <c r="AY1265" s="1" t="str">
        <f t="shared" si="812"/>
        <v>PF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 t="str">
        <f t="shared" si="816"/>
        <v>TOMAIA GOMMA</v>
      </c>
      <c r="BF1265" s="1" t="str">
        <f t="shared" si="813"/>
        <v>Bonis SpA</v>
      </c>
    </row>
    <row r="1266" spans="2:58" x14ac:dyDescent="0.25">
      <c r="B1266" s="1">
        <v>2470</v>
      </c>
      <c r="C1266" s="1" t="str">
        <f t="shared" si="827"/>
        <v>VAIAN4209S7/G1</v>
      </c>
      <c r="E1266" s="1" t="str">
        <f>"38"</f>
        <v>38</v>
      </c>
      <c r="F1266" s="1" t="str">
        <f t="shared" si="802"/>
        <v>BONIS SPA</v>
      </c>
      <c r="G1266" s="1" t="str">
        <f t="shared" si="828"/>
        <v>STOCK SCAFFALE MP</v>
      </c>
      <c r="H1266" s="1" t="str">
        <f t="shared" si="829"/>
        <v>DKBL</v>
      </c>
      <c r="K1266" s="1">
        <v>7</v>
      </c>
      <c r="L1266" s="1" t="str">
        <f t="shared" si="803"/>
        <v>01</v>
      </c>
      <c r="M1266" s="1" t="str">
        <f t="shared" si="830"/>
        <v>408</v>
      </c>
      <c r="N1266" s="1" t="str">
        <f t="shared" si="823"/>
        <v>005</v>
      </c>
      <c r="O1266" s="1" t="str">
        <f t="shared" si="804"/>
        <v>00</v>
      </c>
      <c r="P1266" s="1" t="str">
        <f t="shared" si="805"/>
        <v>S</v>
      </c>
      <c r="Q1266" s="1" t="str">
        <f t="shared" si="806"/>
        <v>P</v>
      </c>
      <c r="R1266" s="1" t="str">
        <f t="shared" si="807"/>
        <v>01</v>
      </c>
      <c r="S1266" s="1" t="str">
        <f t="shared" si="831"/>
        <v>04</v>
      </c>
      <c r="T1266" s="1" t="str">
        <f t="shared" si="808"/>
        <v>False</v>
      </c>
      <c r="U1266" s="1" t="str">
        <f t="shared" si="809"/>
        <v>True</v>
      </c>
      <c r="V1266" s="1" t="str">
        <f t="shared" si="832"/>
        <v>U0034846</v>
      </c>
      <c r="W1266" s="1">
        <v>1</v>
      </c>
      <c r="Y1266" s="1">
        <v>0</v>
      </c>
      <c r="Z1266" s="1">
        <v>0</v>
      </c>
      <c r="AI1266" s="1" t="str">
        <f t="shared" si="818"/>
        <v>F10</v>
      </c>
      <c r="AJ1266" s="1" t="str">
        <f t="shared" si="833"/>
        <v>UNISEX</v>
      </c>
      <c r="AK1266" s="1" t="str">
        <f t="shared" si="810"/>
        <v>PA</v>
      </c>
      <c r="AP1266" s="1" t="str">
        <f t="shared" si="811"/>
        <v>False</v>
      </c>
      <c r="AR1266" s="1" t="str">
        <f t="shared" si="834"/>
        <v>VAIAN</v>
      </c>
      <c r="AY1266" s="1" t="str">
        <f t="shared" si="812"/>
        <v>PF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 t="str">
        <f t="shared" si="816"/>
        <v>TOMAIA GOMMA</v>
      </c>
      <c r="BF1266" s="1" t="str">
        <f t="shared" si="813"/>
        <v>Bonis SpA</v>
      </c>
    </row>
    <row r="1267" spans="2:58" x14ac:dyDescent="0.25">
      <c r="B1267" s="1">
        <v>2470</v>
      </c>
      <c r="C1267" s="1" t="str">
        <f t="shared" si="827"/>
        <v>VAIAN4209S7/G1</v>
      </c>
      <c r="E1267" s="1" t="str">
        <f>"40"</f>
        <v>40</v>
      </c>
      <c r="F1267" s="1" t="str">
        <f t="shared" si="802"/>
        <v>BONIS SPA</v>
      </c>
      <c r="G1267" s="1" t="str">
        <f t="shared" si="828"/>
        <v>STOCK SCAFFALE MP</v>
      </c>
      <c r="H1267" s="1" t="str">
        <f t="shared" si="829"/>
        <v>DKBL</v>
      </c>
      <c r="K1267" s="1">
        <v>6</v>
      </c>
      <c r="L1267" s="1" t="str">
        <f t="shared" si="803"/>
        <v>01</v>
      </c>
      <c r="M1267" s="1" t="str">
        <f t="shared" si="830"/>
        <v>408</v>
      </c>
      <c r="N1267" s="1" t="str">
        <f t="shared" si="823"/>
        <v>005</v>
      </c>
      <c r="O1267" s="1" t="str">
        <f t="shared" si="804"/>
        <v>00</v>
      </c>
      <c r="P1267" s="1" t="str">
        <f t="shared" si="805"/>
        <v>S</v>
      </c>
      <c r="Q1267" s="1" t="str">
        <f t="shared" si="806"/>
        <v>P</v>
      </c>
      <c r="R1267" s="1" t="str">
        <f t="shared" si="807"/>
        <v>01</v>
      </c>
      <c r="S1267" s="1" t="str">
        <f t="shared" si="831"/>
        <v>04</v>
      </c>
      <c r="T1267" s="1" t="str">
        <f t="shared" si="808"/>
        <v>False</v>
      </c>
      <c r="U1267" s="1" t="str">
        <f t="shared" si="809"/>
        <v>True</v>
      </c>
      <c r="V1267" s="1" t="str">
        <f t="shared" si="832"/>
        <v>U0034846</v>
      </c>
      <c r="W1267" s="1">
        <v>1</v>
      </c>
      <c r="Y1267" s="1">
        <v>0</v>
      </c>
      <c r="Z1267" s="1">
        <v>0</v>
      </c>
      <c r="AI1267" s="1" t="str">
        <f t="shared" si="818"/>
        <v>F10</v>
      </c>
      <c r="AJ1267" s="1" t="str">
        <f t="shared" si="833"/>
        <v>UNISEX</v>
      </c>
      <c r="AK1267" s="1" t="str">
        <f t="shared" si="810"/>
        <v>PA</v>
      </c>
      <c r="AP1267" s="1" t="str">
        <f t="shared" si="811"/>
        <v>False</v>
      </c>
      <c r="AR1267" s="1" t="str">
        <f t="shared" si="834"/>
        <v>VAIAN</v>
      </c>
      <c r="AY1267" s="1" t="str">
        <f t="shared" si="812"/>
        <v>PF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 t="str">
        <f t="shared" ref="BE1267:BE1298" si="835">"TOMAIA GOMMA"</f>
        <v>TOMAIA GOMMA</v>
      </c>
      <c r="BF1267" s="1" t="str">
        <f t="shared" si="813"/>
        <v>Bonis SpA</v>
      </c>
    </row>
    <row r="1268" spans="2:58" x14ac:dyDescent="0.25">
      <c r="B1268" s="1">
        <v>2470</v>
      </c>
      <c r="C1268" s="1" t="str">
        <f t="shared" si="827"/>
        <v>VAIAN4209S7/G1</v>
      </c>
      <c r="E1268" s="1" t="str">
        <f>"37"</f>
        <v>37</v>
      </c>
      <c r="F1268" s="1" t="str">
        <f t="shared" si="802"/>
        <v>BONIS SPA</v>
      </c>
      <c r="G1268" s="1" t="str">
        <f t="shared" si="828"/>
        <v>STOCK SCAFFALE MP</v>
      </c>
      <c r="H1268" s="1" t="str">
        <f t="shared" si="829"/>
        <v>DKBL</v>
      </c>
      <c r="K1268" s="1">
        <v>5</v>
      </c>
      <c r="L1268" s="1" t="str">
        <f t="shared" si="803"/>
        <v>01</v>
      </c>
      <c r="M1268" s="1" t="str">
        <f t="shared" si="830"/>
        <v>408</v>
      </c>
      <c r="N1268" s="1" t="str">
        <f t="shared" si="823"/>
        <v>005</v>
      </c>
      <c r="O1268" s="1" t="str">
        <f t="shared" si="804"/>
        <v>00</v>
      </c>
      <c r="P1268" s="1" t="str">
        <f t="shared" si="805"/>
        <v>S</v>
      </c>
      <c r="Q1268" s="1" t="str">
        <f t="shared" si="806"/>
        <v>P</v>
      </c>
      <c r="R1268" s="1" t="str">
        <f t="shared" si="807"/>
        <v>01</v>
      </c>
      <c r="S1268" s="1" t="str">
        <f t="shared" si="831"/>
        <v>04</v>
      </c>
      <c r="T1268" s="1" t="str">
        <f t="shared" si="808"/>
        <v>False</v>
      </c>
      <c r="U1268" s="1" t="str">
        <f t="shared" si="809"/>
        <v>True</v>
      </c>
      <c r="V1268" s="1" t="str">
        <f t="shared" si="832"/>
        <v>U0034846</v>
      </c>
      <c r="W1268" s="1">
        <v>1</v>
      </c>
      <c r="Y1268" s="1">
        <v>0</v>
      </c>
      <c r="Z1268" s="1">
        <v>0</v>
      </c>
      <c r="AI1268" s="1" t="str">
        <f t="shared" si="818"/>
        <v>F10</v>
      </c>
      <c r="AJ1268" s="1" t="str">
        <f t="shared" si="833"/>
        <v>UNISEX</v>
      </c>
      <c r="AK1268" s="1" t="str">
        <f t="shared" si="810"/>
        <v>PA</v>
      </c>
      <c r="AP1268" s="1" t="str">
        <f t="shared" si="811"/>
        <v>False</v>
      </c>
      <c r="AR1268" s="1" t="str">
        <f t="shared" si="834"/>
        <v>VAIAN</v>
      </c>
      <c r="AY1268" s="1" t="str">
        <f t="shared" si="812"/>
        <v>PF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 t="str">
        <f t="shared" si="835"/>
        <v>TOMAIA GOMMA</v>
      </c>
      <c r="BF1268" s="1" t="str">
        <f t="shared" si="813"/>
        <v>Bonis SpA</v>
      </c>
    </row>
    <row r="1269" spans="2:58" x14ac:dyDescent="0.25">
      <c r="B1269" s="1">
        <v>2470</v>
      </c>
      <c r="C1269" s="1" t="str">
        <f t="shared" si="827"/>
        <v>VAIAN4209S7/G1</v>
      </c>
      <c r="E1269" s="1" t="str">
        <f>"36"</f>
        <v>36</v>
      </c>
      <c r="F1269" s="1" t="str">
        <f t="shared" si="802"/>
        <v>BONIS SPA</v>
      </c>
      <c r="G1269" s="1" t="str">
        <f t="shared" si="828"/>
        <v>STOCK SCAFFALE MP</v>
      </c>
      <c r="H1269" s="1" t="str">
        <f t="shared" si="829"/>
        <v>DKBL</v>
      </c>
      <c r="K1269" s="1">
        <v>2</v>
      </c>
      <c r="L1269" s="1" t="str">
        <f t="shared" si="803"/>
        <v>01</v>
      </c>
      <c r="M1269" s="1" t="str">
        <f t="shared" si="830"/>
        <v>408</v>
      </c>
      <c r="N1269" s="1" t="str">
        <f t="shared" si="823"/>
        <v>005</v>
      </c>
      <c r="O1269" s="1" t="str">
        <f t="shared" si="804"/>
        <v>00</v>
      </c>
      <c r="P1269" s="1" t="str">
        <f t="shared" si="805"/>
        <v>S</v>
      </c>
      <c r="Q1269" s="1" t="str">
        <f t="shared" si="806"/>
        <v>P</v>
      </c>
      <c r="R1269" s="1" t="str">
        <f t="shared" si="807"/>
        <v>01</v>
      </c>
      <c r="S1269" s="1" t="str">
        <f t="shared" si="831"/>
        <v>04</v>
      </c>
      <c r="T1269" s="1" t="str">
        <f t="shared" si="808"/>
        <v>False</v>
      </c>
      <c r="U1269" s="1" t="str">
        <f t="shared" si="809"/>
        <v>True</v>
      </c>
      <c r="V1269" s="1" t="str">
        <f t="shared" si="832"/>
        <v>U0034846</v>
      </c>
      <c r="W1269" s="1">
        <v>1</v>
      </c>
      <c r="Y1269" s="1">
        <v>0</v>
      </c>
      <c r="Z1269" s="1">
        <v>0</v>
      </c>
      <c r="AI1269" s="1" t="str">
        <f t="shared" si="818"/>
        <v>F10</v>
      </c>
      <c r="AJ1269" s="1" t="str">
        <f t="shared" si="833"/>
        <v>UNISEX</v>
      </c>
      <c r="AK1269" s="1" t="str">
        <f t="shared" si="810"/>
        <v>PA</v>
      </c>
      <c r="AP1269" s="1" t="str">
        <f t="shared" si="811"/>
        <v>False</v>
      </c>
      <c r="AR1269" s="1" t="str">
        <f t="shared" si="834"/>
        <v>VAIAN</v>
      </c>
      <c r="AY1269" s="1" t="str">
        <f t="shared" si="812"/>
        <v>PF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 t="str">
        <f t="shared" si="835"/>
        <v>TOMAIA GOMMA</v>
      </c>
      <c r="BF1269" s="1" t="str">
        <f t="shared" si="813"/>
        <v>Bonis SpA</v>
      </c>
    </row>
    <row r="1270" spans="2:58" x14ac:dyDescent="0.25">
      <c r="B1270" s="1">
        <v>2470</v>
      </c>
      <c r="C1270" s="1" t="str">
        <f t="shared" si="827"/>
        <v>VAIAN4209S7/G1</v>
      </c>
      <c r="E1270" s="1" t="str">
        <f>"38"</f>
        <v>38</v>
      </c>
      <c r="F1270" s="1" t="str">
        <f t="shared" si="802"/>
        <v>BONIS SPA</v>
      </c>
      <c r="G1270" s="1" t="str">
        <f t="shared" si="828"/>
        <v>STOCK SCAFFALE MP</v>
      </c>
      <c r="H1270" s="1" t="str">
        <f t="shared" si="829"/>
        <v>DKBL</v>
      </c>
      <c r="K1270" s="1">
        <v>8</v>
      </c>
      <c r="L1270" s="1" t="str">
        <f t="shared" si="803"/>
        <v>01</v>
      </c>
      <c r="M1270" s="1" t="str">
        <f t="shared" si="830"/>
        <v>408</v>
      </c>
      <c r="N1270" s="1" t="str">
        <f t="shared" si="823"/>
        <v>005</v>
      </c>
      <c r="O1270" s="1" t="str">
        <f t="shared" si="804"/>
        <v>00</v>
      </c>
      <c r="P1270" s="1" t="str">
        <f t="shared" si="805"/>
        <v>S</v>
      </c>
      <c r="Q1270" s="1" t="str">
        <f t="shared" si="806"/>
        <v>P</v>
      </c>
      <c r="R1270" s="1" t="str">
        <f t="shared" si="807"/>
        <v>01</v>
      </c>
      <c r="S1270" s="1" t="str">
        <f t="shared" si="831"/>
        <v>04</v>
      </c>
      <c r="T1270" s="1" t="str">
        <f t="shared" si="808"/>
        <v>False</v>
      </c>
      <c r="U1270" s="1" t="str">
        <f t="shared" si="809"/>
        <v>True</v>
      </c>
      <c r="V1270" s="1" t="str">
        <f t="shared" ref="V1270:V1276" si="836">"U0034847"</f>
        <v>U0034847</v>
      </c>
      <c r="W1270" s="1">
        <v>1</v>
      </c>
      <c r="Y1270" s="1">
        <v>0</v>
      </c>
      <c r="Z1270" s="1">
        <v>0</v>
      </c>
      <c r="AI1270" s="1" t="str">
        <f t="shared" ref="AI1270:AI1301" si="837">"F10"</f>
        <v>F10</v>
      </c>
      <c r="AJ1270" s="1" t="str">
        <f t="shared" si="833"/>
        <v>UNISEX</v>
      </c>
      <c r="AK1270" s="1" t="str">
        <f t="shared" si="810"/>
        <v>PA</v>
      </c>
      <c r="AP1270" s="1" t="str">
        <f t="shared" si="811"/>
        <v>False</v>
      </c>
      <c r="AR1270" s="1" t="str">
        <f t="shared" si="834"/>
        <v>VAIAN</v>
      </c>
      <c r="AY1270" s="1" t="str">
        <f t="shared" si="812"/>
        <v>PF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 t="str">
        <f t="shared" si="835"/>
        <v>TOMAIA GOMMA</v>
      </c>
      <c r="BF1270" s="1" t="str">
        <f t="shared" si="813"/>
        <v>Bonis SpA</v>
      </c>
    </row>
    <row r="1271" spans="2:58" x14ac:dyDescent="0.25">
      <c r="B1271" s="1">
        <v>2470</v>
      </c>
      <c r="C1271" s="1" t="str">
        <f t="shared" si="827"/>
        <v>VAIAN4209S7/G1</v>
      </c>
      <c r="E1271" s="1" t="str">
        <f>"40"</f>
        <v>40</v>
      </c>
      <c r="F1271" s="1" t="str">
        <f t="shared" si="802"/>
        <v>BONIS SPA</v>
      </c>
      <c r="G1271" s="1" t="str">
        <f t="shared" si="828"/>
        <v>STOCK SCAFFALE MP</v>
      </c>
      <c r="H1271" s="1" t="str">
        <f t="shared" si="829"/>
        <v>DKBL</v>
      </c>
      <c r="K1271" s="1">
        <v>5</v>
      </c>
      <c r="L1271" s="1" t="str">
        <f t="shared" si="803"/>
        <v>01</v>
      </c>
      <c r="M1271" s="1" t="str">
        <f t="shared" si="830"/>
        <v>408</v>
      </c>
      <c r="N1271" s="1" t="str">
        <f t="shared" si="823"/>
        <v>005</v>
      </c>
      <c r="O1271" s="1" t="str">
        <f t="shared" si="804"/>
        <v>00</v>
      </c>
      <c r="P1271" s="1" t="str">
        <f t="shared" si="805"/>
        <v>S</v>
      </c>
      <c r="Q1271" s="1" t="str">
        <f t="shared" si="806"/>
        <v>P</v>
      </c>
      <c r="R1271" s="1" t="str">
        <f t="shared" si="807"/>
        <v>01</v>
      </c>
      <c r="S1271" s="1" t="str">
        <f t="shared" si="831"/>
        <v>04</v>
      </c>
      <c r="T1271" s="1" t="str">
        <f t="shared" si="808"/>
        <v>False</v>
      </c>
      <c r="U1271" s="1" t="str">
        <f t="shared" si="809"/>
        <v>True</v>
      </c>
      <c r="V1271" s="1" t="str">
        <f t="shared" si="836"/>
        <v>U0034847</v>
      </c>
      <c r="W1271" s="1">
        <v>1</v>
      </c>
      <c r="Y1271" s="1">
        <v>0</v>
      </c>
      <c r="Z1271" s="1">
        <v>0</v>
      </c>
      <c r="AI1271" s="1" t="str">
        <f t="shared" si="837"/>
        <v>F10</v>
      </c>
      <c r="AJ1271" s="1" t="str">
        <f t="shared" si="833"/>
        <v>UNISEX</v>
      </c>
      <c r="AK1271" s="1" t="str">
        <f t="shared" si="810"/>
        <v>PA</v>
      </c>
      <c r="AP1271" s="1" t="str">
        <f t="shared" si="811"/>
        <v>False</v>
      </c>
      <c r="AR1271" s="1" t="str">
        <f t="shared" si="834"/>
        <v>VAIAN</v>
      </c>
      <c r="AY1271" s="1" t="str">
        <f t="shared" si="812"/>
        <v>PF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 t="str">
        <f t="shared" si="835"/>
        <v>TOMAIA GOMMA</v>
      </c>
      <c r="BF1271" s="1" t="str">
        <f t="shared" si="813"/>
        <v>Bonis SpA</v>
      </c>
    </row>
    <row r="1272" spans="2:58" x14ac:dyDescent="0.25">
      <c r="B1272" s="1">
        <v>2470</v>
      </c>
      <c r="C1272" s="1" t="str">
        <f t="shared" si="827"/>
        <v>VAIAN4209S7/G1</v>
      </c>
      <c r="E1272" s="1" t="str">
        <f>"36"</f>
        <v>36</v>
      </c>
      <c r="F1272" s="1" t="str">
        <f t="shared" si="802"/>
        <v>BONIS SPA</v>
      </c>
      <c r="G1272" s="1" t="str">
        <f t="shared" si="828"/>
        <v>STOCK SCAFFALE MP</v>
      </c>
      <c r="H1272" s="1" t="str">
        <f t="shared" si="829"/>
        <v>DKBL</v>
      </c>
      <c r="K1272" s="1">
        <v>2</v>
      </c>
      <c r="L1272" s="1" t="str">
        <f t="shared" si="803"/>
        <v>01</v>
      </c>
      <c r="M1272" s="1" t="str">
        <f t="shared" si="830"/>
        <v>408</v>
      </c>
      <c r="N1272" s="1" t="str">
        <f t="shared" si="823"/>
        <v>005</v>
      </c>
      <c r="O1272" s="1" t="str">
        <f t="shared" si="804"/>
        <v>00</v>
      </c>
      <c r="P1272" s="1" t="str">
        <f t="shared" si="805"/>
        <v>S</v>
      </c>
      <c r="Q1272" s="1" t="str">
        <f t="shared" si="806"/>
        <v>P</v>
      </c>
      <c r="R1272" s="1" t="str">
        <f t="shared" si="807"/>
        <v>01</v>
      </c>
      <c r="S1272" s="1" t="str">
        <f t="shared" si="831"/>
        <v>04</v>
      </c>
      <c r="T1272" s="1" t="str">
        <f t="shared" si="808"/>
        <v>False</v>
      </c>
      <c r="U1272" s="1" t="str">
        <f t="shared" si="809"/>
        <v>True</v>
      </c>
      <c r="V1272" s="1" t="str">
        <f t="shared" si="836"/>
        <v>U0034847</v>
      </c>
      <c r="W1272" s="1">
        <v>1</v>
      </c>
      <c r="Y1272" s="1">
        <v>0</v>
      </c>
      <c r="Z1272" s="1">
        <v>0</v>
      </c>
      <c r="AI1272" s="1" t="str">
        <f t="shared" si="837"/>
        <v>F10</v>
      </c>
      <c r="AJ1272" s="1" t="str">
        <f t="shared" si="833"/>
        <v>UNISEX</v>
      </c>
      <c r="AK1272" s="1" t="str">
        <f t="shared" si="810"/>
        <v>PA</v>
      </c>
      <c r="AP1272" s="1" t="str">
        <f t="shared" si="811"/>
        <v>False</v>
      </c>
      <c r="AR1272" s="1" t="str">
        <f t="shared" si="834"/>
        <v>VAIAN</v>
      </c>
      <c r="AY1272" s="1" t="str">
        <f t="shared" si="812"/>
        <v>PF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 t="str">
        <f t="shared" si="835"/>
        <v>TOMAIA GOMMA</v>
      </c>
      <c r="BF1272" s="1" t="str">
        <f t="shared" si="813"/>
        <v>Bonis SpA</v>
      </c>
    </row>
    <row r="1273" spans="2:58" x14ac:dyDescent="0.25">
      <c r="B1273" s="1">
        <v>2470</v>
      </c>
      <c r="C1273" s="1" t="str">
        <f t="shared" si="827"/>
        <v>VAIAN4209S7/G1</v>
      </c>
      <c r="E1273" s="1" t="str">
        <f>"37"</f>
        <v>37</v>
      </c>
      <c r="F1273" s="1" t="str">
        <f t="shared" si="802"/>
        <v>BONIS SPA</v>
      </c>
      <c r="G1273" s="1" t="str">
        <f t="shared" si="828"/>
        <v>STOCK SCAFFALE MP</v>
      </c>
      <c r="H1273" s="1" t="str">
        <f t="shared" si="829"/>
        <v>DKBL</v>
      </c>
      <c r="K1273" s="1">
        <v>5</v>
      </c>
      <c r="L1273" s="1" t="str">
        <f t="shared" si="803"/>
        <v>01</v>
      </c>
      <c r="M1273" s="1" t="str">
        <f t="shared" si="830"/>
        <v>408</v>
      </c>
      <c r="N1273" s="1" t="str">
        <f t="shared" si="823"/>
        <v>005</v>
      </c>
      <c r="O1273" s="1" t="str">
        <f t="shared" si="804"/>
        <v>00</v>
      </c>
      <c r="P1273" s="1" t="str">
        <f t="shared" si="805"/>
        <v>S</v>
      </c>
      <c r="Q1273" s="1" t="str">
        <f t="shared" si="806"/>
        <v>P</v>
      </c>
      <c r="R1273" s="1" t="str">
        <f t="shared" si="807"/>
        <v>01</v>
      </c>
      <c r="S1273" s="1" t="str">
        <f t="shared" si="831"/>
        <v>04</v>
      </c>
      <c r="T1273" s="1" t="str">
        <f t="shared" si="808"/>
        <v>False</v>
      </c>
      <c r="U1273" s="1" t="str">
        <f t="shared" si="809"/>
        <v>True</v>
      </c>
      <c r="V1273" s="1" t="str">
        <f t="shared" si="836"/>
        <v>U0034847</v>
      </c>
      <c r="W1273" s="1">
        <v>1</v>
      </c>
      <c r="Y1273" s="1">
        <v>0</v>
      </c>
      <c r="Z1273" s="1">
        <v>0</v>
      </c>
      <c r="AI1273" s="1" t="str">
        <f t="shared" si="837"/>
        <v>F10</v>
      </c>
      <c r="AJ1273" s="1" t="str">
        <f t="shared" si="833"/>
        <v>UNISEX</v>
      </c>
      <c r="AK1273" s="1" t="str">
        <f t="shared" si="810"/>
        <v>PA</v>
      </c>
      <c r="AP1273" s="1" t="str">
        <f t="shared" si="811"/>
        <v>False</v>
      </c>
      <c r="AR1273" s="1" t="str">
        <f t="shared" si="834"/>
        <v>VAIAN</v>
      </c>
      <c r="AY1273" s="1" t="str">
        <f t="shared" si="812"/>
        <v>PF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 t="str">
        <f t="shared" si="835"/>
        <v>TOMAIA GOMMA</v>
      </c>
      <c r="BF1273" s="1" t="str">
        <f t="shared" si="813"/>
        <v>Bonis SpA</v>
      </c>
    </row>
    <row r="1274" spans="2:58" x14ac:dyDescent="0.25">
      <c r="B1274" s="1">
        <v>2470</v>
      </c>
      <c r="C1274" s="1" t="str">
        <f>"VAIAK4119S7/G1"</f>
        <v>VAIAK4119S7/G1</v>
      </c>
      <c r="E1274" s="1" t="str">
        <f>"39"</f>
        <v>39</v>
      </c>
      <c r="F1274" s="1" t="str">
        <f t="shared" si="802"/>
        <v>BONIS SPA</v>
      </c>
      <c r="G1274" s="1" t="str">
        <f t="shared" si="828"/>
        <v>STOCK SCAFFALE MP</v>
      </c>
      <c r="H1274" s="1" t="str">
        <f t="shared" si="829"/>
        <v>DKBL</v>
      </c>
      <c r="K1274" s="1">
        <v>1</v>
      </c>
      <c r="L1274" s="1" t="str">
        <f t="shared" si="803"/>
        <v>01</v>
      </c>
      <c r="M1274" s="1" t="str">
        <f t="shared" si="830"/>
        <v>408</v>
      </c>
      <c r="N1274" s="1" t="str">
        <f t="shared" si="823"/>
        <v>005</v>
      </c>
      <c r="O1274" s="1" t="str">
        <f t="shared" si="804"/>
        <v>00</v>
      </c>
      <c r="P1274" s="1" t="str">
        <f t="shared" si="805"/>
        <v>S</v>
      </c>
      <c r="Q1274" s="1" t="str">
        <f t="shared" si="806"/>
        <v>P</v>
      </c>
      <c r="R1274" s="1" t="str">
        <f t="shared" si="807"/>
        <v>01</v>
      </c>
      <c r="S1274" s="1" t="str">
        <f t="shared" si="831"/>
        <v>04</v>
      </c>
      <c r="T1274" s="1" t="str">
        <f t="shared" si="808"/>
        <v>False</v>
      </c>
      <c r="U1274" s="1" t="str">
        <f t="shared" si="809"/>
        <v>True</v>
      </c>
      <c r="V1274" s="1" t="str">
        <f t="shared" si="836"/>
        <v>U0034847</v>
      </c>
      <c r="W1274" s="1">
        <v>1</v>
      </c>
      <c r="Y1274" s="1">
        <v>0</v>
      </c>
      <c r="Z1274" s="1">
        <v>0</v>
      </c>
      <c r="AI1274" s="1" t="str">
        <f t="shared" si="837"/>
        <v>F10</v>
      </c>
      <c r="AJ1274" s="1" t="str">
        <f>"KID"</f>
        <v>KID</v>
      </c>
      <c r="AK1274" s="1" t="str">
        <f t="shared" si="810"/>
        <v>PA</v>
      </c>
      <c r="AP1274" s="1" t="str">
        <f t="shared" si="811"/>
        <v>False</v>
      </c>
      <c r="AR1274" s="1" t="str">
        <f>"VAIAK"</f>
        <v>VAIAK</v>
      </c>
      <c r="AY1274" s="1" t="str">
        <f t="shared" si="812"/>
        <v>PF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 t="str">
        <f t="shared" si="835"/>
        <v>TOMAIA GOMMA</v>
      </c>
      <c r="BF1274" s="1" t="str">
        <f t="shared" si="813"/>
        <v>Bonis SpA</v>
      </c>
    </row>
    <row r="1275" spans="2:58" x14ac:dyDescent="0.25">
      <c r="B1275" s="1">
        <v>2470</v>
      </c>
      <c r="C1275" s="1" t="str">
        <f t="shared" ref="C1275:C1306" si="838">"VAIAN4209S7/G1"</f>
        <v>VAIAN4209S7/G1</v>
      </c>
      <c r="E1275" s="1" t="str">
        <f>"39"</f>
        <v>39</v>
      </c>
      <c r="F1275" s="1" t="str">
        <f t="shared" si="802"/>
        <v>BONIS SPA</v>
      </c>
      <c r="G1275" s="1" t="str">
        <f t="shared" si="828"/>
        <v>STOCK SCAFFALE MP</v>
      </c>
      <c r="H1275" s="1" t="str">
        <f t="shared" si="829"/>
        <v>DKBL</v>
      </c>
      <c r="K1275" s="1">
        <v>4</v>
      </c>
      <c r="L1275" s="1" t="str">
        <f t="shared" si="803"/>
        <v>01</v>
      </c>
      <c r="M1275" s="1" t="str">
        <f t="shared" si="830"/>
        <v>408</v>
      </c>
      <c r="N1275" s="1" t="str">
        <f t="shared" si="823"/>
        <v>005</v>
      </c>
      <c r="O1275" s="1" t="str">
        <f t="shared" si="804"/>
        <v>00</v>
      </c>
      <c r="P1275" s="1" t="str">
        <f t="shared" si="805"/>
        <v>S</v>
      </c>
      <c r="Q1275" s="1" t="str">
        <f t="shared" si="806"/>
        <v>P</v>
      </c>
      <c r="R1275" s="1" t="str">
        <f t="shared" si="807"/>
        <v>01</v>
      </c>
      <c r="S1275" s="1" t="str">
        <f t="shared" si="831"/>
        <v>04</v>
      </c>
      <c r="T1275" s="1" t="str">
        <f t="shared" si="808"/>
        <v>False</v>
      </c>
      <c r="U1275" s="1" t="str">
        <f t="shared" si="809"/>
        <v>True</v>
      </c>
      <c r="V1275" s="1" t="str">
        <f t="shared" si="836"/>
        <v>U0034847</v>
      </c>
      <c r="W1275" s="1">
        <v>1</v>
      </c>
      <c r="Y1275" s="1">
        <v>0</v>
      </c>
      <c r="Z1275" s="1">
        <v>0</v>
      </c>
      <c r="AI1275" s="1" t="str">
        <f t="shared" si="837"/>
        <v>F10</v>
      </c>
      <c r="AJ1275" s="1" t="str">
        <f t="shared" ref="AJ1275:AJ1306" si="839">"UNISEX"</f>
        <v>UNISEX</v>
      </c>
      <c r="AK1275" s="1" t="str">
        <f t="shared" si="810"/>
        <v>PA</v>
      </c>
      <c r="AP1275" s="1" t="str">
        <f t="shared" si="811"/>
        <v>False</v>
      </c>
      <c r="AR1275" s="1" t="str">
        <f t="shared" ref="AR1275:AR1306" si="840">"VAIAN"</f>
        <v>VAIAN</v>
      </c>
      <c r="AY1275" s="1" t="str">
        <f t="shared" si="812"/>
        <v>PF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 t="str">
        <f t="shared" si="835"/>
        <v>TOMAIA GOMMA</v>
      </c>
      <c r="BF1275" s="1" t="str">
        <f t="shared" si="813"/>
        <v>Bonis SpA</v>
      </c>
    </row>
    <row r="1276" spans="2:58" x14ac:dyDescent="0.25">
      <c r="B1276" s="1">
        <v>2470</v>
      </c>
      <c r="C1276" s="1" t="str">
        <f t="shared" si="838"/>
        <v>VAIAN4209S7/G1</v>
      </c>
      <c r="E1276" s="1" t="str">
        <f>"41"</f>
        <v>41</v>
      </c>
      <c r="F1276" s="1" t="str">
        <f t="shared" si="802"/>
        <v>BONIS SPA</v>
      </c>
      <c r="G1276" s="1" t="str">
        <f t="shared" si="828"/>
        <v>STOCK SCAFFALE MP</v>
      </c>
      <c r="H1276" s="1" t="str">
        <f t="shared" si="829"/>
        <v>DKBL</v>
      </c>
      <c r="K1276" s="1">
        <v>3</v>
      </c>
      <c r="L1276" s="1" t="str">
        <f t="shared" si="803"/>
        <v>01</v>
      </c>
      <c r="M1276" s="1" t="str">
        <f t="shared" si="830"/>
        <v>408</v>
      </c>
      <c r="N1276" s="1" t="str">
        <f t="shared" si="823"/>
        <v>005</v>
      </c>
      <c r="O1276" s="1" t="str">
        <f t="shared" si="804"/>
        <v>00</v>
      </c>
      <c r="P1276" s="1" t="str">
        <f t="shared" si="805"/>
        <v>S</v>
      </c>
      <c r="Q1276" s="1" t="str">
        <f t="shared" si="806"/>
        <v>P</v>
      </c>
      <c r="R1276" s="1" t="str">
        <f t="shared" si="807"/>
        <v>01</v>
      </c>
      <c r="S1276" s="1" t="str">
        <f t="shared" si="831"/>
        <v>04</v>
      </c>
      <c r="T1276" s="1" t="str">
        <f t="shared" si="808"/>
        <v>False</v>
      </c>
      <c r="U1276" s="1" t="str">
        <f t="shared" si="809"/>
        <v>True</v>
      </c>
      <c r="V1276" s="1" t="str">
        <f t="shared" si="836"/>
        <v>U0034847</v>
      </c>
      <c r="W1276" s="1">
        <v>1</v>
      </c>
      <c r="Y1276" s="1">
        <v>0</v>
      </c>
      <c r="Z1276" s="1">
        <v>0</v>
      </c>
      <c r="AI1276" s="1" t="str">
        <f t="shared" si="837"/>
        <v>F10</v>
      </c>
      <c r="AJ1276" s="1" t="str">
        <f t="shared" si="839"/>
        <v>UNISEX</v>
      </c>
      <c r="AK1276" s="1" t="str">
        <f t="shared" si="810"/>
        <v>PA</v>
      </c>
      <c r="AP1276" s="1" t="str">
        <f t="shared" si="811"/>
        <v>False</v>
      </c>
      <c r="AR1276" s="1" t="str">
        <f t="shared" si="840"/>
        <v>VAIAN</v>
      </c>
      <c r="AY1276" s="1" t="str">
        <f t="shared" si="812"/>
        <v>PF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 t="str">
        <f t="shared" si="835"/>
        <v>TOMAIA GOMMA</v>
      </c>
      <c r="BF1276" s="1" t="str">
        <f t="shared" si="813"/>
        <v>Bonis SpA</v>
      </c>
    </row>
    <row r="1277" spans="2:58" x14ac:dyDescent="0.25">
      <c r="B1277" s="1">
        <v>2470</v>
      </c>
      <c r="C1277" s="1" t="str">
        <f t="shared" si="838"/>
        <v>VAIAN4209S7/G1</v>
      </c>
      <c r="E1277" s="1" t="str">
        <f>"40"</f>
        <v>40</v>
      </c>
      <c r="F1277" s="1" t="str">
        <f t="shared" si="802"/>
        <v>BONIS SPA</v>
      </c>
      <c r="G1277" s="1" t="str">
        <f t="shared" si="828"/>
        <v>STOCK SCAFFALE MP</v>
      </c>
      <c r="H1277" s="1" t="str">
        <f t="shared" si="829"/>
        <v>DKBL</v>
      </c>
      <c r="K1277" s="1">
        <v>4</v>
      </c>
      <c r="L1277" s="1" t="str">
        <f t="shared" si="803"/>
        <v>01</v>
      </c>
      <c r="M1277" s="1" t="str">
        <f t="shared" si="830"/>
        <v>408</v>
      </c>
      <c r="N1277" s="1" t="str">
        <f t="shared" si="823"/>
        <v>005</v>
      </c>
      <c r="O1277" s="1" t="str">
        <f t="shared" si="804"/>
        <v>00</v>
      </c>
      <c r="P1277" s="1" t="str">
        <f t="shared" si="805"/>
        <v>S</v>
      </c>
      <c r="Q1277" s="1" t="str">
        <f t="shared" si="806"/>
        <v>P</v>
      </c>
      <c r="R1277" s="1" t="str">
        <f t="shared" si="807"/>
        <v>01</v>
      </c>
      <c r="S1277" s="1" t="str">
        <f t="shared" si="831"/>
        <v>04</v>
      </c>
      <c r="T1277" s="1" t="str">
        <f t="shared" si="808"/>
        <v>False</v>
      </c>
      <c r="U1277" s="1" t="str">
        <f t="shared" si="809"/>
        <v>True</v>
      </c>
      <c r="V1277" s="1" t="str">
        <f t="shared" ref="V1277:V1282" si="841">"U0034848"</f>
        <v>U0034848</v>
      </c>
      <c r="W1277" s="1">
        <v>1</v>
      </c>
      <c r="Y1277" s="1">
        <v>0</v>
      </c>
      <c r="Z1277" s="1">
        <v>0</v>
      </c>
      <c r="AI1277" s="1" t="str">
        <f t="shared" si="837"/>
        <v>F10</v>
      </c>
      <c r="AJ1277" s="1" t="str">
        <f t="shared" si="839"/>
        <v>UNISEX</v>
      </c>
      <c r="AK1277" s="1" t="str">
        <f t="shared" si="810"/>
        <v>PA</v>
      </c>
      <c r="AP1277" s="1" t="str">
        <f t="shared" si="811"/>
        <v>False</v>
      </c>
      <c r="AR1277" s="1" t="str">
        <f t="shared" si="840"/>
        <v>VAIAN</v>
      </c>
      <c r="AY1277" s="1" t="str">
        <f t="shared" si="812"/>
        <v>PF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 t="str">
        <f t="shared" si="835"/>
        <v>TOMAIA GOMMA</v>
      </c>
      <c r="BF1277" s="1" t="str">
        <f t="shared" si="813"/>
        <v>Bonis SpA</v>
      </c>
    </row>
    <row r="1278" spans="2:58" x14ac:dyDescent="0.25">
      <c r="B1278" s="1">
        <v>2470</v>
      </c>
      <c r="C1278" s="1" t="str">
        <f t="shared" si="838"/>
        <v>VAIAN4209S7/G1</v>
      </c>
      <c r="E1278" s="1" t="str">
        <f>"41"</f>
        <v>41</v>
      </c>
      <c r="F1278" s="1" t="str">
        <f t="shared" si="802"/>
        <v>BONIS SPA</v>
      </c>
      <c r="G1278" s="1" t="str">
        <f t="shared" si="828"/>
        <v>STOCK SCAFFALE MP</v>
      </c>
      <c r="H1278" s="1" t="str">
        <f t="shared" si="829"/>
        <v>DKBL</v>
      </c>
      <c r="K1278" s="1">
        <v>2</v>
      </c>
      <c r="L1278" s="1" t="str">
        <f t="shared" si="803"/>
        <v>01</v>
      </c>
      <c r="M1278" s="1" t="str">
        <f t="shared" si="830"/>
        <v>408</v>
      </c>
      <c r="N1278" s="1" t="str">
        <f t="shared" si="823"/>
        <v>005</v>
      </c>
      <c r="O1278" s="1" t="str">
        <f t="shared" si="804"/>
        <v>00</v>
      </c>
      <c r="P1278" s="1" t="str">
        <f t="shared" si="805"/>
        <v>S</v>
      </c>
      <c r="Q1278" s="1" t="str">
        <f t="shared" si="806"/>
        <v>P</v>
      </c>
      <c r="R1278" s="1" t="str">
        <f t="shared" si="807"/>
        <v>01</v>
      </c>
      <c r="S1278" s="1" t="str">
        <f t="shared" si="831"/>
        <v>04</v>
      </c>
      <c r="T1278" s="1" t="str">
        <f t="shared" si="808"/>
        <v>False</v>
      </c>
      <c r="U1278" s="1" t="str">
        <f t="shared" si="809"/>
        <v>True</v>
      </c>
      <c r="V1278" s="1" t="str">
        <f t="shared" si="841"/>
        <v>U0034848</v>
      </c>
      <c r="W1278" s="1">
        <v>1</v>
      </c>
      <c r="Y1278" s="1">
        <v>0</v>
      </c>
      <c r="Z1278" s="1">
        <v>0</v>
      </c>
      <c r="AI1278" s="1" t="str">
        <f t="shared" si="837"/>
        <v>F10</v>
      </c>
      <c r="AJ1278" s="1" t="str">
        <f t="shared" si="839"/>
        <v>UNISEX</v>
      </c>
      <c r="AK1278" s="1" t="str">
        <f t="shared" si="810"/>
        <v>PA</v>
      </c>
      <c r="AP1278" s="1" t="str">
        <f t="shared" si="811"/>
        <v>False</v>
      </c>
      <c r="AR1278" s="1" t="str">
        <f t="shared" si="840"/>
        <v>VAIAN</v>
      </c>
      <c r="AY1278" s="1" t="str">
        <f t="shared" si="812"/>
        <v>PF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 t="str">
        <f t="shared" si="835"/>
        <v>TOMAIA GOMMA</v>
      </c>
      <c r="BF1278" s="1" t="str">
        <f t="shared" si="813"/>
        <v>Bonis SpA</v>
      </c>
    </row>
    <row r="1279" spans="2:58" x14ac:dyDescent="0.25">
      <c r="B1279" s="1">
        <v>2470</v>
      </c>
      <c r="C1279" s="1" t="str">
        <f t="shared" si="838"/>
        <v>VAIAN4209S7/G1</v>
      </c>
      <c r="E1279" s="1" t="str">
        <f>"37"</f>
        <v>37</v>
      </c>
      <c r="F1279" s="1" t="str">
        <f t="shared" si="802"/>
        <v>BONIS SPA</v>
      </c>
      <c r="G1279" s="1" t="str">
        <f t="shared" si="828"/>
        <v>STOCK SCAFFALE MP</v>
      </c>
      <c r="H1279" s="1" t="str">
        <f t="shared" si="829"/>
        <v>DKBL</v>
      </c>
      <c r="K1279" s="1">
        <v>4</v>
      </c>
      <c r="L1279" s="1" t="str">
        <f t="shared" si="803"/>
        <v>01</v>
      </c>
      <c r="M1279" s="1" t="str">
        <f t="shared" si="830"/>
        <v>408</v>
      </c>
      <c r="N1279" s="1" t="str">
        <f t="shared" ref="N1279:N1315" si="842">"005"</f>
        <v>005</v>
      </c>
      <c r="O1279" s="1" t="str">
        <f t="shared" si="804"/>
        <v>00</v>
      </c>
      <c r="P1279" s="1" t="str">
        <f t="shared" si="805"/>
        <v>S</v>
      </c>
      <c r="Q1279" s="1" t="str">
        <f t="shared" si="806"/>
        <v>P</v>
      </c>
      <c r="R1279" s="1" t="str">
        <f t="shared" si="807"/>
        <v>01</v>
      </c>
      <c r="S1279" s="1" t="str">
        <f t="shared" si="831"/>
        <v>04</v>
      </c>
      <c r="T1279" s="1" t="str">
        <f t="shared" si="808"/>
        <v>False</v>
      </c>
      <c r="U1279" s="1" t="str">
        <f t="shared" si="809"/>
        <v>True</v>
      </c>
      <c r="V1279" s="1" t="str">
        <f t="shared" si="841"/>
        <v>U0034848</v>
      </c>
      <c r="W1279" s="1">
        <v>1</v>
      </c>
      <c r="Y1279" s="1">
        <v>0</v>
      </c>
      <c r="Z1279" s="1">
        <v>0</v>
      </c>
      <c r="AI1279" s="1" t="str">
        <f t="shared" si="837"/>
        <v>F10</v>
      </c>
      <c r="AJ1279" s="1" t="str">
        <f t="shared" si="839"/>
        <v>UNISEX</v>
      </c>
      <c r="AK1279" s="1" t="str">
        <f t="shared" si="810"/>
        <v>PA</v>
      </c>
      <c r="AP1279" s="1" t="str">
        <f t="shared" si="811"/>
        <v>False</v>
      </c>
      <c r="AR1279" s="1" t="str">
        <f t="shared" si="840"/>
        <v>VAIAN</v>
      </c>
      <c r="AY1279" s="1" t="str">
        <f t="shared" si="812"/>
        <v>PF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 t="str">
        <f t="shared" si="835"/>
        <v>TOMAIA GOMMA</v>
      </c>
      <c r="BF1279" s="1" t="str">
        <f t="shared" si="813"/>
        <v>Bonis SpA</v>
      </c>
    </row>
    <row r="1280" spans="2:58" x14ac:dyDescent="0.25">
      <c r="B1280" s="1">
        <v>2470</v>
      </c>
      <c r="C1280" s="1" t="str">
        <f t="shared" si="838"/>
        <v>VAIAN4209S7/G1</v>
      </c>
      <c r="E1280" s="1" t="str">
        <f>"39"</f>
        <v>39</v>
      </c>
      <c r="F1280" s="1" t="str">
        <f t="shared" si="802"/>
        <v>BONIS SPA</v>
      </c>
      <c r="G1280" s="1" t="str">
        <f t="shared" si="828"/>
        <v>STOCK SCAFFALE MP</v>
      </c>
      <c r="H1280" s="1" t="str">
        <f t="shared" si="829"/>
        <v>DKBL</v>
      </c>
      <c r="K1280" s="1">
        <v>7</v>
      </c>
      <c r="L1280" s="1" t="str">
        <f t="shared" si="803"/>
        <v>01</v>
      </c>
      <c r="M1280" s="1" t="str">
        <f t="shared" si="830"/>
        <v>408</v>
      </c>
      <c r="N1280" s="1" t="str">
        <f t="shared" si="842"/>
        <v>005</v>
      </c>
      <c r="O1280" s="1" t="str">
        <f t="shared" si="804"/>
        <v>00</v>
      </c>
      <c r="P1280" s="1" t="str">
        <f t="shared" si="805"/>
        <v>S</v>
      </c>
      <c r="Q1280" s="1" t="str">
        <f t="shared" si="806"/>
        <v>P</v>
      </c>
      <c r="R1280" s="1" t="str">
        <f t="shared" si="807"/>
        <v>01</v>
      </c>
      <c r="S1280" s="1" t="str">
        <f t="shared" si="831"/>
        <v>04</v>
      </c>
      <c r="T1280" s="1" t="str">
        <f t="shared" si="808"/>
        <v>False</v>
      </c>
      <c r="U1280" s="1" t="str">
        <f t="shared" si="809"/>
        <v>True</v>
      </c>
      <c r="V1280" s="1" t="str">
        <f t="shared" si="841"/>
        <v>U0034848</v>
      </c>
      <c r="W1280" s="1">
        <v>1</v>
      </c>
      <c r="Y1280" s="1">
        <v>0</v>
      </c>
      <c r="Z1280" s="1">
        <v>0</v>
      </c>
      <c r="AI1280" s="1" t="str">
        <f t="shared" si="837"/>
        <v>F10</v>
      </c>
      <c r="AJ1280" s="1" t="str">
        <f t="shared" si="839"/>
        <v>UNISEX</v>
      </c>
      <c r="AK1280" s="1" t="str">
        <f t="shared" si="810"/>
        <v>PA</v>
      </c>
      <c r="AP1280" s="1" t="str">
        <f t="shared" si="811"/>
        <v>False</v>
      </c>
      <c r="AR1280" s="1" t="str">
        <f t="shared" si="840"/>
        <v>VAIAN</v>
      </c>
      <c r="AY1280" s="1" t="str">
        <f t="shared" si="812"/>
        <v>PF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 t="str">
        <f t="shared" si="835"/>
        <v>TOMAIA GOMMA</v>
      </c>
      <c r="BF1280" s="1" t="str">
        <f t="shared" si="813"/>
        <v>Bonis SpA</v>
      </c>
    </row>
    <row r="1281" spans="2:58" x14ac:dyDescent="0.25">
      <c r="B1281" s="1">
        <v>2470</v>
      </c>
      <c r="C1281" s="1" t="str">
        <f t="shared" si="838"/>
        <v>VAIAN4209S7/G1</v>
      </c>
      <c r="E1281" s="1" t="str">
        <f>"38"</f>
        <v>38</v>
      </c>
      <c r="F1281" s="1" t="str">
        <f t="shared" si="802"/>
        <v>BONIS SPA</v>
      </c>
      <c r="G1281" s="1" t="str">
        <f t="shared" si="828"/>
        <v>STOCK SCAFFALE MP</v>
      </c>
      <c r="H1281" s="1" t="str">
        <f t="shared" si="829"/>
        <v>DKBL</v>
      </c>
      <c r="K1281" s="1">
        <v>7</v>
      </c>
      <c r="L1281" s="1" t="str">
        <f t="shared" si="803"/>
        <v>01</v>
      </c>
      <c r="M1281" s="1" t="str">
        <f t="shared" si="830"/>
        <v>408</v>
      </c>
      <c r="N1281" s="1" t="str">
        <f t="shared" si="842"/>
        <v>005</v>
      </c>
      <c r="O1281" s="1" t="str">
        <f t="shared" si="804"/>
        <v>00</v>
      </c>
      <c r="P1281" s="1" t="str">
        <f t="shared" si="805"/>
        <v>S</v>
      </c>
      <c r="Q1281" s="1" t="str">
        <f t="shared" si="806"/>
        <v>P</v>
      </c>
      <c r="R1281" s="1" t="str">
        <f t="shared" si="807"/>
        <v>01</v>
      </c>
      <c r="S1281" s="1" t="str">
        <f t="shared" si="831"/>
        <v>04</v>
      </c>
      <c r="T1281" s="1" t="str">
        <f t="shared" si="808"/>
        <v>False</v>
      </c>
      <c r="U1281" s="1" t="str">
        <f t="shared" si="809"/>
        <v>True</v>
      </c>
      <c r="V1281" s="1" t="str">
        <f t="shared" si="841"/>
        <v>U0034848</v>
      </c>
      <c r="W1281" s="1">
        <v>1</v>
      </c>
      <c r="Y1281" s="1">
        <v>0</v>
      </c>
      <c r="Z1281" s="1">
        <v>0</v>
      </c>
      <c r="AI1281" s="1" t="str">
        <f t="shared" si="837"/>
        <v>F10</v>
      </c>
      <c r="AJ1281" s="1" t="str">
        <f t="shared" si="839"/>
        <v>UNISEX</v>
      </c>
      <c r="AK1281" s="1" t="str">
        <f t="shared" si="810"/>
        <v>PA</v>
      </c>
      <c r="AP1281" s="1" t="str">
        <f t="shared" si="811"/>
        <v>False</v>
      </c>
      <c r="AR1281" s="1" t="str">
        <f t="shared" si="840"/>
        <v>VAIAN</v>
      </c>
      <c r="AY1281" s="1" t="str">
        <f t="shared" si="812"/>
        <v>PF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 t="str">
        <f t="shared" si="835"/>
        <v>TOMAIA GOMMA</v>
      </c>
      <c r="BF1281" s="1" t="str">
        <f t="shared" si="813"/>
        <v>Bonis SpA</v>
      </c>
    </row>
    <row r="1282" spans="2:58" x14ac:dyDescent="0.25">
      <c r="B1282" s="1">
        <v>2470</v>
      </c>
      <c r="C1282" s="1" t="str">
        <f t="shared" si="838"/>
        <v>VAIAN4209S7/G1</v>
      </c>
      <c r="E1282" s="1" t="str">
        <f>"36"</f>
        <v>36</v>
      </c>
      <c r="F1282" s="1" t="str">
        <f t="shared" ref="F1282:F1345" si="843">"BONIS SPA"</f>
        <v>BONIS SPA</v>
      </c>
      <c r="G1282" s="1" t="str">
        <f t="shared" si="828"/>
        <v>STOCK SCAFFALE MP</v>
      </c>
      <c r="H1282" s="1" t="str">
        <f t="shared" si="829"/>
        <v>DKBL</v>
      </c>
      <c r="K1282" s="1">
        <v>2</v>
      </c>
      <c r="L1282" s="1" t="str">
        <f t="shared" ref="L1282:L1345" si="844">"01"</f>
        <v>01</v>
      </c>
      <c r="M1282" s="1" t="str">
        <f t="shared" si="830"/>
        <v>408</v>
      </c>
      <c r="N1282" s="1" t="str">
        <f t="shared" si="842"/>
        <v>005</v>
      </c>
      <c r="O1282" s="1" t="str">
        <f t="shared" ref="O1282:O1345" si="845">"00"</f>
        <v>00</v>
      </c>
      <c r="P1282" s="1" t="str">
        <f t="shared" ref="P1282:P1345" si="846">"S"</f>
        <v>S</v>
      </c>
      <c r="Q1282" s="1" t="str">
        <f t="shared" ref="Q1282:Q1345" si="847">"P"</f>
        <v>P</v>
      </c>
      <c r="R1282" s="1" t="str">
        <f t="shared" ref="R1282:R1345" si="848">"01"</f>
        <v>01</v>
      </c>
      <c r="S1282" s="1" t="str">
        <f t="shared" si="831"/>
        <v>04</v>
      </c>
      <c r="T1282" s="1" t="str">
        <f t="shared" ref="T1282:T1345" si="849">"False"</f>
        <v>False</v>
      </c>
      <c r="U1282" s="1" t="str">
        <f t="shared" ref="U1282:U1345" si="850">"True"</f>
        <v>True</v>
      </c>
      <c r="V1282" s="1" t="str">
        <f t="shared" si="841"/>
        <v>U0034848</v>
      </c>
      <c r="W1282" s="1">
        <v>1</v>
      </c>
      <c r="Y1282" s="1">
        <v>0</v>
      </c>
      <c r="Z1282" s="1">
        <v>0</v>
      </c>
      <c r="AI1282" s="1" t="str">
        <f t="shared" si="837"/>
        <v>F10</v>
      </c>
      <c r="AJ1282" s="1" t="str">
        <f t="shared" si="839"/>
        <v>UNISEX</v>
      </c>
      <c r="AK1282" s="1" t="str">
        <f t="shared" ref="AK1282:AK1345" si="851">"PA"</f>
        <v>PA</v>
      </c>
      <c r="AP1282" s="1" t="str">
        <f t="shared" ref="AP1282:AP1345" si="852">"False"</f>
        <v>False</v>
      </c>
      <c r="AR1282" s="1" t="str">
        <f t="shared" si="840"/>
        <v>VAIAN</v>
      </c>
      <c r="AY1282" s="1" t="str">
        <f t="shared" ref="AY1282:AY1345" si="853">"PF"</f>
        <v>PF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 t="str">
        <f t="shared" si="835"/>
        <v>TOMAIA GOMMA</v>
      </c>
      <c r="BF1282" s="1" t="str">
        <f t="shared" ref="BF1282:BF1345" si="854">"Bonis SpA"</f>
        <v>Bonis SpA</v>
      </c>
    </row>
    <row r="1283" spans="2:58" x14ac:dyDescent="0.25">
      <c r="B1283" s="1">
        <v>2470</v>
      </c>
      <c r="C1283" s="1" t="str">
        <f t="shared" si="838"/>
        <v>VAIAN4209S7/G1</v>
      </c>
      <c r="E1283" s="1" t="str">
        <f>"38"</f>
        <v>38</v>
      </c>
      <c r="F1283" s="1" t="str">
        <f t="shared" si="843"/>
        <v>BONIS SPA</v>
      </c>
      <c r="G1283" s="1" t="str">
        <f t="shared" si="828"/>
        <v>STOCK SCAFFALE MP</v>
      </c>
      <c r="H1283" s="1" t="str">
        <f t="shared" si="829"/>
        <v>DKBL</v>
      </c>
      <c r="K1283" s="1">
        <v>7</v>
      </c>
      <c r="L1283" s="1" t="str">
        <f t="shared" si="844"/>
        <v>01</v>
      </c>
      <c r="M1283" s="1" t="str">
        <f t="shared" si="830"/>
        <v>408</v>
      </c>
      <c r="N1283" s="1" t="str">
        <f t="shared" si="842"/>
        <v>005</v>
      </c>
      <c r="O1283" s="1" t="str">
        <f t="shared" si="845"/>
        <v>00</v>
      </c>
      <c r="P1283" s="1" t="str">
        <f t="shared" si="846"/>
        <v>S</v>
      </c>
      <c r="Q1283" s="1" t="str">
        <f t="shared" si="847"/>
        <v>P</v>
      </c>
      <c r="R1283" s="1" t="str">
        <f t="shared" si="848"/>
        <v>01</v>
      </c>
      <c r="S1283" s="1" t="str">
        <f t="shared" si="831"/>
        <v>04</v>
      </c>
      <c r="T1283" s="1" t="str">
        <f t="shared" si="849"/>
        <v>False</v>
      </c>
      <c r="U1283" s="1" t="str">
        <f t="shared" si="850"/>
        <v>True</v>
      </c>
      <c r="V1283" s="1" t="str">
        <f t="shared" ref="V1283:V1288" si="855">"U0034849"</f>
        <v>U0034849</v>
      </c>
      <c r="W1283" s="1">
        <v>1</v>
      </c>
      <c r="Y1283" s="1">
        <v>0</v>
      </c>
      <c r="Z1283" s="1">
        <v>0</v>
      </c>
      <c r="AI1283" s="1" t="str">
        <f t="shared" si="837"/>
        <v>F10</v>
      </c>
      <c r="AJ1283" s="1" t="str">
        <f t="shared" si="839"/>
        <v>UNISEX</v>
      </c>
      <c r="AK1283" s="1" t="str">
        <f t="shared" si="851"/>
        <v>PA</v>
      </c>
      <c r="AP1283" s="1" t="str">
        <f t="shared" si="852"/>
        <v>False</v>
      </c>
      <c r="AR1283" s="1" t="str">
        <f t="shared" si="840"/>
        <v>VAIAN</v>
      </c>
      <c r="AY1283" s="1" t="str">
        <f t="shared" si="853"/>
        <v>PF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 t="str">
        <f t="shared" si="835"/>
        <v>TOMAIA GOMMA</v>
      </c>
      <c r="BF1283" s="1" t="str">
        <f t="shared" si="854"/>
        <v>Bonis SpA</v>
      </c>
    </row>
    <row r="1284" spans="2:58" x14ac:dyDescent="0.25">
      <c r="B1284" s="1">
        <v>2470</v>
      </c>
      <c r="C1284" s="1" t="str">
        <f t="shared" si="838"/>
        <v>VAIAN4209S7/G1</v>
      </c>
      <c r="E1284" s="1" t="str">
        <f>"40"</f>
        <v>40</v>
      </c>
      <c r="F1284" s="1" t="str">
        <f t="shared" si="843"/>
        <v>BONIS SPA</v>
      </c>
      <c r="G1284" s="1" t="str">
        <f t="shared" si="828"/>
        <v>STOCK SCAFFALE MP</v>
      </c>
      <c r="H1284" s="1" t="str">
        <f t="shared" si="829"/>
        <v>DKBL</v>
      </c>
      <c r="K1284" s="1">
        <v>4</v>
      </c>
      <c r="L1284" s="1" t="str">
        <f t="shared" si="844"/>
        <v>01</v>
      </c>
      <c r="M1284" s="1" t="str">
        <f t="shared" si="830"/>
        <v>408</v>
      </c>
      <c r="N1284" s="1" t="str">
        <f t="shared" si="842"/>
        <v>005</v>
      </c>
      <c r="O1284" s="1" t="str">
        <f t="shared" si="845"/>
        <v>00</v>
      </c>
      <c r="P1284" s="1" t="str">
        <f t="shared" si="846"/>
        <v>S</v>
      </c>
      <c r="Q1284" s="1" t="str">
        <f t="shared" si="847"/>
        <v>P</v>
      </c>
      <c r="R1284" s="1" t="str">
        <f t="shared" si="848"/>
        <v>01</v>
      </c>
      <c r="S1284" s="1" t="str">
        <f t="shared" si="831"/>
        <v>04</v>
      </c>
      <c r="T1284" s="1" t="str">
        <f t="shared" si="849"/>
        <v>False</v>
      </c>
      <c r="U1284" s="1" t="str">
        <f t="shared" si="850"/>
        <v>True</v>
      </c>
      <c r="V1284" s="1" t="str">
        <f t="shared" si="855"/>
        <v>U0034849</v>
      </c>
      <c r="W1284" s="1">
        <v>1</v>
      </c>
      <c r="Y1284" s="1">
        <v>0</v>
      </c>
      <c r="Z1284" s="1">
        <v>0</v>
      </c>
      <c r="AI1284" s="1" t="str">
        <f t="shared" si="837"/>
        <v>F10</v>
      </c>
      <c r="AJ1284" s="1" t="str">
        <f t="shared" si="839"/>
        <v>UNISEX</v>
      </c>
      <c r="AK1284" s="1" t="str">
        <f t="shared" si="851"/>
        <v>PA</v>
      </c>
      <c r="AP1284" s="1" t="str">
        <f t="shared" si="852"/>
        <v>False</v>
      </c>
      <c r="AR1284" s="1" t="str">
        <f t="shared" si="840"/>
        <v>VAIAN</v>
      </c>
      <c r="AY1284" s="1" t="str">
        <f t="shared" si="853"/>
        <v>PF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 t="str">
        <f t="shared" si="835"/>
        <v>TOMAIA GOMMA</v>
      </c>
      <c r="BF1284" s="1" t="str">
        <f t="shared" si="854"/>
        <v>Bonis SpA</v>
      </c>
    </row>
    <row r="1285" spans="2:58" x14ac:dyDescent="0.25">
      <c r="B1285" s="1">
        <v>2470</v>
      </c>
      <c r="C1285" s="1" t="str">
        <f t="shared" si="838"/>
        <v>VAIAN4209S7/G1</v>
      </c>
      <c r="E1285" s="1" t="str">
        <f>"37"</f>
        <v>37</v>
      </c>
      <c r="F1285" s="1" t="str">
        <f t="shared" si="843"/>
        <v>BONIS SPA</v>
      </c>
      <c r="G1285" s="1" t="str">
        <f t="shared" si="828"/>
        <v>STOCK SCAFFALE MP</v>
      </c>
      <c r="H1285" s="1" t="str">
        <f t="shared" si="829"/>
        <v>DKBL</v>
      </c>
      <c r="K1285" s="1">
        <v>4</v>
      </c>
      <c r="L1285" s="1" t="str">
        <f t="shared" si="844"/>
        <v>01</v>
      </c>
      <c r="M1285" s="1" t="str">
        <f t="shared" si="830"/>
        <v>408</v>
      </c>
      <c r="N1285" s="1" t="str">
        <f t="shared" si="842"/>
        <v>005</v>
      </c>
      <c r="O1285" s="1" t="str">
        <f t="shared" si="845"/>
        <v>00</v>
      </c>
      <c r="P1285" s="1" t="str">
        <f t="shared" si="846"/>
        <v>S</v>
      </c>
      <c r="Q1285" s="1" t="str">
        <f t="shared" si="847"/>
        <v>P</v>
      </c>
      <c r="R1285" s="1" t="str">
        <f t="shared" si="848"/>
        <v>01</v>
      </c>
      <c r="S1285" s="1" t="str">
        <f t="shared" si="831"/>
        <v>04</v>
      </c>
      <c r="T1285" s="1" t="str">
        <f t="shared" si="849"/>
        <v>False</v>
      </c>
      <c r="U1285" s="1" t="str">
        <f t="shared" si="850"/>
        <v>True</v>
      </c>
      <c r="V1285" s="1" t="str">
        <f t="shared" si="855"/>
        <v>U0034849</v>
      </c>
      <c r="W1285" s="1">
        <v>1</v>
      </c>
      <c r="Y1285" s="1">
        <v>0</v>
      </c>
      <c r="Z1285" s="1">
        <v>0</v>
      </c>
      <c r="AI1285" s="1" t="str">
        <f t="shared" si="837"/>
        <v>F10</v>
      </c>
      <c r="AJ1285" s="1" t="str">
        <f t="shared" si="839"/>
        <v>UNISEX</v>
      </c>
      <c r="AK1285" s="1" t="str">
        <f t="shared" si="851"/>
        <v>PA</v>
      </c>
      <c r="AP1285" s="1" t="str">
        <f t="shared" si="852"/>
        <v>False</v>
      </c>
      <c r="AR1285" s="1" t="str">
        <f t="shared" si="840"/>
        <v>VAIAN</v>
      </c>
      <c r="AY1285" s="1" t="str">
        <f t="shared" si="853"/>
        <v>PF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 t="str">
        <f t="shared" si="835"/>
        <v>TOMAIA GOMMA</v>
      </c>
      <c r="BF1285" s="1" t="str">
        <f t="shared" si="854"/>
        <v>Bonis SpA</v>
      </c>
    </row>
    <row r="1286" spans="2:58" x14ac:dyDescent="0.25">
      <c r="B1286" s="1">
        <v>2470</v>
      </c>
      <c r="C1286" s="1" t="str">
        <f t="shared" si="838"/>
        <v>VAIAN4209S7/G1</v>
      </c>
      <c r="E1286" s="1" t="str">
        <f>"39"</f>
        <v>39</v>
      </c>
      <c r="F1286" s="1" t="str">
        <f t="shared" si="843"/>
        <v>BONIS SPA</v>
      </c>
      <c r="G1286" s="1" t="str">
        <f t="shared" si="828"/>
        <v>STOCK SCAFFALE MP</v>
      </c>
      <c r="H1286" s="1" t="str">
        <f t="shared" si="829"/>
        <v>DKBL</v>
      </c>
      <c r="K1286" s="1">
        <v>7</v>
      </c>
      <c r="L1286" s="1" t="str">
        <f t="shared" si="844"/>
        <v>01</v>
      </c>
      <c r="M1286" s="1" t="str">
        <f t="shared" si="830"/>
        <v>408</v>
      </c>
      <c r="N1286" s="1" t="str">
        <f t="shared" si="842"/>
        <v>005</v>
      </c>
      <c r="O1286" s="1" t="str">
        <f t="shared" si="845"/>
        <v>00</v>
      </c>
      <c r="P1286" s="1" t="str">
        <f t="shared" si="846"/>
        <v>S</v>
      </c>
      <c r="Q1286" s="1" t="str">
        <f t="shared" si="847"/>
        <v>P</v>
      </c>
      <c r="R1286" s="1" t="str">
        <f t="shared" si="848"/>
        <v>01</v>
      </c>
      <c r="S1286" s="1" t="str">
        <f t="shared" si="831"/>
        <v>04</v>
      </c>
      <c r="T1286" s="1" t="str">
        <f t="shared" si="849"/>
        <v>False</v>
      </c>
      <c r="U1286" s="1" t="str">
        <f t="shared" si="850"/>
        <v>True</v>
      </c>
      <c r="V1286" s="1" t="str">
        <f t="shared" si="855"/>
        <v>U0034849</v>
      </c>
      <c r="W1286" s="1">
        <v>1</v>
      </c>
      <c r="Y1286" s="1">
        <v>0</v>
      </c>
      <c r="Z1286" s="1">
        <v>0</v>
      </c>
      <c r="AI1286" s="1" t="str">
        <f t="shared" si="837"/>
        <v>F10</v>
      </c>
      <c r="AJ1286" s="1" t="str">
        <f t="shared" si="839"/>
        <v>UNISEX</v>
      </c>
      <c r="AK1286" s="1" t="str">
        <f t="shared" si="851"/>
        <v>PA</v>
      </c>
      <c r="AP1286" s="1" t="str">
        <f t="shared" si="852"/>
        <v>False</v>
      </c>
      <c r="AR1286" s="1" t="str">
        <f t="shared" si="840"/>
        <v>VAIAN</v>
      </c>
      <c r="AY1286" s="1" t="str">
        <f t="shared" si="853"/>
        <v>PF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 t="str">
        <f t="shared" si="835"/>
        <v>TOMAIA GOMMA</v>
      </c>
      <c r="BF1286" s="1" t="str">
        <f t="shared" si="854"/>
        <v>Bonis SpA</v>
      </c>
    </row>
    <row r="1287" spans="2:58" x14ac:dyDescent="0.25">
      <c r="B1287" s="1">
        <v>2470</v>
      </c>
      <c r="C1287" s="1" t="str">
        <f t="shared" si="838"/>
        <v>VAIAN4209S7/G1</v>
      </c>
      <c r="E1287" s="1" t="str">
        <f>"36"</f>
        <v>36</v>
      </c>
      <c r="F1287" s="1" t="str">
        <f t="shared" si="843"/>
        <v>BONIS SPA</v>
      </c>
      <c r="G1287" s="1" t="str">
        <f t="shared" si="828"/>
        <v>STOCK SCAFFALE MP</v>
      </c>
      <c r="H1287" s="1" t="str">
        <f t="shared" si="829"/>
        <v>DKBL</v>
      </c>
      <c r="K1287" s="1">
        <v>2</v>
      </c>
      <c r="L1287" s="1" t="str">
        <f t="shared" si="844"/>
        <v>01</v>
      </c>
      <c r="M1287" s="1" t="str">
        <f t="shared" si="830"/>
        <v>408</v>
      </c>
      <c r="N1287" s="1" t="str">
        <f t="shared" si="842"/>
        <v>005</v>
      </c>
      <c r="O1287" s="1" t="str">
        <f t="shared" si="845"/>
        <v>00</v>
      </c>
      <c r="P1287" s="1" t="str">
        <f t="shared" si="846"/>
        <v>S</v>
      </c>
      <c r="Q1287" s="1" t="str">
        <f t="shared" si="847"/>
        <v>P</v>
      </c>
      <c r="R1287" s="1" t="str">
        <f t="shared" si="848"/>
        <v>01</v>
      </c>
      <c r="S1287" s="1" t="str">
        <f t="shared" si="831"/>
        <v>04</v>
      </c>
      <c r="T1287" s="1" t="str">
        <f t="shared" si="849"/>
        <v>False</v>
      </c>
      <c r="U1287" s="1" t="str">
        <f t="shared" si="850"/>
        <v>True</v>
      </c>
      <c r="V1287" s="1" t="str">
        <f t="shared" si="855"/>
        <v>U0034849</v>
      </c>
      <c r="W1287" s="1">
        <v>1</v>
      </c>
      <c r="Y1287" s="1">
        <v>0</v>
      </c>
      <c r="Z1287" s="1">
        <v>0</v>
      </c>
      <c r="AI1287" s="1" t="str">
        <f t="shared" si="837"/>
        <v>F10</v>
      </c>
      <c r="AJ1287" s="1" t="str">
        <f t="shared" si="839"/>
        <v>UNISEX</v>
      </c>
      <c r="AK1287" s="1" t="str">
        <f t="shared" si="851"/>
        <v>PA</v>
      </c>
      <c r="AP1287" s="1" t="str">
        <f t="shared" si="852"/>
        <v>False</v>
      </c>
      <c r="AR1287" s="1" t="str">
        <f t="shared" si="840"/>
        <v>VAIAN</v>
      </c>
      <c r="AY1287" s="1" t="str">
        <f t="shared" si="853"/>
        <v>PF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 t="str">
        <f t="shared" si="835"/>
        <v>TOMAIA GOMMA</v>
      </c>
      <c r="BF1287" s="1" t="str">
        <f t="shared" si="854"/>
        <v>Bonis SpA</v>
      </c>
    </row>
    <row r="1288" spans="2:58" x14ac:dyDescent="0.25">
      <c r="B1288" s="1">
        <v>2470</v>
      </c>
      <c r="C1288" s="1" t="str">
        <f t="shared" si="838"/>
        <v>VAIAN4209S7/G1</v>
      </c>
      <c r="E1288" s="1" t="str">
        <f>"41"</f>
        <v>41</v>
      </c>
      <c r="F1288" s="1" t="str">
        <f t="shared" si="843"/>
        <v>BONIS SPA</v>
      </c>
      <c r="G1288" s="1" t="str">
        <f t="shared" si="828"/>
        <v>STOCK SCAFFALE MP</v>
      </c>
      <c r="H1288" s="1" t="str">
        <f t="shared" si="829"/>
        <v>DKBL</v>
      </c>
      <c r="K1288" s="1">
        <v>1</v>
      </c>
      <c r="L1288" s="1" t="str">
        <f t="shared" si="844"/>
        <v>01</v>
      </c>
      <c r="M1288" s="1" t="str">
        <f t="shared" si="830"/>
        <v>408</v>
      </c>
      <c r="N1288" s="1" t="str">
        <f t="shared" si="842"/>
        <v>005</v>
      </c>
      <c r="O1288" s="1" t="str">
        <f t="shared" si="845"/>
        <v>00</v>
      </c>
      <c r="P1288" s="1" t="str">
        <f t="shared" si="846"/>
        <v>S</v>
      </c>
      <c r="Q1288" s="1" t="str">
        <f t="shared" si="847"/>
        <v>P</v>
      </c>
      <c r="R1288" s="1" t="str">
        <f t="shared" si="848"/>
        <v>01</v>
      </c>
      <c r="S1288" s="1" t="str">
        <f t="shared" si="831"/>
        <v>04</v>
      </c>
      <c r="T1288" s="1" t="str">
        <f t="shared" si="849"/>
        <v>False</v>
      </c>
      <c r="U1288" s="1" t="str">
        <f t="shared" si="850"/>
        <v>True</v>
      </c>
      <c r="V1288" s="1" t="str">
        <f t="shared" si="855"/>
        <v>U0034849</v>
      </c>
      <c r="W1288" s="1">
        <v>1</v>
      </c>
      <c r="Y1288" s="1">
        <v>0</v>
      </c>
      <c r="Z1288" s="1">
        <v>0</v>
      </c>
      <c r="AI1288" s="1" t="str">
        <f t="shared" si="837"/>
        <v>F10</v>
      </c>
      <c r="AJ1288" s="1" t="str">
        <f t="shared" si="839"/>
        <v>UNISEX</v>
      </c>
      <c r="AK1288" s="1" t="str">
        <f t="shared" si="851"/>
        <v>PA</v>
      </c>
      <c r="AP1288" s="1" t="str">
        <f t="shared" si="852"/>
        <v>False</v>
      </c>
      <c r="AR1288" s="1" t="str">
        <f t="shared" si="840"/>
        <v>VAIAN</v>
      </c>
      <c r="AY1288" s="1" t="str">
        <f t="shared" si="853"/>
        <v>PF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 t="str">
        <f t="shared" si="835"/>
        <v>TOMAIA GOMMA</v>
      </c>
      <c r="BF1288" s="1" t="str">
        <f t="shared" si="854"/>
        <v>Bonis SpA</v>
      </c>
    </row>
    <row r="1289" spans="2:58" x14ac:dyDescent="0.25">
      <c r="B1289" s="1">
        <v>2470</v>
      </c>
      <c r="C1289" s="1" t="str">
        <f t="shared" si="838"/>
        <v>VAIAN4209S7/G1</v>
      </c>
      <c r="E1289" s="1" t="str">
        <f>"36"</f>
        <v>36</v>
      </c>
      <c r="F1289" s="1" t="str">
        <f t="shared" si="843"/>
        <v>BONIS SPA</v>
      </c>
      <c r="G1289" s="1" t="str">
        <f t="shared" si="828"/>
        <v>STOCK SCAFFALE MP</v>
      </c>
      <c r="H1289" s="1" t="str">
        <f t="shared" si="829"/>
        <v>DKBL</v>
      </c>
      <c r="K1289" s="1">
        <v>2</v>
      </c>
      <c r="L1289" s="1" t="str">
        <f t="shared" si="844"/>
        <v>01</v>
      </c>
      <c r="M1289" s="1" t="str">
        <f t="shared" si="830"/>
        <v>408</v>
      </c>
      <c r="N1289" s="1" t="str">
        <f t="shared" si="842"/>
        <v>005</v>
      </c>
      <c r="O1289" s="1" t="str">
        <f t="shared" si="845"/>
        <v>00</v>
      </c>
      <c r="P1289" s="1" t="str">
        <f t="shared" si="846"/>
        <v>S</v>
      </c>
      <c r="Q1289" s="1" t="str">
        <f t="shared" si="847"/>
        <v>P</v>
      </c>
      <c r="R1289" s="1" t="str">
        <f t="shared" si="848"/>
        <v>01</v>
      </c>
      <c r="S1289" s="1" t="str">
        <f t="shared" si="831"/>
        <v>04</v>
      </c>
      <c r="T1289" s="1" t="str">
        <f t="shared" si="849"/>
        <v>False</v>
      </c>
      <c r="U1289" s="1" t="str">
        <f t="shared" si="850"/>
        <v>True</v>
      </c>
      <c r="V1289" s="1" t="str">
        <f>"U0034850"</f>
        <v>U0034850</v>
      </c>
      <c r="W1289" s="1">
        <v>1</v>
      </c>
      <c r="Y1289" s="1">
        <v>0</v>
      </c>
      <c r="Z1289" s="1">
        <v>0</v>
      </c>
      <c r="AI1289" s="1" t="str">
        <f t="shared" si="837"/>
        <v>F10</v>
      </c>
      <c r="AJ1289" s="1" t="str">
        <f t="shared" si="839"/>
        <v>UNISEX</v>
      </c>
      <c r="AK1289" s="1" t="str">
        <f t="shared" si="851"/>
        <v>PA</v>
      </c>
      <c r="AP1289" s="1" t="str">
        <f t="shared" si="852"/>
        <v>False</v>
      </c>
      <c r="AR1289" s="1" t="str">
        <f t="shared" si="840"/>
        <v>VAIAN</v>
      </c>
      <c r="AY1289" s="1" t="str">
        <f t="shared" si="853"/>
        <v>PF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 t="str">
        <f t="shared" si="835"/>
        <v>TOMAIA GOMMA</v>
      </c>
      <c r="BF1289" s="1" t="str">
        <f t="shared" si="854"/>
        <v>Bonis SpA</v>
      </c>
    </row>
    <row r="1290" spans="2:58" x14ac:dyDescent="0.25">
      <c r="B1290" s="1">
        <v>2470</v>
      </c>
      <c r="C1290" s="1" t="str">
        <f t="shared" si="838"/>
        <v>VAIAN4209S7/G1</v>
      </c>
      <c r="E1290" s="1" t="str">
        <f>"40"</f>
        <v>40</v>
      </c>
      <c r="F1290" s="1" t="str">
        <f t="shared" si="843"/>
        <v>BONIS SPA</v>
      </c>
      <c r="G1290" s="1" t="str">
        <f t="shared" si="828"/>
        <v>STOCK SCAFFALE MP</v>
      </c>
      <c r="H1290" s="1" t="str">
        <f t="shared" si="829"/>
        <v>DKBL</v>
      </c>
      <c r="K1290" s="1">
        <v>3</v>
      </c>
      <c r="L1290" s="1" t="str">
        <f t="shared" si="844"/>
        <v>01</v>
      </c>
      <c r="M1290" s="1" t="str">
        <f t="shared" si="830"/>
        <v>408</v>
      </c>
      <c r="N1290" s="1" t="str">
        <f t="shared" si="842"/>
        <v>005</v>
      </c>
      <c r="O1290" s="1" t="str">
        <f t="shared" si="845"/>
        <v>00</v>
      </c>
      <c r="P1290" s="1" t="str">
        <f t="shared" si="846"/>
        <v>S</v>
      </c>
      <c r="Q1290" s="1" t="str">
        <f t="shared" si="847"/>
        <v>P</v>
      </c>
      <c r="R1290" s="1" t="str">
        <f t="shared" si="848"/>
        <v>01</v>
      </c>
      <c r="S1290" s="1" t="str">
        <f t="shared" si="831"/>
        <v>04</v>
      </c>
      <c r="T1290" s="1" t="str">
        <f t="shared" si="849"/>
        <v>False</v>
      </c>
      <c r="U1290" s="1" t="str">
        <f t="shared" si="850"/>
        <v>True</v>
      </c>
      <c r="V1290" s="1" t="str">
        <f>"U0034850"</f>
        <v>U0034850</v>
      </c>
      <c r="W1290" s="1">
        <v>1</v>
      </c>
      <c r="Y1290" s="1">
        <v>0</v>
      </c>
      <c r="Z1290" s="1">
        <v>0</v>
      </c>
      <c r="AI1290" s="1" t="str">
        <f t="shared" si="837"/>
        <v>F10</v>
      </c>
      <c r="AJ1290" s="1" t="str">
        <f t="shared" si="839"/>
        <v>UNISEX</v>
      </c>
      <c r="AK1290" s="1" t="str">
        <f t="shared" si="851"/>
        <v>PA</v>
      </c>
      <c r="AP1290" s="1" t="str">
        <f t="shared" si="852"/>
        <v>False</v>
      </c>
      <c r="AR1290" s="1" t="str">
        <f t="shared" si="840"/>
        <v>VAIAN</v>
      </c>
      <c r="AY1290" s="1" t="str">
        <f t="shared" si="853"/>
        <v>PF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 t="str">
        <f t="shared" si="835"/>
        <v>TOMAIA GOMMA</v>
      </c>
      <c r="BF1290" s="1" t="str">
        <f t="shared" si="854"/>
        <v>Bonis SpA</v>
      </c>
    </row>
    <row r="1291" spans="2:58" x14ac:dyDescent="0.25">
      <c r="B1291" s="1">
        <v>2470</v>
      </c>
      <c r="C1291" s="1" t="str">
        <f t="shared" si="838"/>
        <v>VAIAN4209S7/G1</v>
      </c>
      <c r="E1291" s="1" t="str">
        <f>"38"</f>
        <v>38</v>
      </c>
      <c r="F1291" s="1" t="str">
        <f t="shared" si="843"/>
        <v>BONIS SPA</v>
      </c>
      <c r="G1291" s="1" t="str">
        <f t="shared" si="828"/>
        <v>STOCK SCAFFALE MP</v>
      </c>
      <c r="H1291" s="1" t="str">
        <f t="shared" si="829"/>
        <v>DKBL</v>
      </c>
      <c r="K1291" s="1">
        <v>6</v>
      </c>
      <c r="L1291" s="1" t="str">
        <f t="shared" si="844"/>
        <v>01</v>
      </c>
      <c r="M1291" s="1" t="str">
        <f t="shared" si="830"/>
        <v>408</v>
      </c>
      <c r="N1291" s="1" t="str">
        <f t="shared" si="842"/>
        <v>005</v>
      </c>
      <c r="O1291" s="1" t="str">
        <f t="shared" si="845"/>
        <v>00</v>
      </c>
      <c r="P1291" s="1" t="str">
        <f t="shared" si="846"/>
        <v>S</v>
      </c>
      <c r="Q1291" s="1" t="str">
        <f t="shared" si="847"/>
        <v>P</v>
      </c>
      <c r="R1291" s="1" t="str">
        <f t="shared" si="848"/>
        <v>01</v>
      </c>
      <c r="S1291" s="1" t="str">
        <f t="shared" si="831"/>
        <v>04</v>
      </c>
      <c r="T1291" s="1" t="str">
        <f t="shared" si="849"/>
        <v>False</v>
      </c>
      <c r="U1291" s="1" t="str">
        <f t="shared" si="850"/>
        <v>True</v>
      </c>
      <c r="V1291" s="1" t="str">
        <f>"U0034850"</f>
        <v>U0034850</v>
      </c>
      <c r="W1291" s="1">
        <v>1</v>
      </c>
      <c r="Y1291" s="1">
        <v>0</v>
      </c>
      <c r="Z1291" s="1">
        <v>0</v>
      </c>
      <c r="AI1291" s="1" t="str">
        <f t="shared" si="837"/>
        <v>F10</v>
      </c>
      <c r="AJ1291" s="1" t="str">
        <f t="shared" si="839"/>
        <v>UNISEX</v>
      </c>
      <c r="AK1291" s="1" t="str">
        <f t="shared" si="851"/>
        <v>PA</v>
      </c>
      <c r="AP1291" s="1" t="str">
        <f t="shared" si="852"/>
        <v>False</v>
      </c>
      <c r="AR1291" s="1" t="str">
        <f t="shared" si="840"/>
        <v>VAIAN</v>
      </c>
      <c r="AY1291" s="1" t="str">
        <f t="shared" si="853"/>
        <v>PF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 t="str">
        <f t="shared" si="835"/>
        <v>TOMAIA GOMMA</v>
      </c>
      <c r="BF1291" s="1" t="str">
        <f t="shared" si="854"/>
        <v>Bonis SpA</v>
      </c>
    </row>
    <row r="1292" spans="2:58" x14ac:dyDescent="0.25">
      <c r="B1292" s="1">
        <v>2470</v>
      </c>
      <c r="C1292" s="1" t="str">
        <f t="shared" si="838"/>
        <v>VAIAN4209S7/G1</v>
      </c>
      <c r="E1292" s="1" t="str">
        <f>"37"</f>
        <v>37</v>
      </c>
      <c r="F1292" s="1" t="str">
        <f t="shared" si="843"/>
        <v>BONIS SPA</v>
      </c>
      <c r="G1292" s="1" t="str">
        <f t="shared" si="828"/>
        <v>STOCK SCAFFALE MP</v>
      </c>
      <c r="H1292" s="1" t="str">
        <f t="shared" si="829"/>
        <v>DKBL</v>
      </c>
      <c r="K1292" s="1">
        <v>3</v>
      </c>
      <c r="L1292" s="1" t="str">
        <f t="shared" si="844"/>
        <v>01</v>
      </c>
      <c r="M1292" s="1" t="str">
        <f t="shared" si="830"/>
        <v>408</v>
      </c>
      <c r="N1292" s="1" t="str">
        <f t="shared" si="842"/>
        <v>005</v>
      </c>
      <c r="O1292" s="1" t="str">
        <f t="shared" si="845"/>
        <v>00</v>
      </c>
      <c r="P1292" s="1" t="str">
        <f t="shared" si="846"/>
        <v>S</v>
      </c>
      <c r="Q1292" s="1" t="str">
        <f t="shared" si="847"/>
        <v>P</v>
      </c>
      <c r="R1292" s="1" t="str">
        <f t="shared" si="848"/>
        <v>01</v>
      </c>
      <c r="S1292" s="1" t="str">
        <f t="shared" si="831"/>
        <v>04</v>
      </c>
      <c r="T1292" s="1" t="str">
        <f t="shared" si="849"/>
        <v>False</v>
      </c>
      <c r="U1292" s="1" t="str">
        <f t="shared" si="850"/>
        <v>True</v>
      </c>
      <c r="V1292" s="1" t="str">
        <f>"U0034850"</f>
        <v>U0034850</v>
      </c>
      <c r="W1292" s="1">
        <v>1</v>
      </c>
      <c r="Y1292" s="1">
        <v>0</v>
      </c>
      <c r="Z1292" s="1">
        <v>0</v>
      </c>
      <c r="AI1292" s="1" t="str">
        <f t="shared" si="837"/>
        <v>F10</v>
      </c>
      <c r="AJ1292" s="1" t="str">
        <f t="shared" si="839"/>
        <v>UNISEX</v>
      </c>
      <c r="AK1292" s="1" t="str">
        <f t="shared" si="851"/>
        <v>PA</v>
      </c>
      <c r="AP1292" s="1" t="str">
        <f t="shared" si="852"/>
        <v>False</v>
      </c>
      <c r="AR1292" s="1" t="str">
        <f t="shared" si="840"/>
        <v>VAIAN</v>
      </c>
      <c r="AY1292" s="1" t="str">
        <f t="shared" si="853"/>
        <v>PF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 t="str">
        <f t="shared" si="835"/>
        <v>TOMAIA GOMMA</v>
      </c>
      <c r="BF1292" s="1" t="str">
        <f t="shared" si="854"/>
        <v>Bonis SpA</v>
      </c>
    </row>
    <row r="1293" spans="2:58" x14ac:dyDescent="0.25">
      <c r="B1293" s="1">
        <v>2470</v>
      </c>
      <c r="C1293" s="1" t="str">
        <f t="shared" si="838"/>
        <v>VAIAN4209S7/G1</v>
      </c>
      <c r="E1293" s="1" t="str">
        <f>"39"</f>
        <v>39</v>
      </c>
      <c r="F1293" s="1" t="str">
        <f t="shared" si="843"/>
        <v>BONIS SPA</v>
      </c>
      <c r="G1293" s="1" t="str">
        <f t="shared" si="828"/>
        <v>STOCK SCAFFALE MP</v>
      </c>
      <c r="H1293" s="1" t="str">
        <f t="shared" si="829"/>
        <v>DKBL</v>
      </c>
      <c r="K1293" s="1">
        <v>5</v>
      </c>
      <c r="L1293" s="1" t="str">
        <f t="shared" si="844"/>
        <v>01</v>
      </c>
      <c r="M1293" s="1" t="str">
        <f t="shared" si="830"/>
        <v>408</v>
      </c>
      <c r="N1293" s="1" t="str">
        <f t="shared" si="842"/>
        <v>005</v>
      </c>
      <c r="O1293" s="1" t="str">
        <f t="shared" si="845"/>
        <v>00</v>
      </c>
      <c r="P1293" s="1" t="str">
        <f t="shared" si="846"/>
        <v>S</v>
      </c>
      <c r="Q1293" s="1" t="str">
        <f t="shared" si="847"/>
        <v>P</v>
      </c>
      <c r="R1293" s="1" t="str">
        <f t="shared" si="848"/>
        <v>01</v>
      </c>
      <c r="S1293" s="1" t="str">
        <f t="shared" si="831"/>
        <v>04</v>
      </c>
      <c r="T1293" s="1" t="str">
        <f t="shared" si="849"/>
        <v>False</v>
      </c>
      <c r="U1293" s="1" t="str">
        <f t="shared" si="850"/>
        <v>True</v>
      </c>
      <c r="V1293" s="1" t="str">
        <f>"U0034850"</f>
        <v>U0034850</v>
      </c>
      <c r="W1293" s="1">
        <v>1</v>
      </c>
      <c r="Y1293" s="1">
        <v>0</v>
      </c>
      <c r="Z1293" s="1">
        <v>0</v>
      </c>
      <c r="AI1293" s="1" t="str">
        <f t="shared" si="837"/>
        <v>F10</v>
      </c>
      <c r="AJ1293" s="1" t="str">
        <f t="shared" si="839"/>
        <v>UNISEX</v>
      </c>
      <c r="AK1293" s="1" t="str">
        <f t="shared" si="851"/>
        <v>PA</v>
      </c>
      <c r="AP1293" s="1" t="str">
        <f t="shared" si="852"/>
        <v>False</v>
      </c>
      <c r="AR1293" s="1" t="str">
        <f t="shared" si="840"/>
        <v>VAIAN</v>
      </c>
      <c r="AY1293" s="1" t="str">
        <f t="shared" si="853"/>
        <v>PF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 t="str">
        <f t="shared" si="835"/>
        <v>TOMAIA GOMMA</v>
      </c>
      <c r="BF1293" s="1" t="str">
        <f t="shared" si="854"/>
        <v>Bonis SpA</v>
      </c>
    </row>
    <row r="1294" spans="2:58" x14ac:dyDescent="0.25">
      <c r="B1294" s="1">
        <v>2470</v>
      </c>
      <c r="C1294" s="1" t="str">
        <f t="shared" si="838"/>
        <v>VAIAN4209S7/G1</v>
      </c>
      <c r="E1294" s="1" t="str">
        <f>"39"</f>
        <v>39</v>
      </c>
      <c r="F1294" s="1" t="str">
        <f t="shared" si="843"/>
        <v>BONIS SPA</v>
      </c>
      <c r="G1294" s="1" t="str">
        <f t="shared" si="828"/>
        <v>STOCK SCAFFALE MP</v>
      </c>
      <c r="H1294" s="1" t="str">
        <f t="shared" si="829"/>
        <v>DKBL</v>
      </c>
      <c r="K1294" s="1">
        <v>2</v>
      </c>
      <c r="L1294" s="1" t="str">
        <f t="shared" si="844"/>
        <v>01</v>
      </c>
      <c r="M1294" s="1" t="str">
        <f t="shared" si="830"/>
        <v>408</v>
      </c>
      <c r="N1294" s="1" t="str">
        <f t="shared" si="842"/>
        <v>005</v>
      </c>
      <c r="O1294" s="1" t="str">
        <f t="shared" si="845"/>
        <v>00</v>
      </c>
      <c r="P1294" s="1" t="str">
        <f t="shared" si="846"/>
        <v>S</v>
      </c>
      <c r="Q1294" s="1" t="str">
        <f t="shared" si="847"/>
        <v>P</v>
      </c>
      <c r="R1294" s="1" t="str">
        <f t="shared" si="848"/>
        <v>01</v>
      </c>
      <c r="S1294" s="1" t="str">
        <f t="shared" si="831"/>
        <v>04</v>
      </c>
      <c r="T1294" s="1" t="str">
        <f t="shared" si="849"/>
        <v>False</v>
      </c>
      <c r="U1294" s="1" t="str">
        <f t="shared" si="850"/>
        <v>True</v>
      </c>
      <c r="V1294" s="1" t="str">
        <f>"U0034851"</f>
        <v>U0034851</v>
      </c>
      <c r="W1294" s="1">
        <v>1</v>
      </c>
      <c r="Y1294" s="1">
        <v>0</v>
      </c>
      <c r="Z1294" s="1">
        <v>0</v>
      </c>
      <c r="AI1294" s="1" t="str">
        <f t="shared" si="837"/>
        <v>F10</v>
      </c>
      <c r="AJ1294" s="1" t="str">
        <f t="shared" si="839"/>
        <v>UNISEX</v>
      </c>
      <c r="AK1294" s="1" t="str">
        <f t="shared" si="851"/>
        <v>PA</v>
      </c>
      <c r="AP1294" s="1" t="str">
        <f t="shared" si="852"/>
        <v>False</v>
      </c>
      <c r="AR1294" s="1" t="str">
        <f t="shared" si="840"/>
        <v>VAIAN</v>
      </c>
      <c r="AY1294" s="1" t="str">
        <f t="shared" si="853"/>
        <v>PF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 t="str">
        <f t="shared" si="835"/>
        <v>TOMAIA GOMMA</v>
      </c>
      <c r="BF1294" s="1" t="str">
        <f t="shared" si="854"/>
        <v>Bonis SpA</v>
      </c>
    </row>
    <row r="1295" spans="2:58" x14ac:dyDescent="0.25">
      <c r="B1295" s="1">
        <v>2470</v>
      </c>
      <c r="C1295" s="1" t="str">
        <f t="shared" si="838"/>
        <v>VAIAN4209S7/G1</v>
      </c>
      <c r="E1295" s="1" t="str">
        <f>"38"</f>
        <v>38</v>
      </c>
      <c r="F1295" s="1" t="str">
        <f t="shared" si="843"/>
        <v>BONIS SPA</v>
      </c>
      <c r="G1295" s="1" t="str">
        <f t="shared" si="828"/>
        <v>STOCK SCAFFALE MP</v>
      </c>
      <c r="H1295" s="1" t="str">
        <f t="shared" si="829"/>
        <v>DKBL</v>
      </c>
      <c r="K1295" s="1">
        <v>5</v>
      </c>
      <c r="L1295" s="1" t="str">
        <f t="shared" si="844"/>
        <v>01</v>
      </c>
      <c r="M1295" s="1" t="str">
        <f t="shared" si="830"/>
        <v>408</v>
      </c>
      <c r="N1295" s="1" t="str">
        <f t="shared" si="842"/>
        <v>005</v>
      </c>
      <c r="O1295" s="1" t="str">
        <f t="shared" si="845"/>
        <v>00</v>
      </c>
      <c r="P1295" s="1" t="str">
        <f t="shared" si="846"/>
        <v>S</v>
      </c>
      <c r="Q1295" s="1" t="str">
        <f t="shared" si="847"/>
        <v>P</v>
      </c>
      <c r="R1295" s="1" t="str">
        <f t="shared" si="848"/>
        <v>01</v>
      </c>
      <c r="S1295" s="1" t="str">
        <f t="shared" si="831"/>
        <v>04</v>
      </c>
      <c r="T1295" s="1" t="str">
        <f t="shared" si="849"/>
        <v>False</v>
      </c>
      <c r="U1295" s="1" t="str">
        <f t="shared" si="850"/>
        <v>True</v>
      </c>
      <c r="V1295" s="1" t="str">
        <f>"U0034851"</f>
        <v>U0034851</v>
      </c>
      <c r="W1295" s="1">
        <v>1</v>
      </c>
      <c r="Y1295" s="1">
        <v>0</v>
      </c>
      <c r="Z1295" s="1">
        <v>0</v>
      </c>
      <c r="AI1295" s="1" t="str">
        <f t="shared" si="837"/>
        <v>F10</v>
      </c>
      <c r="AJ1295" s="1" t="str">
        <f t="shared" si="839"/>
        <v>UNISEX</v>
      </c>
      <c r="AK1295" s="1" t="str">
        <f t="shared" si="851"/>
        <v>PA</v>
      </c>
      <c r="AP1295" s="1" t="str">
        <f t="shared" si="852"/>
        <v>False</v>
      </c>
      <c r="AR1295" s="1" t="str">
        <f t="shared" si="840"/>
        <v>VAIAN</v>
      </c>
      <c r="AY1295" s="1" t="str">
        <f t="shared" si="853"/>
        <v>PF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 t="str">
        <f t="shared" si="835"/>
        <v>TOMAIA GOMMA</v>
      </c>
      <c r="BF1295" s="1" t="str">
        <f t="shared" si="854"/>
        <v>Bonis SpA</v>
      </c>
    </row>
    <row r="1296" spans="2:58" x14ac:dyDescent="0.25">
      <c r="B1296" s="1">
        <v>2470</v>
      </c>
      <c r="C1296" s="1" t="str">
        <f t="shared" si="838"/>
        <v>VAIAN4209S7/G1</v>
      </c>
      <c r="E1296" s="1" t="str">
        <f>"40"</f>
        <v>40</v>
      </c>
      <c r="F1296" s="1" t="str">
        <f t="shared" si="843"/>
        <v>BONIS SPA</v>
      </c>
      <c r="G1296" s="1" t="str">
        <f t="shared" si="828"/>
        <v>STOCK SCAFFALE MP</v>
      </c>
      <c r="H1296" s="1" t="str">
        <f t="shared" si="829"/>
        <v>DKBL</v>
      </c>
      <c r="K1296" s="1">
        <v>2</v>
      </c>
      <c r="L1296" s="1" t="str">
        <f t="shared" si="844"/>
        <v>01</v>
      </c>
      <c r="M1296" s="1" t="str">
        <f t="shared" si="830"/>
        <v>408</v>
      </c>
      <c r="N1296" s="1" t="str">
        <f t="shared" si="842"/>
        <v>005</v>
      </c>
      <c r="O1296" s="1" t="str">
        <f t="shared" si="845"/>
        <v>00</v>
      </c>
      <c r="P1296" s="1" t="str">
        <f t="shared" si="846"/>
        <v>S</v>
      </c>
      <c r="Q1296" s="1" t="str">
        <f t="shared" si="847"/>
        <v>P</v>
      </c>
      <c r="R1296" s="1" t="str">
        <f t="shared" si="848"/>
        <v>01</v>
      </c>
      <c r="S1296" s="1" t="str">
        <f t="shared" si="831"/>
        <v>04</v>
      </c>
      <c r="T1296" s="1" t="str">
        <f t="shared" si="849"/>
        <v>False</v>
      </c>
      <c r="U1296" s="1" t="str">
        <f t="shared" si="850"/>
        <v>True</v>
      </c>
      <c r="V1296" s="1" t="str">
        <f>"U0034851"</f>
        <v>U0034851</v>
      </c>
      <c r="W1296" s="1">
        <v>1</v>
      </c>
      <c r="Y1296" s="1">
        <v>0</v>
      </c>
      <c r="Z1296" s="1">
        <v>0</v>
      </c>
      <c r="AI1296" s="1" t="str">
        <f t="shared" si="837"/>
        <v>F10</v>
      </c>
      <c r="AJ1296" s="1" t="str">
        <f t="shared" si="839"/>
        <v>UNISEX</v>
      </c>
      <c r="AK1296" s="1" t="str">
        <f t="shared" si="851"/>
        <v>PA</v>
      </c>
      <c r="AP1296" s="1" t="str">
        <f t="shared" si="852"/>
        <v>False</v>
      </c>
      <c r="AR1296" s="1" t="str">
        <f t="shared" si="840"/>
        <v>VAIAN</v>
      </c>
      <c r="AY1296" s="1" t="str">
        <f t="shared" si="853"/>
        <v>PF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 t="str">
        <f t="shared" si="835"/>
        <v>TOMAIA GOMMA</v>
      </c>
      <c r="BF1296" s="1" t="str">
        <f t="shared" si="854"/>
        <v>Bonis SpA</v>
      </c>
    </row>
    <row r="1297" spans="2:58" x14ac:dyDescent="0.25">
      <c r="B1297" s="1">
        <v>2470</v>
      </c>
      <c r="C1297" s="1" t="str">
        <f t="shared" si="838"/>
        <v>VAIAN4209S7/G1</v>
      </c>
      <c r="E1297" s="1" t="str">
        <f>"37"</f>
        <v>37</v>
      </c>
      <c r="F1297" s="1" t="str">
        <f t="shared" si="843"/>
        <v>BONIS SPA</v>
      </c>
      <c r="G1297" s="1" t="str">
        <f t="shared" si="828"/>
        <v>STOCK SCAFFALE MP</v>
      </c>
      <c r="H1297" s="1" t="str">
        <f t="shared" si="829"/>
        <v>DKBL</v>
      </c>
      <c r="K1297" s="1">
        <v>7</v>
      </c>
      <c r="L1297" s="1" t="str">
        <f t="shared" si="844"/>
        <v>01</v>
      </c>
      <c r="M1297" s="1" t="str">
        <f t="shared" si="830"/>
        <v>408</v>
      </c>
      <c r="N1297" s="1" t="str">
        <f t="shared" si="842"/>
        <v>005</v>
      </c>
      <c r="O1297" s="1" t="str">
        <f t="shared" si="845"/>
        <v>00</v>
      </c>
      <c r="P1297" s="1" t="str">
        <f t="shared" si="846"/>
        <v>S</v>
      </c>
      <c r="Q1297" s="1" t="str">
        <f t="shared" si="847"/>
        <v>P</v>
      </c>
      <c r="R1297" s="1" t="str">
        <f t="shared" si="848"/>
        <v>01</v>
      </c>
      <c r="S1297" s="1" t="str">
        <f t="shared" si="831"/>
        <v>04</v>
      </c>
      <c r="T1297" s="1" t="str">
        <f t="shared" si="849"/>
        <v>False</v>
      </c>
      <c r="U1297" s="1" t="str">
        <f t="shared" si="850"/>
        <v>True</v>
      </c>
      <c r="V1297" s="1" t="str">
        <f>"U0034851"</f>
        <v>U0034851</v>
      </c>
      <c r="W1297" s="1">
        <v>1</v>
      </c>
      <c r="Y1297" s="1">
        <v>0</v>
      </c>
      <c r="Z1297" s="1">
        <v>0</v>
      </c>
      <c r="AI1297" s="1" t="str">
        <f t="shared" si="837"/>
        <v>F10</v>
      </c>
      <c r="AJ1297" s="1" t="str">
        <f t="shared" si="839"/>
        <v>UNISEX</v>
      </c>
      <c r="AK1297" s="1" t="str">
        <f t="shared" si="851"/>
        <v>PA</v>
      </c>
      <c r="AP1297" s="1" t="str">
        <f t="shared" si="852"/>
        <v>False</v>
      </c>
      <c r="AR1297" s="1" t="str">
        <f t="shared" si="840"/>
        <v>VAIAN</v>
      </c>
      <c r="AY1297" s="1" t="str">
        <f t="shared" si="853"/>
        <v>PF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 t="str">
        <f t="shared" si="835"/>
        <v>TOMAIA GOMMA</v>
      </c>
      <c r="BF1297" s="1" t="str">
        <f t="shared" si="854"/>
        <v>Bonis SpA</v>
      </c>
    </row>
    <row r="1298" spans="2:58" x14ac:dyDescent="0.25">
      <c r="B1298" s="1">
        <v>2470</v>
      </c>
      <c r="C1298" s="1" t="str">
        <f t="shared" si="838"/>
        <v>VAIAN4209S7/G1</v>
      </c>
      <c r="E1298" s="1" t="str">
        <f>"41"</f>
        <v>41</v>
      </c>
      <c r="F1298" s="1" t="str">
        <f t="shared" si="843"/>
        <v>BONIS SPA</v>
      </c>
      <c r="G1298" s="1" t="str">
        <f t="shared" si="828"/>
        <v>STOCK SCAFFALE MP</v>
      </c>
      <c r="H1298" s="1" t="str">
        <f t="shared" si="829"/>
        <v>DKBL</v>
      </c>
      <c r="K1298" s="1">
        <v>1</v>
      </c>
      <c r="L1298" s="1" t="str">
        <f t="shared" si="844"/>
        <v>01</v>
      </c>
      <c r="M1298" s="1" t="str">
        <f t="shared" si="830"/>
        <v>408</v>
      </c>
      <c r="N1298" s="1" t="str">
        <f t="shared" si="842"/>
        <v>005</v>
      </c>
      <c r="O1298" s="1" t="str">
        <f t="shared" si="845"/>
        <v>00</v>
      </c>
      <c r="P1298" s="1" t="str">
        <f t="shared" si="846"/>
        <v>S</v>
      </c>
      <c r="Q1298" s="1" t="str">
        <f t="shared" si="847"/>
        <v>P</v>
      </c>
      <c r="R1298" s="1" t="str">
        <f t="shared" si="848"/>
        <v>01</v>
      </c>
      <c r="S1298" s="1" t="str">
        <f t="shared" si="831"/>
        <v>04</v>
      </c>
      <c r="T1298" s="1" t="str">
        <f t="shared" si="849"/>
        <v>False</v>
      </c>
      <c r="U1298" s="1" t="str">
        <f t="shared" si="850"/>
        <v>True</v>
      </c>
      <c r="V1298" s="1" t="str">
        <f>"U0034850"</f>
        <v>U0034850</v>
      </c>
      <c r="W1298" s="1">
        <v>1</v>
      </c>
      <c r="Y1298" s="1">
        <v>0</v>
      </c>
      <c r="Z1298" s="1">
        <v>0</v>
      </c>
      <c r="AI1298" s="1" t="str">
        <f t="shared" si="837"/>
        <v>F10</v>
      </c>
      <c r="AJ1298" s="1" t="str">
        <f t="shared" si="839"/>
        <v>UNISEX</v>
      </c>
      <c r="AK1298" s="1" t="str">
        <f t="shared" si="851"/>
        <v>PA</v>
      </c>
      <c r="AP1298" s="1" t="str">
        <f t="shared" si="852"/>
        <v>False</v>
      </c>
      <c r="AR1298" s="1" t="str">
        <f t="shared" si="840"/>
        <v>VAIAN</v>
      </c>
      <c r="AY1298" s="1" t="str">
        <f t="shared" si="853"/>
        <v>PF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 t="str">
        <f t="shared" si="835"/>
        <v>TOMAIA GOMMA</v>
      </c>
      <c r="BF1298" s="1" t="str">
        <f t="shared" si="854"/>
        <v>Bonis SpA</v>
      </c>
    </row>
    <row r="1299" spans="2:58" x14ac:dyDescent="0.25">
      <c r="B1299" s="1">
        <v>2470</v>
      </c>
      <c r="C1299" s="1" t="str">
        <f t="shared" si="838"/>
        <v>VAIAN4209S7/G1</v>
      </c>
      <c r="E1299" s="1" t="str">
        <f>"41"</f>
        <v>41</v>
      </c>
      <c r="F1299" s="1" t="str">
        <f t="shared" si="843"/>
        <v>BONIS SPA</v>
      </c>
      <c r="G1299" s="1" t="str">
        <f t="shared" si="828"/>
        <v>STOCK SCAFFALE MP</v>
      </c>
      <c r="H1299" s="1" t="str">
        <f t="shared" si="829"/>
        <v>DKBL</v>
      </c>
      <c r="K1299" s="1">
        <v>5</v>
      </c>
      <c r="L1299" s="1" t="str">
        <f t="shared" si="844"/>
        <v>01</v>
      </c>
      <c r="M1299" s="1" t="str">
        <f t="shared" si="830"/>
        <v>408</v>
      </c>
      <c r="N1299" s="1" t="str">
        <f t="shared" si="842"/>
        <v>005</v>
      </c>
      <c r="O1299" s="1" t="str">
        <f t="shared" si="845"/>
        <v>00</v>
      </c>
      <c r="P1299" s="1" t="str">
        <f t="shared" si="846"/>
        <v>S</v>
      </c>
      <c r="Q1299" s="1" t="str">
        <f t="shared" si="847"/>
        <v>P</v>
      </c>
      <c r="R1299" s="1" t="str">
        <f t="shared" si="848"/>
        <v>01</v>
      </c>
      <c r="S1299" s="1" t="str">
        <f t="shared" si="831"/>
        <v>04</v>
      </c>
      <c r="T1299" s="1" t="str">
        <f t="shared" si="849"/>
        <v>False</v>
      </c>
      <c r="U1299" s="1" t="str">
        <f t="shared" si="850"/>
        <v>True</v>
      </c>
      <c r="V1299" s="1" t="str">
        <f>"U0034851"</f>
        <v>U0034851</v>
      </c>
      <c r="W1299" s="1">
        <v>1</v>
      </c>
      <c r="Y1299" s="1">
        <v>0</v>
      </c>
      <c r="Z1299" s="1">
        <v>0</v>
      </c>
      <c r="AI1299" s="1" t="str">
        <f t="shared" si="837"/>
        <v>F10</v>
      </c>
      <c r="AJ1299" s="1" t="str">
        <f t="shared" si="839"/>
        <v>UNISEX</v>
      </c>
      <c r="AK1299" s="1" t="str">
        <f t="shared" si="851"/>
        <v>PA</v>
      </c>
      <c r="AP1299" s="1" t="str">
        <f t="shared" si="852"/>
        <v>False</v>
      </c>
      <c r="AR1299" s="1" t="str">
        <f t="shared" si="840"/>
        <v>VAIAN</v>
      </c>
      <c r="AY1299" s="1" t="str">
        <f t="shared" si="853"/>
        <v>PF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 t="str">
        <f t="shared" ref="BE1299:BE1330" si="856">"TOMAIA GOMMA"</f>
        <v>TOMAIA GOMMA</v>
      </c>
      <c r="BF1299" s="1" t="str">
        <f t="shared" si="854"/>
        <v>Bonis SpA</v>
      </c>
    </row>
    <row r="1300" spans="2:58" x14ac:dyDescent="0.25">
      <c r="B1300" s="1">
        <v>2470</v>
      </c>
      <c r="C1300" s="1" t="str">
        <f t="shared" si="838"/>
        <v>VAIAN4209S7/G1</v>
      </c>
      <c r="E1300" s="1" t="str">
        <f>"36"</f>
        <v>36</v>
      </c>
      <c r="F1300" s="1" t="str">
        <f t="shared" si="843"/>
        <v>BONIS SPA</v>
      </c>
      <c r="G1300" s="1" t="str">
        <f t="shared" si="828"/>
        <v>STOCK SCAFFALE MP</v>
      </c>
      <c r="H1300" s="1" t="str">
        <f t="shared" si="829"/>
        <v>DKBL</v>
      </c>
      <c r="K1300" s="1">
        <v>3</v>
      </c>
      <c r="L1300" s="1" t="str">
        <f t="shared" si="844"/>
        <v>01</v>
      </c>
      <c r="M1300" s="1" t="str">
        <f t="shared" si="830"/>
        <v>408</v>
      </c>
      <c r="N1300" s="1" t="str">
        <f t="shared" si="842"/>
        <v>005</v>
      </c>
      <c r="O1300" s="1" t="str">
        <f t="shared" si="845"/>
        <v>00</v>
      </c>
      <c r="P1300" s="1" t="str">
        <f t="shared" si="846"/>
        <v>S</v>
      </c>
      <c r="Q1300" s="1" t="str">
        <f t="shared" si="847"/>
        <v>P</v>
      </c>
      <c r="R1300" s="1" t="str">
        <f t="shared" si="848"/>
        <v>01</v>
      </c>
      <c r="S1300" s="1" t="str">
        <f t="shared" si="831"/>
        <v>04</v>
      </c>
      <c r="T1300" s="1" t="str">
        <f t="shared" si="849"/>
        <v>False</v>
      </c>
      <c r="U1300" s="1" t="str">
        <f t="shared" si="850"/>
        <v>True</v>
      </c>
      <c r="V1300" s="1" t="str">
        <f>"U0034851"</f>
        <v>U0034851</v>
      </c>
      <c r="W1300" s="1">
        <v>1</v>
      </c>
      <c r="Y1300" s="1">
        <v>0</v>
      </c>
      <c r="Z1300" s="1">
        <v>0</v>
      </c>
      <c r="AI1300" s="1" t="str">
        <f t="shared" si="837"/>
        <v>F10</v>
      </c>
      <c r="AJ1300" s="1" t="str">
        <f t="shared" si="839"/>
        <v>UNISEX</v>
      </c>
      <c r="AK1300" s="1" t="str">
        <f t="shared" si="851"/>
        <v>PA</v>
      </c>
      <c r="AP1300" s="1" t="str">
        <f t="shared" si="852"/>
        <v>False</v>
      </c>
      <c r="AR1300" s="1" t="str">
        <f t="shared" si="840"/>
        <v>VAIAN</v>
      </c>
      <c r="AY1300" s="1" t="str">
        <f t="shared" si="853"/>
        <v>PF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 t="str">
        <f t="shared" si="856"/>
        <v>TOMAIA GOMMA</v>
      </c>
      <c r="BF1300" s="1" t="str">
        <f t="shared" si="854"/>
        <v>Bonis SpA</v>
      </c>
    </row>
    <row r="1301" spans="2:58" x14ac:dyDescent="0.25">
      <c r="B1301" s="1">
        <v>2470</v>
      </c>
      <c r="C1301" s="1" t="str">
        <f t="shared" si="838"/>
        <v>VAIAN4209S7/G1</v>
      </c>
      <c r="E1301" s="1" t="str">
        <f>"35"</f>
        <v>35</v>
      </c>
      <c r="F1301" s="1" t="str">
        <f t="shared" si="843"/>
        <v>BONIS SPA</v>
      </c>
      <c r="G1301" s="1" t="str">
        <f t="shared" si="828"/>
        <v>STOCK SCAFFALE MP</v>
      </c>
      <c r="H1301" s="1" t="str">
        <f t="shared" si="829"/>
        <v>DKBL</v>
      </c>
      <c r="K1301" s="1">
        <v>1</v>
      </c>
      <c r="L1301" s="1" t="str">
        <f t="shared" si="844"/>
        <v>01</v>
      </c>
      <c r="M1301" s="1" t="str">
        <f t="shared" si="830"/>
        <v>408</v>
      </c>
      <c r="N1301" s="1" t="str">
        <f t="shared" si="842"/>
        <v>005</v>
      </c>
      <c r="O1301" s="1" t="str">
        <f t="shared" si="845"/>
        <v>00</v>
      </c>
      <c r="P1301" s="1" t="str">
        <f t="shared" si="846"/>
        <v>S</v>
      </c>
      <c r="Q1301" s="1" t="str">
        <f t="shared" si="847"/>
        <v>P</v>
      </c>
      <c r="R1301" s="1" t="str">
        <f t="shared" si="848"/>
        <v>01</v>
      </c>
      <c r="S1301" s="1" t="str">
        <f t="shared" si="831"/>
        <v>04</v>
      </c>
      <c r="T1301" s="1" t="str">
        <f t="shared" si="849"/>
        <v>False</v>
      </c>
      <c r="U1301" s="1" t="str">
        <f t="shared" si="850"/>
        <v>True</v>
      </c>
      <c r="V1301" s="1" t="str">
        <f>"U0034851"</f>
        <v>U0034851</v>
      </c>
      <c r="W1301" s="1">
        <v>1</v>
      </c>
      <c r="Y1301" s="1">
        <v>0</v>
      </c>
      <c r="Z1301" s="1">
        <v>0</v>
      </c>
      <c r="AI1301" s="1" t="str">
        <f t="shared" si="837"/>
        <v>F10</v>
      </c>
      <c r="AJ1301" s="1" t="str">
        <f t="shared" si="839"/>
        <v>UNISEX</v>
      </c>
      <c r="AK1301" s="1" t="str">
        <f t="shared" si="851"/>
        <v>PA</v>
      </c>
      <c r="AP1301" s="1" t="str">
        <f t="shared" si="852"/>
        <v>False</v>
      </c>
      <c r="AR1301" s="1" t="str">
        <f t="shared" si="840"/>
        <v>VAIAN</v>
      </c>
      <c r="AY1301" s="1" t="str">
        <f t="shared" si="853"/>
        <v>PF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 t="str">
        <f t="shared" si="856"/>
        <v>TOMAIA GOMMA</v>
      </c>
      <c r="BF1301" s="1" t="str">
        <f t="shared" si="854"/>
        <v>Bonis SpA</v>
      </c>
    </row>
    <row r="1302" spans="2:58" x14ac:dyDescent="0.25">
      <c r="B1302" s="1">
        <v>2470</v>
      </c>
      <c r="C1302" s="1" t="str">
        <f t="shared" si="838"/>
        <v>VAIAN4209S7/G1</v>
      </c>
      <c r="E1302" s="1" t="str">
        <f>"42"</f>
        <v>42</v>
      </c>
      <c r="F1302" s="1" t="str">
        <f t="shared" si="843"/>
        <v>BONIS SPA</v>
      </c>
      <c r="G1302" s="1" t="str">
        <f t="shared" si="828"/>
        <v>STOCK SCAFFALE MP</v>
      </c>
      <c r="H1302" s="1" t="str">
        <f t="shared" si="829"/>
        <v>DKBL</v>
      </c>
      <c r="K1302" s="1">
        <v>12</v>
      </c>
      <c r="L1302" s="1" t="str">
        <f t="shared" si="844"/>
        <v>01</v>
      </c>
      <c r="M1302" s="1" t="str">
        <f t="shared" si="830"/>
        <v>408</v>
      </c>
      <c r="N1302" s="1" t="str">
        <f t="shared" si="842"/>
        <v>005</v>
      </c>
      <c r="O1302" s="1" t="str">
        <f t="shared" si="845"/>
        <v>00</v>
      </c>
      <c r="P1302" s="1" t="str">
        <f t="shared" si="846"/>
        <v>S</v>
      </c>
      <c r="Q1302" s="1" t="str">
        <f t="shared" si="847"/>
        <v>P</v>
      </c>
      <c r="R1302" s="1" t="str">
        <f t="shared" si="848"/>
        <v>01</v>
      </c>
      <c r="S1302" s="1" t="str">
        <f t="shared" si="831"/>
        <v>04</v>
      </c>
      <c r="T1302" s="1" t="str">
        <f t="shared" si="849"/>
        <v>False</v>
      </c>
      <c r="U1302" s="1" t="str">
        <f t="shared" si="850"/>
        <v>True</v>
      </c>
      <c r="V1302" s="1" t="str">
        <f>"U0034850"</f>
        <v>U0034850</v>
      </c>
      <c r="W1302" s="1">
        <v>1</v>
      </c>
      <c r="Y1302" s="1">
        <v>0</v>
      </c>
      <c r="Z1302" s="1">
        <v>0</v>
      </c>
      <c r="AI1302" s="1" t="str">
        <f t="shared" ref="AI1302:AI1333" si="857">"F10"</f>
        <v>F10</v>
      </c>
      <c r="AJ1302" s="1" t="str">
        <f t="shared" si="839"/>
        <v>UNISEX</v>
      </c>
      <c r="AK1302" s="1" t="str">
        <f t="shared" si="851"/>
        <v>PA</v>
      </c>
      <c r="AP1302" s="1" t="str">
        <f t="shared" si="852"/>
        <v>False</v>
      </c>
      <c r="AR1302" s="1" t="str">
        <f t="shared" si="840"/>
        <v>VAIAN</v>
      </c>
      <c r="AY1302" s="1" t="str">
        <f t="shared" si="853"/>
        <v>PF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 t="str">
        <f t="shared" si="856"/>
        <v>TOMAIA GOMMA</v>
      </c>
      <c r="BF1302" s="1" t="str">
        <f t="shared" si="854"/>
        <v>Bonis SpA</v>
      </c>
    </row>
    <row r="1303" spans="2:58" x14ac:dyDescent="0.25">
      <c r="B1303" s="1">
        <v>2470</v>
      </c>
      <c r="C1303" s="1" t="str">
        <f t="shared" si="838"/>
        <v>VAIAN4209S7/G1</v>
      </c>
      <c r="E1303" s="1" t="str">
        <f>"38"</f>
        <v>38</v>
      </c>
      <c r="F1303" s="1" t="str">
        <f t="shared" si="843"/>
        <v>BONIS SPA</v>
      </c>
      <c r="G1303" s="1" t="str">
        <f t="shared" si="828"/>
        <v>STOCK SCAFFALE MP</v>
      </c>
      <c r="H1303" s="1" t="str">
        <f t="shared" si="829"/>
        <v>DKBL</v>
      </c>
      <c r="K1303" s="1">
        <v>2</v>
      </c>
      <c r="L1303" s="1" t="str">
        <f t="shared" si="844"/>
        <v>01</v>
      </c>
      <c r="M1303" s="1" t="str">
        <f t="shared" si="830"/>
        <v>408</v>
      </c>
      <c r="N1303" s="1" t="str">
        <f t="shared" si="842"/>
        <v>005</v>
      </c>
      <c r="O1303" s="1" t="str">
        <f t="shared" si="845"/>
        <v>00</v>
      </c>
      <c r="P1303" s="1" t="str">
        <f t="shared" si="846"/>
        <v>S</v>
      </c>
      <c r="Q1303" s="1" t="str">
        <f t="shared" si="847"/>
        <v>P</v>
      </c>
      <c r="R1303" s="1" t="str">
        <f t="shared" si="848"/>
        <v>01</v>
      </c>
      <c r="S1303" s="1" t="str">
        <f t="shared" si="831"/>
        <v>04</v>
      </c>
      <c r="T1303" s="1" t="str">
        <f t="shared" si="849"/>
        <v>False</v>
      </c>
      <c r="U1303" s="1" t="str">
        <f t="shared" si="850"/>
        <v>True</v>
      </c>
      <c r="V1303" s="1" t="str">
        <f t="shared" ref="V1303:V1311" si="858">"U0034796"</f>
        <v>U0034796</v>
      </c>
      <c r="W1303" s="1">
        <v>1</v>
      </c>
      <c r="Y1303" s="1">
        <v>0</v>
      </c>
      <c r="Z1303" s="1">
        <v>0</v>
      </c>
      <c r="AI1303" s="1" t="str">
        <f t="shared" si="857"/>
        <v>F10</v>
      </c>
      <c r="AJ1303" s="1" t="str">
        <f t="shared" si="839"/>
        <v>UNISEX</v>
      </c>
      <c r="AK1303" s="1" t="str">
        <f t="shared" si="851"/>
        <v>PA</v>
      </c>
      <c r="AP1303" s="1" t="str">
        <f t="shared" si="852"/>
        <v>False</v>
      </c>
      <c r="AR1303" s="1" t="str">
        <f t="shared" si="840"/>
        <v>VAIAN</v>
      </c>
      <c r="AY1303" s="1" t="str">
        <f t="shared" si="853"/>
        <v>PF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 t="str">
        <f t="shared" si="856"/>
        <v>TOMAIA GOMMA</v>
      </c>
      <c r="BF1303" s="1" t="str">
        <f t="shared" si="854"/>
        <v>Bonis SpA</v>
      </c>
    </row>
    <row r="1304" spans="2:58" x14ac:dyDescent="0.25">
      <c r="B1304" s="1">
        <v>2470</v>
      </c>
      <c r="C1304" s="1" t="str">
        <f t="shared" si="838"/>
        <v>VAIAN4209S7/G1</v>
      </c>
      <c r="E1304" s="1" t="str">
        <f>"39"</f>
        <v>39</v>
      </c>
      <c r="F1304" s="1" t="str">
        <f t="shared" si="843"/>
        <v>BONIS SPA</v>
      </c>
      <c r="G1304" s="1" t="str">
        <f t="shared" si="828"/>
        <v>STOCK SCAFFALE MP</v>
      </c>
      <c r="H1304" s="1" t="str">
        <f t="shared" si="829"/>
        <v>DKBL</v>
      </c>
      <c r="K1304" s="1">
        <v>2</v>
      </c>
      <c r="L1304" s="1" t="str">
        <f t="shared" si="844"/>
        <v>01</v>
      </c>
      <c r="M1304" s="1" t="str">
        <f t="shared" si="830"/>
        <v>408</v>
      </c>
      <c r="N1304" s="1" t="str">
        <f t="shared" si="842"/>
        <v>005</v>
      </c>
      <c r="O1304" s="1" t="str">
        <f t="shared" si="845"/>
        <v>00</v>
      </c>
      <c r="P1304" s="1" t="str">
        <f t="shared" si="846"/>
        <v>S</v>
      </c>
      <c r="Q1304" s="1" t="str">
        <f t="shared" si="847"/>
        <v>P</v>
      </c>
      <c r="R1304" s="1" t="str">
        <f t="shared" si="848"/>
        <v>01</v>
      </c>
      <c r="S1304" s="1" t="str">
        <f t="shared" si="831"/>
        <v>04</v>
      </c>
      <c r="T1304" s="1" t="str">
        <f t="shared" si="849"/>
        <v>False</v>
      </c>
      <c r="U1304" s="1" t="str">
        <f t="shared" si="850"/>
        <v>True</v>
      </c>
      <c r="V1304" s="1" t="str">
        <f t="shared" si="858"/>
        <v>U0034796</v>
      </c>
      <c r="W1304" s="1">
        <v>1</v>
      </c>
      <c r="Y1304" s="1">
        <v>0</v>
      </c>
      <c r="Z1304" s="1">
        <v>0</v>
      </c>
      <c r="AI1304" s="1" t="str">
        <f t="shared" si="857"/>
        <v>F10</v>
      </c>
      <c r="AJ1304" s="1" t="str">
        <f t="shared" si="839"/>
        <v>UNISEX</v>
      </c>
      <c r="AK1304" s="1" t="str">
        <f t="shared" si="851"/>
        <v>PA</v>
      </c>
      <c r="AP1304" s="1" t="str">
        <f t="shared" si="852"/>
        <v>False</v>
      </c>
      <c r="AR1304" s="1" t="str">
        <f t="shared" si="840"/>
        <v>VAIAN</v>
      </c>
      <c r="AY1304" s="1" t="str">
        <f t="shared" si="853"/>
        <v>PF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 t="str">
        <f t="shared" si="856"/>
        <v>TOMAIA GOMMA</v>
      </c>
      <c r="BF1304" s="1" t="str">
        <f t="shared" si="854"/>
        <v>Bonis SpA</v>
      </c>
    </row>
    <row r="1305" spans="2:58" x14ac:dyDescent="0.25">
      <c r="B1305" s="1">
        <v>2470</v>
      </c>
      <c r="C1305" s="1" t="str">
        <f t="shared" si="838"/>
        <v>VAIAN4209S7/G1</v>
      </c>
      <c r="E1305" s="1" t="str">
        <f>"40"</f>
        <v>40</v>
      </c>
      <c r="F1305" s="1" t="str">
        <f t="shared" si="843"/>
        <v>BONIS SPA</v>
      </c>
      <c r="G1305" s="1" t="str">
        <f t="shared" si="828"/>
        <v>STOCK SCAFFALE MP</v>
      </c>
      <c r="H1305" s="1" t="str">
        <f t="shared" si="829"/>
        <v>DKBL</v>
      </c>
      <c r="K1305" s="1">
        <v>2</v>
      </c>
      <c r="L1305" s="1" t="str">
        <f t="shared" si="844"/>
        <v>01</v>
      </c>
      <c r="M1305" s="1" t="str">
        <f t="shared" si="830"/>
        <v>408</v>
      </c>
      <c r="N1305" s="1" t="str">
        <f t="shared" si="842"/>
        <v>005</v>
      </c>
      <c r="O1305" s="1" t="str">
        <f t="shared" si="845"/>
        <v>00</v>
      </c>
      <c r="P1305" s="1" t="str">
        <f t="shared" si="846"/>
        <v>S</v>
      </c>
      <c r="Q1305" s="1" t="str">
        <f t="shared" si="847"/>
        <v>P</v>
      </c>
      <c r="R1305" s="1" t="str">
        <f t="shared" si="848"/>
        <v>01</v>
      </c>
      <c r="S1305" s="1" t="str">
        <f t="shared" si="831"/>
        <v>04</v>
      </c>
      <c r="T1305" s="1" t="str">
        <f t="shared" si="849"/>
        <v>False</v>
      </c>
      <c r="U1305" s="1" t="str">
        <f t="shared" si="850"/>
        <v>True</v>
      </c>
      <c r="V1305" s="1" t="str">
        <f t="shared" si="858"/>
        <v>U0034796</v>
      </c>
      <c r="W1305" s="1">
        <v>1</v>
      </c>
      <c r="Y1305" s="1">
        <v>0</v>
      </c>
      <c r="Z1305" s="1">
        <v>0</v>
      </c>
      <c r="AI1305" s="1" t="str">
        <f t="shared" si="857"/>
        <v>F10</v>
      </c>
      <c r="AJ1305" s="1" t="str">
        <f t="shared" si="839"/>
        <v>UNISEX</v>
      </c>
      <c r="AK1305" s="1" t="str">
        <f t="shared" si="851"/>
        <v>PA</v>
      </c>
      <c r="AP1305" s="1" t="str">
        <f t="shared" si="852"/>
        <v>False</v>
      </c>
      <c r="AR1305" s="1" t="str">
        <f t="shared" si="840"/>
        <v>VAIAN</v>
      </c>
      <c r="AY1305" s="1" t="str">
        <f t="shared" si="853"/>
        <v>PF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 t="str">
        <f t="shared" si="856"/>
        <v>TOMAIA GOMMA</v>
      </c>
      <c r="BF1305" s="1" t="str">
        <f t="shared" si="854"/>
        <v>Bonis SpA</v>
      </c>
    </row>
    <row r="1306" spans="2:58" x14ac:dyDescent="0.25">
      <c r="B1306" s="1">
        <v>2470</v>
      </c>
      <c r="C1306" s="1" t="str">
        <f t="shared" si="838"/>
        <v>VAIAN4209S7/G1</v>
      </c>
      <c r="E1306" s="1" t="str">
        <f>"36"</f>
        <v>36</v>
      </c>
      <c r="F1306" s="1" t="str">
        <f t="shared" si="843"/>
        <v>BONIS SPA</v>
      </c>
      <c r="G1306" s="1" t="str">
        <f t="shared" si="828"/>
        <v>STOCK SCAFFALE MP</v>
      </c>
      <c r="H1306" s="1" t="str">
        <f t="shared" si="829"/>
        <v>DKBL</v>
      </c>
      <c r="K1306" s="1">
        <v>1</v>
      </c>
      <c r="L1306" s="1" t="str">
        <f t="shared" si="844"/>
        <v>01</v>
      </c>
      <c r="M1306" s="1" t="str">
        <f t="shared" si="830"/>
        <v>408</v>
      </c>
      <c r="N1306" s="1" t="str">
        <f t="shared" si="842"/>
        <v>005</v>
      </c>
      <c r="O1306" s="1" t="str">
        <f t="shared" si="845"/>
        <v>00</v>
      </c>
      <c r="P1306" s="1" t="str">
        <f t="shared" si="846"/>
        <v>S</v>
      </c>
      <c r="Q1306" s="1" t="str">
        <f t="shared" si="847"/>
        <v>P</v>
      </c>
      <c r="R1306" s="1" t="str">
        <f t="shared" si="848"/>
        <v>01</v>
      </c>
      <c r="S1306" s="1" t="str">
        <f t="shared" si="831"/>
        <v>04</v>
      </c>
      <c r="T1306" s="1" t="str">
        <f t="shared" si="849"/>
        <v>False</v>
      </c>
      <c r="U1306" s="1" t="str">
        <f t="shared" si="850"/>
        <v>True</v>
      </c>
      <c r="V1306" s="1" t="str">
        <f t="shared" si="858"/>
        <v>U0034796</v>
      </c>
      <c r="W1306" s="1">
        <v>1</v>
      </c>
      <c r="Y1306" s="1">
        <v>0</v>
      </c>
      <c r="Z1306" s="1">
        <v>0</v>
      </c>
      <c r="AI1306" s="1" t="str">
        <f t="shared" si="857"/>
        <v>F10</v>
      </c>
      <c r="AJ1306" s="1" t="str">
        <f t="shared" si="839"/>
        <v>UNISEX</v>
      </c>
      <c r="AK1306" s="1" t="str">
        <f t="shared" si="851"/>
        <v>PA</v>
      </c>
      <c r="AP1306" s="1" t="str">
        <f t="shared" si="852"/>
        <v>False</v>
      </c>
      <c r="AR1306" s="1" t="str">
        <f t="shared" si="840"/>
        <v>VAIAN</v>
      </c>
      <c r="AY1306" s="1" t="str">
        <f t="shared" si="853"/>
        <v>PF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 t="str">
        <f t="shared" si="856"/>
        <v>TOMAIA GOMMA</v>
      </c>
      <c r="BF1306" s="1" t="str">
        <f t="shared" si="854"/>
        <v>Bonis SpA</v>
      </c>
    </row>
    <row r="1307" spans="2:58" x14ac:dyDescent="0.25">
      <c r="B1307" s="1">
        <v>2470</v>
      </c>
      <c r="C1307" s="1" t="str">
        <f>"VAIAK4119S7/G1"</f>
        <v>VAIAK4119S7/G1</v>
      </c>
      <c r="E1307" s="1" t="str">
        <f>"35"</f>
        <v>35</v>
      </c>
      <c r="F1307" s="1" t="str">
        <f t="shared" si="843"/>
        <v>BONIS SPA</v>
      </c>
      <c r="G1307" s="1" t="str">
        <f t="shared" si="828"/>
        <v>STOCK SCAFFALE MP</v>
      </c>
      <c r="H1307" s="1" t="str">
        <f t="shared" si="829"/>
        <v>DKBL</v>
      </c>
      <c r="K1307" s="1">
        <v>1</v>
      </c>
      <c r="L1307" s="1" t="str">
        <f t="shared" si="844"/>
        <v>01</v>
      </c>
      <c r="M1307" s="1" t="str">
        <f t="shared" si="830"/>
        <v>408</v>
      </c>
      <c r="N1307" s="1" t="str">
        <f t="shared" si="842"/>
        <v>005</v>
      </c>
      <c r="O1307" s="1" t="str">
        <f t="shared" si="845"/>
        <v>00</v>
      </c>
      <c r="P1307" s="1" t="str">
        <f t="shared" si="846"/>
        <v>S</v>
      </c>
      <c r="Q1307" s="1" t="str">
        <f t="shared" si="847"/>
        <v>P</v>
      </c>
      <c r="R1307" s="1" t="str">
        <f t="shared" si="848"/>
        <v>01</v>
      </c>
      <c r="S1307" s="1" t="str">
        <f t="shared" si="831"/>
        <v>04</v>
      </c>
      <c r="T1307" s="1" t="str">
        <f t="shared" si="849"/>
        <v>False</v>
      </c>
      <c r="U1307" s="1" t="str">
        <f t="shared" si="850"/>
        <v>True</v>
      </c>
      <c r="V1307" s="1" t="str">
        <f t="shared" si="858"/>
        <v>U0034796</v>
      </c>
      <c r="W1307" s="1">
        <v>1</v>
      </c>
      <c r="Y1307" s="1">
        <v>0</v>
      </c>
      <c r="Z1307" s="1">
        <v>0</v>
      </c>
      <c r="AI1307" s="1" t="str">
        <f t="shared" si="857"/>
        <v>F10</v>
      </c>
      <c r="AJ1307" s="1" t="str">
        <f>"KID"</f>
        <v>KID</v>
      </c>
      <c r="AK1307" s="1" t="str">
        <f t="shared" si="851"/>
        <v>PA</v>
      </c>
      <c r="AP1307" s="1" t="str">
        <f t="shared" si="852"/>
        <v>False</v>
      </c>
      <c r="AR1307" s="1" t="str">
        <f>"VAIAK"</f>
        <v>VAIAK</v>
      </c>
      <c r="AY1307" s="1" t="str">
        <f t="shared" si="853"/>
        <v>PF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 t="str">
        <f t="shared" si="856"/>
        <v>TOMAIA GOMMA</v>
      </c>
      <c r="BF1307" s="1" t="str">
        <f t="shared" si="854"/>
        <v>Bonis SpA</v>
      </c>
    </row>
    <row r="1308" spans="2:58" x14ac:dyDescent="0.25">
      <c r="B1308" s="1">
        <v>2470</v>
      </c>
      <c r="C1308" s="1" t="str">
        <f>"VAIAN4209S7/G1"</f>
        <v>VAIAN4209S7/G1</v>
      </c>
      <c r="E1308" s="1" t="str">
        <f>"39"</f>
        <v>39</v>
      </c>
      <c r="F1308" s="1" t="str">
        <f t="shared" si="843"/>
        <v>BONIS SPA</v>
      </c>
      <c r="G1308" s="1" t="str">
        <f t="shared" si="828"/>
        <v>STOCK SCAFFALE MP</v>
      </c>
      <c r="H1308" s="1" t="str">
        <f>"MILG"</f>
        <v>MILG</v>
      </c>
      <c r="K1308" s="1">
        <v>1</v>
      </c>
      <c r="L1308" s="1" t="str">
        <f t="shared" si="844"/>
        <v>01</v>
      </c>
      <c r="M1308" s="1" t="str">
        <f t="shared" si="830"/>
        <v>408</v>
      </c>
      <c r="N1308" s="1" t="str">
        <f t="shared" si="842"/>
        <v>005</v>
      </c>
      <c r="O1308" s="1" t="str">
        <f t="shared" si="845"/>
        <v>00</v>
      </c>
      <c r="P1308" s="1" t="str">
        <f t="shared" si="846"/>
        <v>S</v>
      </c>
      <c r="Q1308" s="1" t="str">
        <f t="shared" si="847"/>
        <v>P</v>
      </c>
      <c r="R1308" s="1" t="str">
        <f t="shared" si="848"/>
        <v>01</v>
      </c>
      <c r="S1308" s="1" t="str">
        <f t="shared" si="831"/>
        <v>04</v>
      </c>
      <c r="T1308" s="1" t="str">
        <f t="shared" si="849"/>
        <v>False</v>
      </c>
      <c r="U1308" s="1" t="str">
        <f t="shared" si="850"/>
        <v>True</v>
      </c>
      <c r="V1308" s="1" t="str">
        <f t="shared" si="858"/>
        <v>U0034796</v>
      </c>
      <c r="W1308" s="1">
        <v>1</v>
      </c>
      <c r="Y1308" s="1">
        <v>0</v>
      </c>
      <c r="Z1308" s="1">
        <v>0</v>
      </c>
      <c r="AI1308" s="1" t="str">
        <f t="shared" si="857"/>
        <v>F10</v>
      </c>
      <c r="AJ1308" s="1" t="str">
        <f>"UNISEX"</f>
        <v>UNISEX</v>
      </c>
      <c r="AK1308" s="1" t="str">
        <f t="shared" si="851"/>
        <v>PA</v>
      </c>
      <c r="AP1308" s="1" t="str">
        <f t="shared" si="852"/>
        <v>False</v>
      </c>
      <c r="AR1308" s="1" t="str">
        <f>"VAIAN"</f>
        <v>VAIAN</v>
      </c>
      <c r="AY1308" s="1" t="str">
        <f t="shared" si="853"/>
        <v>PF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 t="str">
        <f t="shared" si="856"/>
        <v>TOMAIA GOMMA</v>
      </c>
      <c r="BF1308" s="1" t="str">
        <f t="shared" si="854"/>
        <v>Bonis SpA</v>
      </c>
    </row>
    <row r="1309" spans="2:58" x14ac:dyDescent="0.25">
      <c r="B1309" s="1">
        <v>2470</v>
      </c>
      <c r="C1309" s="1" t="str">
        <f>"VAIAN4209S7/G1"</f>
        <v>VAIAN4209S7/G1</v>
      </c>
      <c r="E1309" s="1" t="str">
        <f>"44"</f>
        <v>44</v>
      </c>
      <c r="F1309" s="1" t="str">
        <f t="shared" si="843"/>
        <v>BONIS SPA</v>
      </c>
      <c r="G1309" s="1" t="str">
        <f t="shared" si="828"/>
        <v>STOCK SCAFFALE MP</v>
      </c>
      <c r="H1309" s="1" t="str">
        <f>"MILG"</f>
        <v>MILG</v>
      </c>
      <c r="K1309" s="1">
        <v>8</v>
      </c>
      <c r="L1309" s="1" t="str">
        <f t="shared" si="844"/>
        <v>01</v>
      </c>
      <c r="M1309" s="1" t="str">
        <f t="shared" si="830"/>
        <v>408</v>
      </c>
      <c r="N1309" s="1" t="str">
        <f t="shared" si="842"/>
        <v>005</v>
      </c>
      <c r="O1309" s="1" t="str">
        <f t="shared" si="845"/>
        <v>00</v>
      </c>
      <c r="P1309" s="1" t="str">
        <f t="shared" si="846"/>
        <v>S</v>
      </c>
      <c r="Q1309" s="1" t="str">
        <f t="shared" si="847"/>
        <v>P</v>
      </c>
      <c r="R1309" s="1" t="str">
        <f t="shared" si="848"/>
        <v>01</v>
      </c>
      <c r="S1309" s="1" t="str">
        <f t="shared" si="831"/>
        <v>04</v>
      </c>
      <c r="T1309" s="1" t="str">
        <f t="shared" si="849"/>
        <v>False</v>
      </c>
      <c r="U1309" s="1" t="str">
        <f t="shared" si="850"/>
        <v>True</v>
      </c>
      <c r="V1309" s="1" t="str">
        <f t="shared" si="858"/>
        <v>U0034796</v>
      </c>
      <c r="W1309" s="1">
        <v>1</v>
      </c>
      <c r="Y1309" s="1">
        <v>0</v>
      </c>
      <c r="Z1309" s="1">
        <v>0</v>
      </c>
      <c r="AI1309" s="1" t="str">
        <f t="shared" si="857"/>
        <v>F10</v>
      </c>
      <c r="AJ1309" s="1" t="str">
        <f>"UNISEX"</f>
        <v>UNISEX</v>
      </c>
      <c r="AK1309" s="1" t="str">
        <f t="shared" si="851"/>
        <v>PA</v>
      </c>
      <c r="AP1309" s="1" t="str">
        <f t="shared" si="852"/>
        <v>False</v>
      </c>
      <c r="AR1309" s="1" t="str">
        <f>"VAIAN"</f>
        <v>VAIAN</v>
      </c>
      <c r="AY1309" s="1" t="str">
        <f t="shared" si="853"/>
        <v>PF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 t="str">
        <f t="shared" si="856"/>
        <v>TOMAIA GOMMA</v>
      </c>
      <c r="BF1309" s="1" t="str">
        <f t="shared" si="854"/>
        <v>Bonis SpA</v>
      </c>
    </row>
    <row r="1310" spans="2:58" x14ac:dyDescent="0.25">
      <c r="B1310" s="1">
        <v>2470</v>
      </c>
      <c r="C1310" s="1" t="str">
        <f>"VAIAN4209S7/G1"</f>
        <v>VAIAN4209S7/G1</v>
      </c>
      <c r="E1310" s="1" t="str">
        <f>"42"</f>
        <v>42</v>
      </c>
      <c r="F1310" s="1" t="str">
        <f t="shared" si="843"/>
        <v>BONIS SPA</v>
      </c>
      <c r="G1310" s="1" t="str">
        <f t="shared" si="828"/>
        <v>STOCK SCAFFALE MP</v>
      </c>
      <c r="H1310" s="1" t="str">
        <f>"MILG"</f>
        <v>MILG</v>
      </c>
      <c r="K1310" s="1">
        <v>1</v>
      </c>
      <c r="L1310" s="1" t="str">
        <f t="shared" si="844"/>
        <v>01</v>
      </c>
      <c r="M1310" s="1" t="str">
        <f t="shared" si="830"/>
        <v>408</v>
      </c>
      <c r="N1310" s="1" t="str">
        <f t="shared" si="842"/>
        <v>005</v>
      </c>
      <c r="O1310" s="1" t="str">
        <f t="shared" si="845"/>
        <v>00</v>
      </c>
      <c r="P1310" s="1" t="str">
        <f t="shared" si="846"/>
        <v>S</v>
      </c>
      <c r="Q1310" s="1" t="str">
        <f t="shared" si="847"/>
        <v>P</v>
      </c>
      <c r="R1310" s="1" t="str">
        <f t="shared" si="848"/>
        <v>01</v>
      </c>
      <c r="S1310" s="1" t="str">
        <f t="shared" si="831"/>
        <v>04</v>
      </c>
      <c r="T1310" s="1" t="str">
        <f t="shared" si="849"/>
        <v>False</v>
      </c>
      <c r="U1310" s="1" t="str">
        <f t="shared" si="850"/>
        <v>True</v>
      </c>
      <c r="V1310" s="1" t="str">
        <f t="shared" si="858"/>
        <v>U0034796</v>
      </c>
      <c r="W1310" s="1">
        <v>1</v>
      </c>
      <c r="Y1310" s="1">
        <v>0</v>
      </c>
      <c r="Z1310" s="1">
        <v>0</v>
      </c>
      <c r="AI1310" s="1" t="str">
        <f t="shared" si="857"/>
        <v>F10</v>
      </c>
      <c r="AJ1310" s="1" t="str">
        <f>"UNISEX"</f>
        <v>UNISEX</v>
      </c>
      <c r="AK1310" s="1" t="str">
        <f t="shared" si="851"/>
        <v>PA</v>
      </c>
      <c r="AP1310" s="1" t="str">
        <f t="shared" si="852"/>
        <v>False</v>
      </c>
      <c r="AR1310" s="1" t="str">
        <f>"VAIAN"</f>
        <v>VAIAN</v>
      </c>
      <c r="AY1310" s="1" t="str">
        <f t="shared" si="853"/>
        <v>PF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 t="str">
        <f t="shared" si="856"/>
        <v>TOMAIA GOMMA</v>
      </c>
      <c r="BF1310" s="1" t="str">
        <f t="shared" si="854"/>
        <v>Bonis SpA</v>
      </c>
    </row>
    <row r="1311" spans="2:58" x14ac:dyDescent="0.25">
      <c r="B1311" s="1">
        <v>2470</v>
      </c>
      <c r="C1311" s="1" t="str">
        <f>"VAIAN4209S7/G1"</f>
        <v>VAIAN4209S7/G1</v>
      </c>
      <c r="E1311" s="1" t="str">
        <f>"46"</f>
        <v>46</v>
      </c>
      <c r="F1311" s="1" t="str">
        <f t="shared" si="843"/>
        <v>BONIS SPA</v>
      </c>
      <c r="G1311" s="1" t="str">
        <f t="shared" si="828"/>
        <v>STOCK SCAFFALE MP</v>
      </c>
      <c r="H1311" s="1" t="str">
        <f>"MILG"</f>
        <v>MILG</v>
      </c>
      <c r="K1311" s="1">
        <v>2</v>
      </c>
      <c r="L1311" s="1" t="str">
        <f t="shared" si="844"/>
        <v>01</v>
      </c>
      <c r="M1311" s="1" t="str">
        <f t="shared" si="830"/>
        <v>408</v>
      </c>
      <c r="N1311" s="1" t="str">
        <f t="shared" si="842"/>
        <v>005</v>
      </c>
      <c r="O1311" s="1" t="str">
        <f t="shared" si="845"/>
        <v>00</v>
      </c>
      <c r="P1311" s="1" t="str">
        <f t="shared" si="846"/>
        <v>S</v>
      </c>
      <c r="Q1311" s="1" t="str">
        <f t="shared" si="847"/>
        <v>P</v>
      </c>
      <c r="R1311" s="1" t="str">
        <f t="shared" si="848"/>
        <v>01</v>
      </c>
      <c r="S1311" s="1" t="str">
        <f t="shared" si="831"/>
        <v>04</v>
      </c>
      <c r="T1311" s="1" t="str">
        <f t="shared" si="849"/>
        <v>False</v>
      </c>
      <c r="U1311" s="1" t="str">
        <f t="shared" si="850"/>
        <v>True</v>
      </c>
      <c r="V1311" s="1" t="str">
        <f t="shared" si="858"/>
        <v>U0034796</v>
      </c>
      <c r="W1311" s="1">
        <v>1</v>
      </c>
      <c r="Y1311" s="1">
        <v>0</v>
      </c>
      <c r="Z1311" s="1">
        <v>0</v>
      </c>
      <c r="AI1311" s="1" t="str">
        <f t="shared" si="857"/>
        <v>F10</v>
      </c>
      <c r="AJ1311" s="1" t="str">
        <f>"UNISEX"</f>
        <v>UNISEX</v>
      </c>
      <c r="AK1311" s="1" t="str">
        <f t="shared" si="851"/>
        <v>PA</v>
      </c>
      <c r="AP1311" s="1" t="str">
        <f t="shared" si="852"/>
        <v>False</v>
      </c>
      <c r="AR1311" s="1" t="str">
        <f>"VAIAN"</f>
        <v>VAIAN</v>
      </c>
      <c r="AY1311" s="1" t="str">
        <f t="shared" si="853"/>
        <v>PF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 t="str">
        <f t="shared" si="856"/>
        <v>TOMAIA GOMMA</v>
      </c>
      <c r="BF1311" s="1" t="str">
        <f t="shared" si="854"/>
        <v>Bonis SpA</v>
      </c>
    </row>
    <row r="1312" spans="2:58" x14ac:dyDescent="0.25">
      <c r="B1312" s="1">
        <v>2470</v>
      </c>
      <c r="C1312" s="1" t="str">
        <f>"VAIAN4207S7/G1"</f>
        <v>VAIAN4207S7/G1</v>
      </c>
      <c r="E1312" s="1" t="str">
        <f>"42"</f>
        <v>42</v>
      </c>
      <c r="F1312" s="1" t="str">
        <f t="shared" si="843"/>
        <v>BONIS SPA</v>
      </c>
      <c r="G1312" s="1" t="str">
        <f t="shared" si="828"/>
        <v>STOCK SCAFFALE MP</v>
      </c>
      <c r="H1312" s="1" t="str">
        <f>"RED-DKBL"</f>
        <v>RED-DKBL</v>
      </c>
      <c r="K1312" s="1">
        <v>7</v>
      </c>
      <c r="L1312" s="1" t="str">
        <f t="shared" si="844"/>
        <v>01</v>
      </c>
      <c r="M1312" s="1" t="str">
        <f t="shared" si="830"/>
        <v>408</v>
      </c>
      <c r="N1312" s="1" t="str">
        <f t="shared" si="842"/>
        <v>005</v>
      </c>
      <c r="O1312" s="1" t="str">
        <f t="shared" si="845"/>
        <v>00</v>
      </c>
      <c r="P1312" s="1" t="str">
        <f t="shared" si="846"/>
        <v>S</v>
      </c>
      <c r="Q1312" s="1" t="str">
        <f t="shared" si="847"/>
        <v>P</v>
      </c>
      <c r="R1312" s="1" t="str">
        <f t="shared" si="848"/>
        <v>01</v>
      </c>
      <c r="S1312" s="1" t="str">
        <f t="shared" si="831"/>
        <v>04</v>
      </c>
      <c r="T1312" s="1" t="str">
        <f t="shared" si="849"/>
        <v>False</v>
      </c>
      <c r="U1312" s="1" t="str">
        <f t="shared" si="850"/>
        <v>True</v>
      </c>
      <c r="V1312" s="1" t="str">
        <f>"U0034795"</f>
        <v>U0034795</v>
      </c>
      <c r="W1312" s="1">
        <v>1</v>
      </c>
      <c r="Y1312" s="1">
        <v>0</v>
      </c>
      <c r="Z1312" s="1">
        <v>0</v>
      </c>
      <c r="AI1312" s="1" t="str">
        <f t="shared" si="857"/>
        <v>F10</v>
      </c>
      <c r="AJ1312" s="1" t="str">
        <f>"UNISEX"</f>
        <v>UNISEX</v>
      </c>
      <c r="AK1312" s="1" t="str">
        <f t="shared" si="851"/>
        <v>PA</v>
      </c>
      <c r="AP1312" s="1" t="str">
        <f t="shared" si="852"/>
        <v>False</v>
      </c>
      <c r="AR1312" s="1" t="str">
        <f>"VAIAN"</f>
        <v>VAIAN</v>
      </c>
      <c r="AY1312" s="1" t="str">
        <f t="shared" si="853"/>
        <v>PF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 t="str">
        <f t="shared" si="856"/>
        <v>TOMAIA GOMMA</v>
      </c>
      <c r="BF1312" s="1" t="str">
        <f t="shared" si="854"/>
        <v>Bonis SpA</v>
      </c>
    </row>
    <row r="1313" spans="2:58" x14ac:dyDescent="0.25">
      <c r="B1313" s="1">
        <v>2470</v>
      </c>
      <c r="C1313" s="1" t="str">
        <f>"VAIAK4119S7/G1"</f>
        <v>VAIAK4119S7/G1</v>
      </c>
      <c r="E1313" s="1" t="str">
        <f>"38"</f>
        <v>38</v>
      </c>
      <c r="F1313" s="1" t="str">
        <f t="shared" si="843"/>
        <v>BONIS SPA</v>
      </c>
      <c r="G1313" s="1" t="str">
        <f t="shared" si="828"/>
        <v>STOCK SCAFFALE MP</v>
      </c>
      <c r="H1313" s="1" t="str">
        <f>"SKBL"</f>
        <v>SKBL</v>
      </c>
      <c r="K1313" s="1">
        <v>2</v>
      </c>
      <c r="L1313" s="1" t="str">
        <f t="shared" si="844"/>
        <v>01</v>
      </c>
      <c r="M1313" s="1" t="str">
        <f t="shared" si="830"/>
        <v>408</v>
      </c>
      <c r="N1313" s="1" t="str">
        <f t="shared" si="842"/>
        <v>005</v>
      </c>
      <c r="O1313" s="1" t="str">
        <f t="shared" si="845"/>
        <v>00</v>
      </c>
      <c r="P1313" s="1" t="str">
        <f t="shared" si="846"/>
        <v>S</v>
      </c>
      <c r="Q1313" s="1" t="str">
        <f t="shared" si="847"/>
        <v>P</v>
      </c>
      <c r="R1313" s="1" t="str">
        <f t="shared" si="848"/>
        <v>01</v>
      </c>
      <c r="S1313" s="1" t="str">
        <f t="shared" si="831"/>
        <v>04</v>
      </c>
      <c r="T1313" s="1" t="str">
        <f t="shared" si="849"/>
        <v>False</v>
      </c>
      <c r="U1313" s="1" t="str">
        <f t="shared" si="850"/>
        <v>True</v>
      </c>
      <c r="V1313" s="1" t="str">
        <f>"U0034796"</f>
        <v>U0034796</v>
      </c>
      <c r="W1313" s="1">
        <v>1</v>
      </c>
      <c r="Y1313" s="1">
        <v>0</v>
      </c>
      <c r="Z1313" s="1">
        <v>0</v>
      </c>
      <c r="AI1313" s="1" t="str">
        <f t="shared" si="857"/>
        <v>F10</v>
      </c>
      <c r="AJ1313" s="1" t="str">
        <f>"KID"</f>
        <v>KID</v>
      </c>
      <c r="AK1313" s="1" t="str">
        <f t="shared" si="851"/>
        <v>PA</v>
      </c>
      <c r="AP1313" s="1" t="str">
        <f t="shared" si="852"/>
        <v>False</v>
      </c>
      <c r="AR1313" s="1" t="str">
        <f>"VAIAK"</f>
        <v>VAIAK</v>
      </c>
      <c r="AY1313" s="1" t="str">
        <f t="shared" si="853"/>
        <v>PF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 t="str">
        <f t="shared" si="856"/>
        <v>TOMAIA GOMMA</v>
      </c>
      <c r="BF1313" s="1" t="str">
        <f t="shared" si="854"/>
        <v>Bonis SpA</v>
      </c>
    </row>
    <row r="1314" spans="2:58" x14ac:dyDescent="0.25">
      <c r="B1314" s="1">
        <v>2470</v>
      </c>
      <c r="C1314" s="1" t="str">
        <f>"VAIAN4207S7/G1"</f>
        <v>VAIAN4207S7/G1</v>
      </c>
      <c r="E1314" s="1" t="str">
        <f>"45"</f>
        <v>45</v>
      </c>
      <c r="F1314" s="1" t="str">
        <f t="shared" si="843"/>
        <v>BONIS SPA</v>
      </c>
      <c r="G1314" s="1" t="str">
        <f t="shared" si="828"/>
        <v>STOCK SCAFFALE MP</v>
      </c>
      <c r="H1314" s="1" t="str">
        <f>"RED-DKBL"</f>
        <v>RED-DKBL</v>
      </c>
      <c r="K1314" s="1">
        <v>5</v>
      </c>
      <c r="L1314" s="1" t="str">
        <f t="shared" si="844"/>
        <v>01</v>
      </c>
      <c r="M1314" s="1" t="str">
        <f t="shared" si="830"/>
        <v>408</v>
      </c>
      <c r="N1314" s="1" t="str">
        <f t="shared" si="842"/>
        <v>005</v>
      </c>
      <c r="O1314" s="1" t="str">
        <f t="shared" si="845"/>
        <v>00</v>
      </c>
      <c r="P1314" s="1" t="str">
        <f t="shared" si="846"/>
        <v>S</v>
      </c>
      <c r="Q1314" s="1" t="str">
        <f t="shared" si="847"/>
        <v>P</v>
      </c>
      <c r="R1314" s="1" t="str">
        <f t="shared" si="848"/>
        <v>01</v>
      </c>
      <c r="S1314" s="1" t="str">
        <f t="shared" si="831"/>
        <v>04</v>
      </c>
      <c r="T1314" s="1" t="str">
        <f t="shared" si="849"/>
        <v>False</v>
      </c>
      <c r="U1314" s="1" t="str">
        <f t="shared" si="850"/>
        <v>True</v>
      </c>
      <c r="V1314" s="1" t="str">
        <f>"U0034795"</f>
        <v>U0034795</v>
      </c>
      <c r="W1314" s="1">
        <v>1</v>
      </c>
      <c r="Y1314" s="1">
        <v>0</v>
      </c>
      <c r="Z1314" s="1">
        <v>0</v>
      </c>
      <c r="AI1314" s="1" t="str">
        <f t="shared" si="857"/>
        <v>F10</v>
      </c>
      <c r="AJ1314" s="1" t="str">
        <f t="shared" ref="AJ1314:AJ1345" si="859">"UNISEX"</f>
        <v>UNISEX</v>
      </c>
      <c r="AK1314" s="1" t="str">
        <f t="shared" si="851"/>
        <v>PA</v>
      </c>
      <c r="AP1314" s="1" t="str">
        <f t="shared" si="852"/>
        <v>False</v>
      </c>
      <c r="AR1314" s="1" t="str">
        <f t="shared" ref="AR1314:AR1345" si="860">"VAIAN"</f>
        <v>VAIAN</v>
      </c>
      <c r="AY1314" s="1" t="str">
        <f t="shared" si="853"/>
        <v>PF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 t="str">
        <f t="shared" si="856"/>
        <v>TOMAIA GOMMA</v>
      </c>
      <c r="BF1314" s="1" t="str">
        <f t="shared" si="854"/>
        <v>Bonis SpA</v>
      </c>
    </row>
    <row r="1315" spans="2:58" x14ac:dyDescent="0.25">
      <c r="B1315" s="1">
        <v>2470</v>
      </c>
      <c r="C1315" s="1" t="str">
        <f>"VAIAN4207S7/G1"</f>
        <v>VAIAN4207S7/G1</v>
      </c>
      <c r="E1315" s="1" t="str">
        <f>"43"</f>
        <v>43</v>
      </c>
      <c r="F1315" s="1" t="str">
        <f t="shared" si="843"/>
        <v>BONIS SPA</v>
      </c>
      <c r="G1315" s="1" t="str">
        <f t="shared" si="828"/>
        <v>STOCK SCAFFALE MP</v>
      </c>
      <c r="H1315" s="1" t="str">
        <f>"RED-DKBL"</f>
        <v>RED-DKBL</v>
      </c>
      <c r="K1315" s="1">
        <v>10</v>
      </c>
      <c r="L1315" s="1" t="str">
        <f t="shared" si="844"/>
        <v>01</v>
      </c>
      <c r="M1315" s="1" t="str">
        <f t="shared" si="830"/>
        <v>408</v>
      </c>
      <c r="N1315" s="1" t="str">
        <f t="shared" si="842"/>
        <v>005</v>
      </c>
      <c r="O1315" s="1" t="str">
        <f t="shared" si="845"/>
        <v>00</v>
      </c>
      <c r="P1315" s="1" t="str">
        <f t="shared" si="846"/>
        <v>S</v>
      </c>
      <c r="Q1315" s="1" t="str">
        <f t="shared" si="847"/>
        <v>P</v>
      </c>
      <c r="R1315" s="1" t="str">
        <f t="shared" si="848"/>
        <v>01</v>
      </c>
      <c r="S1315" s="1" t="str">
        <f t="shared" si="831"/>
        <v>04</v>
      </c>
      <c r="T1315" s="1" t="str">
        <f t="shared" si="849"/>
        <v>False</v>
      </c>
      <c r="U1315" s="1" t="str">
        <f t="shared" si="850"/>
        <v>True</v>
      </c>
      <c r="V1315" s="1" t="str">
        <f>"U0034795"</f>
        <v>U0034795</v>
      </c>
      <c r="W1315" s="1">
        <v>1</v>
      </c>
      <c r="Y1315" s="1">
        <v>0</v>
      </c>
      <c r="Z1315" s="1">
        <v>0</v>
      </c>
      <c r="AI1315" s="1" t="str">
        <f t="shared" si="857"/>
        <v>F10</v>
      </c>
      <c r="AJ1315" s="1" t="str">
        <f t="shared" si="859"/>
        <v>UNISEX</v>
      </c>
      <c r="AK1315" s="1" t="str">
        <f t="shared" si="851"/>
        <v>PA</v>
      </c>
      <c r="AP1315" s="1" t="str">
        <f t="shared" si="852"/>
        <v>False</v>
      </c>
      <c r="AR1315" s="1" t="str">
        <f t="shared" si="860"/>
        <v>VAIAN</v>
      </c>
      <c r="AY1315" s="1" t="str">
        <f t="shared" si="853"/>
        <v>PF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 t="str">
        <f t="shared" si="856"/>
        <v>TOMAIA GOMMA</v>
      </c>
      <c r="BF1315" s="1" t="str">
        <f t="shared" si="854"/>
        <v>Bonis SpA</v>
      </c>
    </row>
    <row r="1316" spans="2:58" x14ac:dyDescent="0.25">
      <c r="B1316" s="1">
        <v>2467</v>
      </c>
      <c r="C1316" s="1" t="str">
        <f t="shared" ref="C1316:C1321" si="861">"VAIAN4209S7/G1"</f>
        <v>VAIAN4209S7/G1</v>
      </c>
      <c r="E1316" s="1" t="str">
        <f>"43"</f>
        <v>43</v>
      </c>
      <c r="F1316" s="1" t="str">
        <f t="shared" si="843"/>
        <v>BONIS SPA</v>
      </c>
      <c r="G1316" s="1" t="str">
        <f t="shared" si="828"/>
        <v>STOCK SCAFFALE MP</v>
      </c>
      <c r="H1316" s="1" t="str">
        <f>"MILG"</f>
        <v>MILG</v>
      </c>
      <c r="K1316" s="1">
        <v>5</v>
      </c>
      <c r="L1316" s="1" t="str">
        <f t="shared" si="844"/>
        <v>01</v>
      </c>
      <c r="M1316" s="1" t="str">
        <f t="shared" si="830"/>
        <v>408</v>
      </c>
      <c r="N1316" s="1" t="str">
        <f>"004"</f>
        <v>004</v>
      </c>
      <c r="O1316" s="1" t="str">
        <f t="shared" si="845"/>
        <v>00</v>
      </c>
      <c r="P1316" s="1" t="str">
        <f t="shared" si="846"/>
        <v>S</v>
      </c>
      <c r="Q1316" s="1" t="str">
        <f t="shared" si="847"/>
        <v>P</v>
      </c>
      <c r="R1316" s="1" t="str">
        <f t="shared" si="848"/>
        <v>01</v>
      </c>
      <c r="S1316" s="1" t="str">
        <f t="shared" si="831"/>
        <v>04</v>
      </c>
      <c r="T1316" s="1" t="str">
        <f t="shared" si="849"/>
        <v>False</v>
      </c>
      <c r="U1316" s="1" t="str">
        <f t="shared" si="850"/>
        <v>True</v>
      </c>
      <c r="V1316" s="1" t="str">
        <f>"U0034732"</f>
        <v>U0034732</v>
      </c>
      <c r="W1316" s="1">
        <v>1</v>
      </c>
      <c r="Y1316" s="1">
        <v>0</v>
      </c>
      <c r="Z1316" s="1">
        <v>0</v>
      </c>
      <c r="AI1316" s="1" t="str">
        <f t="shared" si="857"/>
        <v>F10</v>
      </c>
      <c r="AJ1316" s="1" t="str">
        <f t="shared" si="859"/>
        <v>UNISEX</v>
      </c>
      <c r="AK1316" s="1" t="str">
        <f t="shared" si="851"/>
        <v>PA</v>
      </c>
      <c r="AP1316" s="1" t="str">
        <f t="shared" si="852"/>
        <v>False</v>
      </c>
      <c r="AR1316" s="1" t="str">
        <f t="shared" si="860"/>
        <v>VAIAN</v>
      </c>
      <c r="AY1316" s="1" t="str">
        <f t="shared" si="853"/>
        <v>PF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 t="str">
        <f t="shared" si="856"/>
        <v>TOMAIA GOMMA</v>
      </c>
      <c r="BF1316" s="1" t="str">
        <f t="shared" si="854"/>
        <v>Bonis SpA</v>
      </c>
    </row>
    <row r="1317" spans="2:58" x14ac:dyDescent="0.25">
      <c r="B1317" s="1">
        <v>2467</v>
      </c>
      <c r="C1317" s="1" t="str">
        <f t="shared" si="861"/>
        <v>VAIAN4209S7/G1</v>
      </c>
      <c r="E1317" s="1" t="str">
        <f>"39"</f>
        <v>39</v>
      </c>
      <c r="F1317" s="1" t="str">
        <f t="shared" si="843"/>
        <v>BONIS SPA</v>
      </c>
      <c r="G1317" s="1" t="str">
        <f t="shared" si="828"/>
        <v>STOCK SCAFFALE MP</v>
      </c>
      <c r="H1317" s="1" t="str">
        <f>"MILG"</f>
        <v>MILG</v>
      </c>
      <c r="K1317" s="1">
        <v>4</v>
      </c>
      <c r="L1317" s="1" t="str">
        <f t="shared" si="844"/>
        <v>01</v>
      </c>
      <c r="M1317" s="1" t="str">
        <f t="shared" si="830"/>
        <v>408</v>
      </c>
      <c r="N1317" s="1" t="str">
        <f>"004"</f>
        <v>004</v>
      </c>
      <c r="O1317" s="1" t="str">
        <f t="shared" si="845"/>
        <v>00</v>
      </c>
      <c r="P1317" s="1" t="str">
        <f t="shared" si="846"/>
        <v>S</v>
      </c>
      <c r="Q1317" s="1" t="str">
        <f t="shared" si="847"/>
        <v>P</v>
      </c>
      <c r="R1317" s="1" t="str">
        <f t="shared" si="848"/>
        <v>01</v>
      </c>
      <c r="S1317" s="1" t="str">
        <f t="shared" si="831"/>
        <v>04</v>
      </c>
      <c r="T1317" s="1" t="str">
        <f t="shared" si="849"/>
        <v>False</v>
      </c>
      <c r="U1317" s="1" t="str">
        <f t="shared" si="850"/>
        <v>True</v>
      </c>
      <c r="V1317" s="1" t="str">
        <f>"U0034732"</f>
        <v>U0034732</v>
      </c>
      <c r="W1317" s="1">
        <v>1</v>
      </c>
      <c r="Y1317" s="1">
        <v>0</v>
      </c>
      <c r="Z1317" s="1">
        <v>0</v>
      </c>
      <c r="AI1317" s="1" t="str">
        <f t="shared" si="857"/>
        <v>F10</v>
      </c>
      <c r="AJ1317" s="1" t="str">
        <f t="shared" si="859"/>
        <v>UNISEX</v>
      </c>
      <c r="AK1317" s="1" t="str">
        <f t="shared" si="851"/>
        <v>PA</v>
      </c>
      <c r="AP1317" s="1" t="str">
        <f t="shared" si="852"/>
        <v>False</v>
      </c>
      <c r="AR1317" s="1" t="str">
        <f t="shared" si="860"/>
        <v>VAIAN</v>
      </c>
      <c r="AY1317" s="1" t="str">
        <f t="shared" si="853"/>
        <v>PF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 t="str">
        <f t="shared" si="856"/>
        <v>TOMAIA GOMMA</v>
      </c>
      <c r="BF1317" s="1" t="str">
        <f t="shared" si="854"/>
        <v>Bonis SpA</v>
      </c>
    </row>
    <row r="1318" spans="2:58" x14ac:dyDescent="0.25">
      <c r="B1318" s="1">
        <v>2467</v>
      </c>
      <c r="C1318" s="1" t="str">
        <f t="shared" si="861"/>
        <v>VAIAN4209S7/G1</v>
      </c>
      <c r="E1318" s="1" t="str">
        <f>"45"</f>
        <v>45</v>
      </c>
      <c r="F1318" s="1" t="str">
        <f t="shared" si="843"/>
        <v>BONIS SPA</v>
      </c>
      <c r="G1318" s="1" t="str">
        <f t="shared" si="828"/>
        <v>STOCK SCAFFALE MP</v>
      </c>
      <c r="H1318" s="1" t="str">
        <f>"MILG"</f>
        <v>MILG</v>
      </c>
      <c r="K1318" s="1">
        <v>1</v>
      </c>
      <c r="L1318" s="1" t="str">
        <f t="shared" si="844"/>
        <v>01</v>
      </c>
      <c r="M1318" s="1" t="str">
        <f t="shared" si="830"/>
        <v>408</v>
      </c>
      <c r="N1318" s="1" t="str">
        <f>"004"</f>
        <v>004</v>
      </c>
      <c r="O1318" s="1" t="str">
        <f t="shared" si="845"/>
        <v>00</v>
      </c>
      <c r="P1318" s="1" t="str">
        <f t="shared" si="846"/>
        <v>S</v>
      </c>
      <c r="Q1318" s="1" t="str">
        <f t="shared" si="847"/>
        <v>P</v>
      </c>
      <c r="R1318" s="1" t="str">
        <f t="shared" si="848"/>
        <v>01</v>
      </c>
      <c r="S1318" s="1" t="str">
        <f t="shared" si="831"/>
        <v>04</v>
      </c>
      <c r="T1318" s="1" t="str">
        <f t="shared" si="849"/>
        <v>False</v>
      </c>
      <c r="U1318" s="1" t="str">
        <f t="shared" si="850"/>
        <v>True</v>
      </c>
      <c r="V1318" s="1" t="str">
        <f>"U0034732"</f>
        <v>U0034732</v>
      </c>
      <c r="W1318" s="1">
        <v>1</v>
      </c>
      <c r="Y1318" s="1">
        <v>0</v>
      </c>
      <c r="Z1318" s="1">
        <v>0</v>
      </c>
      <c r="AI1318" s="1" t="str">
        <f t="shared" si="857"/>
        <v>F10</v>
      </c>
      <c r="AJ1318" s="1" t="str">
        <f t="shared" si="859"/>
        <v>UNISEX</v>
      </c>
      <c r="AK1318" s="1" t="str">
        <f t="shared" si="851"/>
        <v>PA</v>
      </c>
      <c r="AP1318" s="1" t="str">
        <f t="shared" si="852"/>
        <v>False</v>
      </c>
      <c r="AR1318" s="1" t="str">
        <f t="shared" si="860"/>
        <v>VAIAN</v>
      </c>
      <c r="AY1318" s="1" t="str">
        <f t="shared" si="853"/>
        <v>PF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 t="str">
        <f t="shared" si="856"/>
        <v>TOMAIA GOMMA</v>
      </c>
      <c r="BF1318" s="1" t="str">
        <f t="shared" si="854"/>
        <v>Bonis SpA</v>
      </c>
    </row>
    <row r="1319" spans="2:58" x14ac:dyDescent="0.25">
      <c r="B1319" s="1">
        <v>2470</v>
      </c>
      <c r="C1319" s="1" t="str">
        <f t="shared" si="861"/>
        <v>VAIAN4209S7/G1</v>
      </c>
      <c r="E1319" s="1" t="str">
        <f>"39"</f>
        <v>39</v>
      </c>
      <c r="F1319" s="1" t="str">
        <f t="shared" si="843"/>
        <v>BONIS SPA</v>
      </c>
      <c r="G1319" s="1" t="str">
        <f t="shared" si="828"/>
        <v>STOCK SCAFFALE MP</v>
      </c>
      <c r="H1319" s="1" t="str">
        <f>"RED"</f>
        <v>RED</v>
      </c>
      <c r="K1319" s="1">
        <v>1</v>
      </c>
      <c r="L1319" s="1" t="str">
        <f t="shared" si="844"/>
        <v>01</v>
      </c>
      <c r="M1319" s="1" t="str">
        <f t="shared" si="830"/>
        <v>408</v>
      </c>
      <c r="N1319" s="1" t="str">
        <f>"005"</f>
        <v>005</v>
      </c>
      <c r="O1319" s="1" t="str">
        <f t="shared" si="845"/>
        <v>00</v>
      </c>
      <c r="P1319" s="1" t="str">
        <f t="shared" si="846"/>
        <v>S</v>
      </c>
      <c r="Q1319" s="1" t="str">
        <f t="shared" si="847"/>
        <v>P</v>
      </c>
      <c r="R1319" s="1" t="str">
        <f t="shared" si="848"/>
        <v>01</v>
      </c>
      <c r="S1319" s="1" t="str">
        <f t="shared" si="831"/>
        <v>04</v>
      </c>
      <c r="T1319" s="1" t="str">
        <f t="shared" si="849"/>
        <v>False</v>
      </c>
      <c r="U1319" s="1" t="str">
        <f t="shared" si="850"/>
        <v>True</v>
      </c>
      <c r="V1319" s="1" t="str">
        <f>"U0034795"</f>
        <v>U0034795</v>
      </c>
      <c r="W1319" s="1">
        <v>1</v>
      </c>
      <c r="Y1319" s="1">
        <v>0</v>
      </c>
      <c r="Z1319" s="1">
        <v>0</v>
      </c>
      <c r="AI1319" s="1" t="str">
        <f t="shared" si="857"/>
        <v>F10</v>
      </c>
      <c r="AJ1319" s="1" t="str">
        <f t="shared" si="859"/>
        <v>UNISEX</v>
      </c>
      <c r="AK1319" s="1" t="str">
        <f t="shared" si="851"/>
        <v>PA</v>
      </c>
      <c r="AP1319" s="1" t="str">
        <f t="shared" si="852"/>
        <v>False</v>
      </c>
      <c r="AR1319" s="1" t="str">
        <f t="shared" si="860"/>
        <v>VAIAN</v>
      </c>
      <c r="AY1319" s="1" t="str">
        <f t="shared" si="853"/>
        <v>PF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 t="str">
        <f t="shared" si="856"/>
        <v>TOMAIA GOMMA</v>
      </c>
      <c r="BF1319" s="1" t="str">
        <f t="shared" si="854"/>
        <v>Bonis SpA</v>
      </c>
    </row>
    <row r="1320" spans="2:58" x14ac:dyDescent="0.25">
      <c r="B1320" s="1">
        <v>2467</v>
      </c>
      <c r="C1320" s="1" t="str">
        <f t="shared" si="861"/>
        <v>VAIAN4209S7/G1</v>
      </c>
      <c r="E1320" s="1" t="str">
        <f>"40"</f>
        <v>40</v>
      </c>
      <c r="F1320" s="1" t="str">
        <f t="shared" si="843"/>
        <v>BONIS SPA</v>
      </c>
      <c r="G1320" s="1" t="str">
        <f t="shared" si="828"/>
        <v>STOCK SCAFFALE MP</v>
      </c>
      <c r="H1320" s="1" t="str">
        <f>"MILG"</f>
        <v>MILG</v>
      </c>
      <c r="K1320" s="1">
        <v>3</v>
      </c>
      <c r="L1320" s="1" t="str">
        <f t="shared" si="844"/>
        <v>01</v>
      </c>
      <c r="M1320" s="1" t="str">
        <f t="shared" si="830"/>
        <v>408</v>
      </c>
      <c r="N1320" s="1" t="str">
        <f>"004"</f>
        <v>004</v>
      </c>
      <c r="O1320" s="1" t="str">
        <f t="shared" si="845"/>
        <v>00</v>
      </c>
      <c r="P1320" s="1" t="str">
        <f t="shared" si="846"/>
        <v>S</v>
      </c>
      <c r="Q1320" s="1" t="str">
        <f t="shared" si="847"/>
        <v>P</v>
      </c>
      <c r="R1320" s="1" t="str">
        <f t="shared" si="848"/>
        <v>01</v>
      </c>
      <c r="S1320" s="1" t="str">
        <f t="shared" si="831"/>
        <v>04</v>
      </c>
      <c r="T1320" s="1" t="str">
        <f t="shared" si="849"/>
        <v>False</v>
      </c>
      <c r="U1320" s="1" t="str">
        <f t="shared" si="850"/>
        <v>True</v>
      </c>
      <c r="V1320" s="1" t="str">
        <f>"U0034732"</f>
        <v>U0034732</v>
      </c>
      <c r="W1320" s="1">
        <v>1</v>
      </c>
      <c r="Y1320" s="1">
        <v>0</v>
      </c>
      <c r="Z1320" s="1">
        <v>0</v>
      </c>
      <c r="AI1320" s="1" t="str">
        <f t="shared" si="857"/>
        <v>F10</v>
      </c>
      <c r="AJ1320" s="1" t="str">
        <f t="shared" si="859"/>
        <v>UNISEX</v>
      </c>
      <c r="AK1320" s="1" t="str">
        <f t="shared" si="851"/>
        <v>PA</v>
      </c>
      <c r="AP1320" s="1" t="str">
        <f t="shared" si="852"/>
        <v>False</v>
      </c>
      <c r="AR1320" s="1" t="str">
        <f t="shared" si="860"/>
        <v>VAIAN</v>
      </c>
      <c r="AY1320" s="1" t="str">
        <f t="shared" si="853"/>
        <v>PF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 t="str">
        <f t="shared" si="856"/>
        <v>TOMAIA GOMMA</v>
      </c>
      <c r="BF1320" s="1" t="str">
        <f t="shared" si="854"/>
        <v>Bonis SpA</v>
      </c>
    </row>
    <row r="1321" spans="2:58" x14ac:dyDescent="0.25">
      <c r="B1321" s="1">
        <v>2467</v>
      </c>
      <c r="C1321" s="1" t="str">
        <f t="shared" si="861"/>
        <v>VAIAN4209S7/G1</v>
      </c>
      <c r="E1321" s="1" t="str">
        <f>"36"</f>
        <v>36</v>
      </c>
      <c r="F1321" s="1" t="str">
        <f t="shared" si="843"/>
        <v>BONIS SPA</v>
      </c>
      <c r="G1321" s="1" t="str">
        <f t="shared" si="828"/>
        <v>STOCK SCAFFALE MP</v>
      </c>
      <c r="H1321" s="1" t="str">
        <f>"MILG"</f>
        <v>MILG</v>
      </c>
      <c r="K1321" s="1">
        <v>1</v>
      </c>
      <c r="L1321" s="1" t="str">
        <f t="shared" si="844"/>
        <v>01</v>
      </c>
      <c r="M1321" s="1" t="str">
        <f t="shared" si="830"/>
        <v>408</v>
      </c>
      <c r="N1321" s="1" t="str">
        <f>"004"</f>
        <v>004</v>
      </c>
      <c r="O1321" s="1" t="str">
        <f t="shared" si="845"/>
        <v>00</v>
      </c>
      <c r="P1321" s="1" t="str">
        <f t="shared" si="846"/>
        <v>S</v>
      </c>
      <c r="Q1321" s="1" t="str">
        <f t="shared" si="847"/>
        <v>P</v>
      </c>
      <c r="R1321" s="1" t="str">
        <f t="shared" si="848"/>
        <v>01</v>
      </c>
      <c r="S1321" s="1" t="str">
        <f t="shared" si="831"/>
        <v>04</v>
      </c>
      <c r="T1321" s="1" t="str">
        <f t="shared" si="849"/>
        <v>False</v>
      </c>
      <c r="U1321" s="1" t="str">
        <f t="shared" si="850"/>
        <v>True</v>
      </c>
      <c r="V1321" s="1" t="str">
        <f>"U0034732"</f>
        <v>U0034732</v>
      </c>
      <c r="W1321" s="1">
        <v>1</v>
      </c>
      <c r="Y1321" s="1">
        <v>0</v>
      </c>
      <c r="Z1321" s="1">
        <v>0</v>
      </c>
      <c r="AI1321" s="1" t="str">
        <f t="shared" si="857"/>
        <v>F10</v>
      </c>
      <c r="AJ1321" s="1" t="str">
        <f t="shared" si="859"/>
        <v>UNISEX</v>
      </c>
      <c r="AK1321" s="1" t="str">
        <f t="shared" si="851"/>
        <v>PA</v>
      </c>
      <c r="AP1321" s="1" t="str">
        <f t="shared" si="852"/>
        <v>False</v>
      </c>
      <c r="AR1321" s="1" t="str">
        <f t="shared" si="860"/>
        <v>VAIAN</v>
      </c>
      <c r="AY1321" s="1" t="str">
        <f t="shared" si="853"/>
        <v>PF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 t="str">
        <f t="shared" si="856"/>
        <v>TOMAIA GOMMA</v>
      </c>
      <c r="BF1321" s="1" t="str">
        <f t="shared" si="854"/>
        <v>Bonis SpA</v>
      </c>
    </row>
    <row r="1322" spans="2:58" x14ac:dyDescent="0.25">
      <c r="B1322" s="1">
        <v>2470</v>
      </c>
      <c r="C1322" s="1" t="str">
        <f>"VAIAN4207S7/G1"</f>
        <v>VAIAN4207S7/G1</v>
      </c>
      <c r="E1322" s="1" t="str">
        <f>"40"</f>
        <v>40</v>
      </c>
      <c r="F1322" s="1" t="str">
        <f t="shared" si="843"/>
        <v>BONIS SPA</v>
      </c>
      <c r="G1322" s="1" t="str">
        <f t="shared" si="828"/>
        <v>STOCK SCAFFALE MP</v>
      </c>
      <c r="H1322" s="1" t="str">
        <f>"RED-DKBL"</f>
        <v>RED-DKBL</v>
      </c>
      <c r="K1322" s="1">
        <v>1</v>
      </c>
      <c r="L1322" s="1" t="str">
        <f t="shared" si="844"/>
        <v>01</v>
      </c>
      <c r="M1322" s="1" t="str">
        <f t="shared" si="830"/>
        <v>408</v>
      </c>
      <c r="N1322" s="1" t="str">
        <f>"005"</f>
        <v>005</v>
      </c>
      <c r="O1322" s="1" t="str">
        <f t="shared" si="845"/>
        <v>00</v>
      </c>
      <c r="P1322" s="1" t="str">
        <f t="shared" si="846"/>
        <v>S</v>
      </c>
      <c r="Q1322" s="1" t="str">
        <f t="shared" si="847"/>
        <v>P</v>
      </c>
      <c r="R1322" s="1" t="str">
        <f t="shared" si="848"/>
        <v>01</v>
      </c>
      <c r="S1322" s="1" t="str">
        <f t="shared" si="831"/>
        <v>04</v>
      </c>
      <c r="T1322" s="1" t="str">
        <f t="shared" si="849"/>
        <v>False</v>
      </c>
      <c r="U1322" s="1" t="str">
        <f t="shared" si="850"/>
        <v>True</v>
      </c>
      <c r="V1322" s="1" t="str">
        <f>"U0034795"</f>
        <v>U0034795</v>
      </c>
      <c r="W1322" s="1">
        <v>1</v>
      </c>
      <c r="Y1322" s="1">
        <v>0</v>
      </c>
      <c r="Z1322" s="1">
        <v>0</v>
      </c>
      <c r="AI1322" s="1" t="str">
        <f t="shared" si="857"/>
        <v>F10</v>
      </c>
      <c r="AJ1322" s="1" t="str">
        <f t="shared" si="859"/>
        <v>UNISEX</v>
      </c>
      <c r="AK1322" s="1" t="str">
        <f t="shared" si="851"/>
        <v>PA</v>
      </c>
      <c r="AP1322" s="1" t="str">
        <f t="shared" si="852"/>
        <v>False</v>
      </c>
      <c r="AR1322" s="1" t="str">
        <f t="shared" si="860"/>
        <v>VAIAN</v>
      </c>
      <c r="AY1322" s="1" t="str">
        <f t="shared" si="853"/>
        <v>PF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 t="str">
        <f t="shared" si="856"/>
        <v>TOMAIA GOMMA</v>
      </c>
      <c r="BF1322" s="1" t="str">
        <f t="shared" si="854"/>
        <v>Bonis SpA</v>
      </c>
    </row>
    <row r="1323" spans="2:58" x14ac:dyDescent="0.25">
      <c r="B1323" s="1">
        <v>2467</v>
      </c>
      <c r="C1323" s="1" t="str">
        <f t="shared" ref="C1323:C1328" si="862">"VAIAN4209S7/G1"</f>
        <v>VAIAN4209S7/G1</v>
      </c>
      <c r="E1323" s="1" t="str">
        <f>"39"</f>
        <v>39</v>
      </c>
      <c r="F1323" s="1" t="str">
        <f t="shared" si="843"/>
        <v>BONIS SPA</v>
      </c>
      <c r="G1323" s="1" t="str">
        <f t="shared" si="828"/>
        <v>STOCK SCAFFALE MP</v>
      </c>
      <c r="H1323" s="1" t="str">
        <f>"DKBL"</f>
        <v>DKBL</v>
      </c>
      <c r="K1323" s="1">
        <v>3</v>
      </c>
      <c r="L1323" s="1" t="str">
        <f t="shared" si="844"/>
        <v>01</v>
      </c>
      <c r="M1323" s="1" t="str">
        <f t="shared" si="830"/>
        <v>408</v>
      </c>
      <c r="N1323" s="1" t="str">
        <f>"004"</f>
        <v>004</v>
      </c>
      <c r="O1323" s="1" t="str">
        <f t="shared" si="845"/>
        <v>00</v>
      </c>
      <c r="P1323" s="1" t="str">
        <f t="shared" si="846"/>
        <v>S</v>
      </c>
      <c r="Q1323" s="1" t="str">
        <f t="shared" si="847"/>
        <v>P</v>
      </c>
      <c r="R1323" s="1" t="str">
        <f t="shared" si="848"/>
        <v>01</v>
      </c>
      <c r="S1323" s="1" t="str">
        <f t="shared" si="831"/>
        <v>04</v>
      </c>
      <c r="T1323" s="1" t="str">
        <f t="shared" si="849"/>
        <v>False</v>
      </c>
      <c r="U1323" s="1" t="str">
        <f t="shared" si="850"/>
        <v>True</v>
      </c>
      <c r="V1323" s="1" t="str">
        <f>"U0034732"</f>
        <v>U0034732</v>
      </c>
      <c r="W1323" s="1">
        <v>1</v>
      </c>
      <c r="Y1323" s="1">
        <v>0</v>
      </c>
      <c r="Z1323" s="1">
        <v>0</v>
      </c>
      <c r="AI1323" s="1" t="str">
        <f t="shared" si="857"/>
        <v>F10</v>
      </c>
      <c r="AJ1323" s="1" t="str">
        <f t="shared" si="859"/>
        <v>UNISEX</v>
      </c>
      <c r="AK1323" s="1" t="str">
        <f t="shared" si="851"/>
        <v>PA</v>
      </c>
      <c r="AP1323" s="1" t="str">
        <f t="shared" si="852"/>
        <v>False</v>
      </c>
      <c r="AR1323" s="1" t="str">
        <f t="shared" si="860"/>
        <v>VAIAN</v>
      </c>
      <c r="AY1323" s="1" t="str">
        <f t="shared" si="853"/>
        <v>PF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 t="str">
        <f t="shared" si="856"/>
        <v>TOMAIA GOMMA</v>
      </c>
      <c r="BF1323" s="1" t="str">
        <f t="shared" si="854"/>
        <v>Bonis SpA</v>
      </c>
    </row>
    <row r="1324" spans="2:58" x14ac:dyDescent="0.25">
      <c r="B1324" s="1">
        <v>2467</v>
      </c>
      <c r="C1324" s="1" t="str">
        <f t="shared" si="862"/>
        <v>VAIAN4209S7/G1</v>
      </c>
      <c r="E1324" s="1" t="str">
        <f>"36"</f>
        <v>36</v>
      </c>
      <c r="F1324" s="1" t="str">
        <f t="shared" si="843"/>
        <v>BONIS SPA</v>
      </c>
      <c r="G1324" s="1" t="str">
        <f t="shared" si="828"/>
        <v>STOCK SCAFFALE MP</v>
      </c>
      <c r="H1324" s="1" t="str">
        <f>"DKBL"</f>
        <v>DKBL</v>
      </c>
      <c r="K1324" s="1">
        <v>1</v>
      </c>
      <c r="L1324" s="1" t="str">
        <f t="shared" si="844"/>
        <v>01</v>
      </c>
      <c r="M1324" s="1" t="str">
        <f t="shared" si="830"/>
        <v>408</v>
      </c>
      <c r="N1324" s="1" t="str">
        <f>"004"</f>
        <v>004</v>
      </c>
      <c r="O1324" s="1" t="str">
        <f t="shared" si="845"/>
        <v>00</v>
      </c>
      <c r="P1324" s="1" t="str">
        <f t="shared" si="846"/>
        <v>S</v>
      </c>
      <c r="Q1324" s="1" t="str">
        <f t="shared" si="847"/>
        <v>P</v>
      </c>
      <c r="R1324" s="1" t="str">
        <f t="shared" si="848"/>
        <v>01</v>
      </c>
      <c r="S1324" s="1" t="str">
        <f t="shared" si="831"/>
        <v>04</v>
      </c>
      <c r="T1324" s="1" t="str">
        <f t="shared" si="849"/>
        <v>False</v>
      </c>
      <c r="U1324" s="1" t="str">
        <f t="shared" si="850"/>
        <v>True</v>
      </c>
      <c r="V1324" s="1" t="str">
        <f>"U0034732"</f>
        <v>U0034732</v>
      </c>
      <c r="W1324" s="1">
        <v>1</v>
      </c>
      <c r="Y1324" s="1">
        <v>0</v>
      </c>
      <c r="Z1324" s="1">
        <v>0</v>
      </c>
      <c r="AI1324" s="1" t="str">
        <f t="shared" si="857"/>
        <v>F10</v>
      </c>
      <c r="AJ1324" s="1" t="str">
        <f t="shared" si="859"/>
        <v>UNISEX</v>
      </c>
      <c r="AK1324" s="1" t="str">
        <f t="shared" si="851"/>
        <v>PA</v>
      </c>
      <c r="AP1324" s="1" t="str">
        <f t="shared" si="852"/>
        <v>False</v>
      </c>
      <c r="AR1324" s="1" t="str">
        <f t="shared" si="860"/>
        <v>VAIAN</v>
      </c>
      <c r="AY1324" s="1" t="str">
        <f t="shared" si="853"/>
        <v>PF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 t="str">
        <f t="shared" si="856"/>
        <v>TOMAIA GOMMA</v>
      </c>
      <c r="BF1324" s="1" t="str">
        <f t="shared" si="854"/>
        <v>Bonis SpA</v>
      </c>
    </row>
    <row r="1325" spans="2:58" x14ac:dyDescent="0.25">
      <c r="B1325" s="1">
        <v>2467</v>
      </c>
      <c r="C1325" s="1" t="str">
        <f t="shared" si="862"/>
        <v>VAIAN4209S7/G1</v>
      </c>
      <c r="E1325" s="1" t="str">
        <f>"38"</f>
        <v>38</v>
      </c>
      <c r="F1325" s="1" t="str">
        <f t="shared" si="843"/>
        <v>BONIS SPA</v>
      </c>
      <c r="G1325" s="1" t="str">
        <f t="shared" si="828"/>
        <v>STOCK SCAFFALE MP</v>
      </c>
      <c r="H1325" s="1" t="str">
        <f>"DKBL"</f>
        <v>DKBL</v>
      </c>
      <c r="K1325" s="1">
        <v>3</v>
      </c>
      <c r="L1325" s="1" t="str">
        <f t="shared" si="844"/>
        <v>01</v>
      </c>
      <c r="M1325" s="1" t="str">
        <f t="shared" si="830"/>
        <v>408</v>
      </c>
      <c r="N1325" s="1" t="str">
        <f>"004"</f>
        <v>004</v>
      </c>
      <c r="O1325" s="1" t="str">
        <f t="shared" si="845"/>
        <v>00</v>
      </c>
      <c r="P1325" s="1" t="str">
        <f t="shared" si="846"/>
        <v>S</v>
      </c>
      <c r="Q1325" s="1" t="str">
        <f t="shared" si="847"/>
        <v>P</v>
      </c>
      <c r="R1325" s="1" t="str">
        <f t="shared" si="848"/>
        <v>01</v>
      </c>
      <c r="S1325" s="1" t="str">
        <f t="shared" si="831"/>
        <v>04</v>
      </c>
      <c r="T1325" s="1" t="str">
        <f t="shared" si="849"/>
        <v>False</v>
      </c>
      <c r="U1325" s="1" t="str">
        <f t="shared" si="850"/>
        <v>True</v>
      </c>
      <c r="V1325" s="1" t="str">
        <f>"U0034732"</f>
        <v>U0034732</v>
      </c>
      <c r="W1325" s="1">
        <v>1</v>
      </c>
      <c r="Y1325" s="1">
        <v>0</v>
      </c>
      <c r="Z1325" s="1">
        <v>0</v>
      </c>
      <c r="AI1325" s="1" t="str">
        <f t="shared" si="857"/>
        <v>F10</v>
      </c>
      <c r="AJ1325" s="1" t="str">
        <f t="shared" si="859"/>
        <v>UNISEX</v>
      </c>
      <c r="AK1325" s="1" t="str">
        <f t="shared" si="851"/>
        <v>PA</v>
      </c>
      <c r="AP1325" s="1" t="str">
        <f t="shared" si="852"/>
        <v>False</v>
      </c>
      <c r="AR1325" s="1" t="str">
        <f t="shared" si="860"/>
        <v>VAIAN</v>
      </c>
      <c r="AY1325" s="1" t="str">
        <f t="shared" si="853"/>
        <v>PF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 t="str">
        <f t="shared" si="856"/>
        <v>TOMAIA GOMMA</v>
      </c>
      <c r="BF1325" s="1" t="str">
        <f t="shared" si="854"/>
        <v>Bonis SpA</v>
      </c>
    </row>
    <row r="1326" spans="2:58" x14ac:dyDescent="0.25">
      <c r="B1326" s="1">
        <v>2467</v>
      </c>
      <c r="C1326" s="1" t="str">
        <f t="shared" si="862"/>
        <v>VAIAN4209S7/G1</v>
      </c>
      <c r="E1326" s="1" t="str">
        <f>"37"</f>
        <v>37</v>
      </c>
      <c r="F1326" s="1" t="str">
        <f t="shared" si="843"/>
        <v>BONIS SPA</v>
      </c>
      <c r="G1326" s="1" t="str">
        <f t="shared" si="828"/>
        <v>STOCK SCAFFALE MP</v>
      </c>
      <c r="H1326" s="1" t="str">
        <f>"DKBL"</f>
        <v>DKBL</v>
      </c>
      <c r="K1326" s="1">
        <v>2</v>
      </c>
      <c r="L1326" s="1" t="str">
        <f t="shared" si="844"/>
        <v>01</v>
      </c>
      <c r="M1326" s="1" t="str">
        <f t="shared" si="830"/>
        <v>408</v>
      </c>
      <c r="N1326" s="1" t="str">
        <f>"004"</f>
        <v>004</v>
      </c>
      <c r="O1326" s="1" t="str">
        <f t="shared" si="845"/>
        <v>00</v>
      </c>
      <c r="P1326" s="1" t="str">
        <f t="shared" si="846"/>
        <v>S</v>
      </c>
      <c r="Q1326" s="1" t="str">
        <f t="shared" si="847"/>
        <v>P</v>
      </c>
      <c r="R1326" s="1" t="str">
        <f t="shared" si="848"/>
        <v>01</v>
      </c>
      <c r="S1326" s="1" t="str">
        <f t="shared" si="831"/>
        <v>04</v>
      </c>
      <c r="T1326" s="1" t="str">
        <f t="shared" si="849"/>
        <v>False</v>
      </c>
      <c r="U1326" s="1" t="str">
        <f t="shared" si="850"/>
        <v>True</v>
      </c>
      <c r="V1326" s="1" t="str">
        <f>"U0034732"</f>
        <v>U0034732</v>
      </c>
      <c r="W1326" s="1">
        <v>1</v>
      </c>
      <c r="Y1326" s="1">
        <v>0</v>
      </c>
      <c r="Z1326" s="1">
        <v>0</v>
      </c>
      <c r="AI1326" s="1" t="str">
        <f t="shared" si="857"/>
        <v>F10</v>
      </c>
      <c r="AJ1326" s="1" t="str">
        <f t="shared" si="859"/>
        <v>UNISEX</v>
      </c>
      <c r="AK1326" s="1" t="str">
        <f t="shared" si="851"/>
        <v>PA</v>
      </c>
      <c r="AP1326" s="1" t="str">
        <f t="shared" si="852"/>
        <v>False</v>
      </c>
      <c r="AR1326" s="1" t="str">
        <f t="shared" si="860"/>
        <v>VAIAN</v>
      </c>
      <c r="AY1326" s="1" t="str">
        <f t="shared" si="853"/>
        <v>PF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 t="str">
        <f t="shared" si="856"/>
        <v>TOMAIA GOMMA</v>
      </c>
      <c r="BF1326" s="1" t="str">
        <f t="shared" si="854"/>
        <v>Bonis SpA</v>
      </c>
    </row>
    <row r="1327" spans="2:58" x14ac:dyDescent="0.25">
      <c r="B1327" s="1">
        <v>2467</v>
      </c>
      <c r="C1327" s="1" t="str">
        <f t="shared" si="862"/>
        <v>VAIAN4209S7/G1</v>
      </c>
      <c r="E1327" s="1" t="str">
        <f>"40"</f>
        <v>40</v>
      </c>
      <c r="F1327" s="1" t="str">
        <f t="shared" si="843"/>
        <v>BONIS SPA</v>
      </c>
      <c r="G1327" s="1" t="str">
        <f t="shared" si="828"/>
        <v>STOCK SCAFFALE MP</v>
      </c>
      <c r="H1327" s="1" t="str">
        <f>"DKBL"</f>
        <v>DKBL</v>
      </c>
      <c r="K1327" s="1">
        <v>2</v>
      </c>
      <c r="L1327" s="1" t="str">
        <f t="shared" si="844"/>
        <v>01</v>
      </c>
      <c r="M1327" s="1" t="str">
        <f t="shared" si="830"/>
        <v>408</v>
      </c>
      <c r="N1327" s="1" t="str">
        <f>"004"</f>
        <v>004</v>
      </c>
      <c r="O1327" s="1" t="str">
        <f t="shared" si="845"/>
        <v>00</v>
      </c>
      <c r="P1327" s="1" t="str">
        <f t="shared" si="846"/>
        <v>S</v>
      </c>
      <c r="Q1327" s="1" t="str">
        <f t="shared" si="847"/>
        <v>P</v>
      </c>
      <c r="R1327" s="1" t="str">
        <f t="shared" si="848"/>
        <v>01</v>
      </c>
      <c r="S1327" s="1" t="str">
        <f t="shared" si="831"/>
        <v>04</v>
      </c>
      <c r="T1327" s="1" t="str">
        <f t="shared" si="849"/>
        <v>False</v>
      </c>
      <c r="U1327" s="1" t="str">
        <f t="shared" si="850"/>
        <v>True</v>
      </c>
      <c r="V1327" s="1" t="str">
        <f>"U0034732"</f>
        <v>U0034732</v>
      </c>
      <c r="W1327" s="1">
        <v>1</v>
      </c>
      <c r="Y1327" s="1">
        <v>0</v>
      </c>
      <c r="Z1327" s="1">
        <v>0</v>
      </c>
      <c r="AI1327" s="1" t="str">
        <f t="shared" si="857"/>
        <v>F10</v>
      </c>
      <c r="AJ1327" s="1" t="str">
        <f t="shared" si="859"/>
        <v>UNISEX</v>
      </c>
      <c r="AK1327" s="1" t="str">
        <f t="shared" si="851"/>
        <v>PA</v>
      </c>
      <c r="AP1327" s="1" t="str">
        <f t="shared" si="852"/>
        <v>False</v>
      </c>
      <c r="AR1327" s="1" t="str">
        <f t="shared" si="860"/>
        <v>VAIAN</v>
      </c>
      <c r="AY1327" s="1" t="str">
        <f t="shared" si="853"/>
        <v>PF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 t="str">
        <f t="shared" si="856"/>
        <v>TOMAIA GOMMA</v>
      </c>
      <c r="BF1327" s="1" t="str">
        <f t="shared" si="854"/>
        <v>Bonis SpA</v>
      </c>
    </row>
    <row r="1328" spans="2:58" x14ac:dyDescent="0.25">
      <c r="B1328" s="1">
        <v>2470</v>
      </c>
      <c r="C1328" s="1" t="str">
        <f t="shared" si="862"/>
        <v>VAIAN4209S7/G1</v>
      </c>
      <c r="E1328" s="1" t="str">
        <f>"44"</f>
        <v>44</v>
      </c>
      <c r="F1328" s="1" t="str">
        <f t="shared" si="843"/>
        <v>BONIS SPA</v>
      </c>
      <c r="G1328" s="1" t="str">
        <f t="shared" ref="G1328:G1391" si="863">"STOCK SCAFFALE MP"</f>
        <v>STOCK SCAFFALE MP</v>
      </c>
      <c r="H1328" s="1" t="str">
        <f>"MILG"</f>
        <v>MILG</v>
      </c>
      <c r="K1328" s="1">
        <v>2</v>
      </c>
      <c r="L1328" s="1" t="str">
        <f t="shared" si="844"/>
        <v>01</v>
      </c>
      <c r="M1328" s="1" t="str">
        <f t="shared" ref="M1328:M1391" si="864">"408"</f>
        <v>408</v>
      </c>
      <c r="N1328" s="1" t="str">
        <f>"005"</f>
        <v>005</v>
      </c>
      <c r="O1328" s="1" t="str">
        <f t="shared" si="845"/>
        <v>00</v>
      </c>
      <c r="P1328" s="1" t="str">
        <f t="shared" si="846"/>
        <v>S</v>
      </c>
      <c r="Q1328" s="1" t="str">
        <f t="shared" si="847"/>
        <v>P</v>
      </c>
      <c r="R1328" s="1" t="str">
        <f t="shared" si="848"/>
        <v>01</v>
      </c>
      <c r="S1328" s="1" t="str">
        <f t="shared" ref="S1328:S1391" si="865">"04"</f>
        <v>04</v>
      </c>
      <c r="T1328" s="1" t="str">
        <f t="shared" si="849"/>
        <v>False</v>
      </c>
      <c r="U1328" s="1" t="str">
        <f t="shared" si="850"/>
        <v>True</v>
      </c>
      <c r="V1328" s="1" t="str">
        <f>"U0034734"</f>
        <v>U0034734</v>
      </c>
      <c r="W1328" s="1">
        <v>1</v>
      </c>
      <c r="Y1328" s="1">
        <v>0</v>
      </c>
      <c r="Z1328" s="1">
        <v>0</v>
      </c>
      <c r="AI1328" s="1" t="str">
        <f t="shared" si="857"/>
        <v>F10</v>
      </c>
      <c r="AJ1328" s="1" t="str">
        <f t="shared" si="859"/>
        <v>UNISEX</v>
      </c>
      <c r="AK1328" s="1" t="str">
        <f t="shared" si="851"/>
        <v>PA</v>
      </c>
      <c r="AP1328" s="1" t="str">
        <f t="shared" si="852"/>
        <v>False</v>
      </c>
      <c r="AR1328" s="1" t="str">
        <f t="shared" si="860"/>
        <v>VAIAN</v>
      </c>
      <c r="AY1328" s="1" t="str">
        <f t="shared" si="853"/>
        <v>PF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 t="str">
        <f t="shared" si="856"/>
        <v>TOMAIA GOMMA</v>
      </c>
      <c r="BF1328" s="1" t="str">
        <f t="shared" si="854"/>
        <v>Bonis SpA</v>
      </c>
    </row>
    <row r="1329" spans="2:58" x14ac:dyDescent="0.25">
      <c r="B1329" s="1">
        <v>2467</v>
      </c>
      <c r="C1329" s="1" t="str">
        <f>"VAIAN4207S7/G1"</f>
        <v>VAIAN4207S7/G1</v>
      </c>
      <c r="E1329" s="1" t="str">
        <f>"43"</f>
        <v>43</v>
      </c>
      <c r="F1329" s="1" t="str">
        <f t="shared" si="843"/>
        <v>BONIS SPA</v>
      </c>
      <c r="G1329" s="1" t="str">
        <f t="shared" si="863"/>
        <v>STOCK SCAFFALE MP</v>
      </c>
      <c r="H1329" s="1" t="str">
        <f>"RED-DKBL"</f>
        <v>RED-DKBL</v>
      </c>
      <c r="K1329" s="1">
        <v>12</v>
      </c>
      <c r="L1329" s="1" t="str">
        <f t="shared" si="844"/>
        <v>01</v>
      </c>
      <c r="M1329" s="1" t="str">
        <f t="shared" si="864"/>
        <v>408</v>
      </c>
      <c r="N1329" s="1" t="str">
        <f>"004"</f>
        <v>004</v>
      </c>
      <c r="O1329" s="1" t="str">
        <f t="shared" si="845"/>
        <v>00</v>
      </c>
      <c r="P1329" s="1" t="str">
        <f t="shared" si="846"/>
        <v>S</v>
      </c>
      <c r="Q1329" s="1" t="str">
        <f t="shared" si="847"/>
        <v>P</v>
      </c>
      <c r="R1329" s="1" t="str">
        <f t="shared" si="848"/>
        <v>01</v>
      </c>
      <c r="S1329" s="1" t="str">
        <f t="shared" si="865"/>
        <v>04</v>
      </c>
      <c r="T1329" s="1" t="str">
        <f t="shared" si="849"/>
        <v>False</v>
      </c>
      <c r="U1329" s="1" t="str">
        <f t="shared" si="850"/>
        <v>True</v>
      </c>
      <c r="V1329" s="1" t="str">
        <f>"U0034733"</f>
        <v>U0034733</v>
      </c>
      <c r="W1329" s="1">
        <v>1</v>
      </c>
      <c r="Y1329" s="1">
        <v>0</v>
      </c>
      <c r="Z1329" s="1">
        <v>0</v>
      </c>
      <c r="AI1329" s="1" t="str">
        <f t="shared" si="857"/>
        <v>F10</v>
      </c>
      <c r="AJ1329" s="1" t="str">
        <f t="shared" si="859"/>
        <v>UNISEX</v>
      </c>
      <c r="AK1329" s="1" t="str">
        <f t="shared" si="851"/>
        <v>PA</v>
      </c>
      <c r="AP1329" s="1" t="str">
        <f t="shared" si="852"/>
        <v>False</v>
      </c>
      <c r="AR1329" s="1" t="str">
        <f t="shared" si="860"/>
        <v>VAIAN</v>
      </c>
      <c r="AY1329" s="1" t="str">
        <f t="shared" si="853"/>
        <v>PF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 t="str">
        <f t="shared" si="856"/>
        <v>TOMAIA GOMMA</v>
      </c>
      <c r="BF1329" s="1" t="str">
        <f t="shared" si="854"/>
        <v>Bonis SpA</v>
      </c>
    </row>
    <row r="1330" spans="2:58" x14ac:dyDescent="0.25">
      <c r="B1330" s="1">
        <v>2470</v>
      </c>
      <c r="C1330" s="1" t="str">
        <f>"VAIAN4209S7/G1"</f>
        <v>VAIAN4209S7/G1</v>
      </c>
      <c r="E1330" s="1" t="str">
        <f>"40"</f>
        <v>40</v>
      </c>
      <c r="F1330" s="1" t="str">
        <f t="shared" si="843"/>
        <v>BONIS SPA</v>
      </c>
      <c r="G1330" s="1" t="str">
        <f t="shared" si="863"/>
        <v>STOCK SCAFFALE MP</v>
      </c>
      <c r="H1330" s="1" t="str">
        <f>"MILG"</f>
        <v>MILG</v>
      </c>
      <c r="K1330" s="1">
        <v>10</v>
      </c>
      <c r="L1330" s="1" t="str">
        <f t="shared" si="844"/>
        <v>01</v>
      </c>
      <c r="M1330" s="1" t="str">
        <f t="shared" si="864"/>
        <v>408</v>
      </c>
      <c r="N1330" s="1" t="str">
        <f>"005"</f>
        <v>005</v>
      </c>
      <c r="O1330" s="1" t="str">
        <f t="shared" si="845"/>
        <v>00</v>
      </c>
      <c r="P1330" s="1" t="str">
        <f t="shared" si="846"/>
        <v>S</v>
      </c>
      <c r="Q1330" s="1" t="str">
        <f t="shared" si="847"/>
        <v>P</v>
      </c>
      <c r="R1330" s="1" t="str">
        <f t="shared" si="848"/>
        <v>01</v>
      </c>
      <c r="S1330" s="1" t="str">
        <f t="shared" si="865"/>
        <v>04</v>
      </c>
      <c r="T1330" s="1" t="str">
        <f t="shared" si="849"/>
        <v>False</v>
      </c>
      <c r="U1330" s="1" t="str">
        <f t="shared" si="850"/>
        <v>True</v>
      </c>
      <c r="V1330" s="1" t="str">
        <f>"U0034734"</f>
        <v>U0034734</v>
      </c>
      <c r="W1330" s="1">
        <v>1</v>
      </c>
      <c r="Y1330" s="1">
        <v>0</v>
      </c>
      <c r="Z1330" s="1">
        <v>0</v>
      </c>
      <c r="AI1330" s="1" t="str">
        <f t="shared" si="857"/>
        <v>F10</v>
      </c>
      <c r="AJ1330" s="1" t="str">
        <f t="shared" si="859"/>
        <v>UNISEX</v>
      </c>
      <c r="AK1330" s="1" t="str">
        <f t="shared" si="851"/>
        <v>PA</v>
      </c>
      <c r="AP1330" s="1" t="str">
        <f t="shared" si="852"/>
        <v>False</v>
      </c>
      <c r="AR1330" s="1" t="str">
        <f t="shared" si="860"/>
        <v>VAIAN</v>
      </c>
      <c r="AY1330" s="1" t="str">
        <f t="shared" si="853"/>
        <v>PF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 t="str">
        <f t="shared" si="856"/>
        <v>TOMAIA GOMMA</v>
      </c>
      <c r="BF1330" s="1" t="str">
        <f t="shared" si="854"/>
        <v>Bonis SpA</v>
      </c>
    </row>
    <row r="1331" spans="2:58" x14ac:dyDescent="0.25">
      <c r="B1331" s="1">
        <v>2470</v>
      </c>
      <c r="C1331" s="1" t="str">
        <f>"VAIAN4209S7/G1"</f>
        <v>VAIAN4209S7/G1</v>
      </c>
      <c r="E1331" s="1" t="str">
        <f>"37"</f>
        <v>37</v>
      </c>
      <c r="F1331" s="1" t="str">
        <f t="shared" si="843"/>
        <v>BONIS SPA</v>
      </c>
      <c r="G1331" s="1" t="str">
        <f t="shared" si="863"/>
        <v>STOCK SCAFFALE MP</v>
      </c>
      <c r="H1331" s="1" t="str">
        <f>"MILG"</f>
        <v>MILG</v>
      </c>
      <c r="K1331" s="1">
        <v>2</v>
      </c>
      <c r="L1331" s="1" t="str">
        <f t="shared" si="844"/>
        <v>01</v>
      </c>
      <c r="M1331" s="1" t="str">
        <f t="shared" si="864"/>
        <v>408</v>
      </c>
      <c r="N1331" s="1" t="str">
        <f>"005"</f>
        <v>005</v>
      </c>
      <c r="O1331" s="1" t="str">
        <f t="shared" si="845"/>
        <v>00</v>
      </c>
      <c r="P1331" s="1" t="str">
        <f t="shared" si="846"/>
        <v>S</v>
      </c>
      <c r="Q1331" s="1" t="str">
        <f t="shared" si="847"/>
        <v>P</v>
      </c>
      <c r="R1331" s="1" t="str">
        <f t="shared" si="848"/>
        <v>01</v>
      </c>
      <c r="S1331" s="1" t="str">
        <f t="shared" si="865"/>
        <v>04</v>
      </c>
      <c r="T1331" s="1" t="str">
        <f t="shared" si="849"/>
        <v>False</v>
      </c>
      <c r="U1331" s="1" t="str">
        <f t="shared" si="850"/>
        <v>True</v>
      </c>
      <c r="V1331" s="1" t="str">
        <f>"U0034734"</f>
        <v>U0034734</v>
      </c>
      <c r="W1331" s="1">
        <v>1</v>
      </c>
      <c r="Y1331" s="1">
        <v>0</v>
      </c>
      <c r="Z1331" s="1">
        <v>0</v>
      </c>
      <c r="AI1331" s="1" t="str">
        <f t="shared" si="857"/>
        <v>F10</v>
      </c>
      <c r="AJ1331" s="1" t="str">
        <f t="shared" si="859"/>
        <v>UNISEX</v>
      </c>
      <c r="AK1331" s="1" t="str">
        <f t="shared" si="851"/>
        <v>PA</v>
      </c>
      <c r="AP1331" s="1" t="str">
        <f t="shared" si="852"/>
        <v>False</v>
      </c>
      <c r="AR1331" s="1" t="str">
        <f t="shared" si="860"/>
        <v>VAIAN</v>
      </c>
      <c r="AY1331" s="1" t="str">
        <f t="shared" si="853"/>
        <v>PF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 t="str">
        <f t="shared" ref="BE1331:BE1362" si="866">"TOMAIA GOMMA"</f>
        <v>TOMAIA GOMMA</v>
      </c>
      <c r="BF1331" s="1" t="str">
        <f t="shared" si="854"/>
        <v>Bonis SpA</v>
      </c>
    </row>
    <row r="1332" spans="2:58" x14ac:dyDescent="0.25">
      <c r="B1332" s="1">
        <v>2470</v>
      </c>
      <c r="C1332" s="1" t="str">
        <f>"VAIAN4209S7/G1"</f>
        <v>VAIAN4209S7/G1</v>
      </c>
      <c r="E1332" s="1" t="str">
        <f>"36"</f>
        <v>36</v>
      </c>
      <c r="F1332" s="1" t="str">
        <f t="shared" si="843"/>
        <v>BONIS SPA</v>
      </c>
      <c r="G1332" s="1" t="str">
        <f t="shared" si="863"/>
        <v>STOCK SCAFFALE MP</v>
      </c>
      <c r="H1332" s="1" t="str">
        <f>"MILG"</f>
        <v>MILG</v>
      </c>
      <c r="K1332" s="1">
        <v>1</v>
      </c>
      <c r="L1332" s="1" t="str">
        <f t="shared" si="844"/>
        <v>01</v>
      </c>
      <c r="M1332" s="1" t="str">
        <f t="shared" si="864"/>
        <v>408</v>
      </c>
      <c r="N1332" s="1" t="str">
        <f>"005"</f>
        <v>005</v>
      </c>
      <c r="O1332" s="1" t="str">
        <f t="shared" si="845"/>
        <v>00</v>
      </c>
      <c r="P1332" s="1" t="str">
        <f t="shared" si="846"/>
        <v>S</v>
      </c>
      <c r="Q1332" s="1" t="str">
        <f t="shared" si="847"/>
        <v>P</v>
      </c>
      <c r="R1332" s="1" t="str">
        <f t="shared" si="848"/>
        <v>01</v>
      </c>
      <c r="S1332" s="1" t="str">
        <f t="shared" si="865"/>
        <v>04</v>
      </c>
      <c r="T1332" s="1" t="str">
        <f t="shared" si="849"/>
        <v>False</v>
      </c>
      <c r="U1332" s="1" t="str">
        <f t="shared" si="850"/>
        <v>True</v>
      </c>
      <c r="V1332" s="1" t="str">
        <f>"U0034734"</f>
        <v>U0034734</v>
      </c>
      <c r="W1332" s="1">
        <v>1</v>
      </c>
      <c r="Y1332" s="1">
        <v>0</v>
      </c>
      <c r="Z1332" s="1">
        <v>0</v>
      </c>
      <c r="AI1332" s="1" t="str">
        <f t="shared" si="857"/>
        <v>F10</v>
      </c>
      <c r="AJ1332" s="1" t="str">
        <f t="shared" si="859"/>
        <v>UNISEX</v>
      </c>
      <c r="AK1332" s="1" t="str">
        <f t="shared" si="851"/>
        <v>PA</v>
      </c>
      <c r="AP1332" s="1" t="str">
        <f t="shared" si="852"/>
        <v>False</v>
      </c>
      <c r="AR1332" s="1" t="str">
        <f t="shared" si="860"/>
        <v>VAIAN</v>
      </c>
      <c r="AY1332" s="1" t="str">
        <f t="shared" si="853"/>
        <v>PF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 t="str">
        <f t="shared" si="866"/>
        <v>TOMAIA GOMMA</v>
      </c>
      <c r="BF1332" s="1" t="str">
        <f t="shared" si="854"/>
        <v>Bonis SpA</v>
      </c>
    </row>
    <row r="1333" spans="2:58" x14ac:dyDescent="0.25">
      <c r="B1333" s="1">
        <v>2470</v>
      </c>
      <c r="C1333" s="1" t="str">
        <f>"VAIAN4209S7/G1"</f>
        <v>VAIAN4209S7/G1</v>
      </c>
      <c r="E1333" s="1" t="str">
        <f>"38"</f>
        <v>38</v>
      </c>
      <c r="F1333" s="1" t="str">
        <f t="shared" si="843"/>
        <v>BONIS SPA</v>
      </c>
      <c r="G1333" s="1" t="str">
        <f t="shared" si="863"/>
        <v>STOCK SCAFFALE MP</v>
      </c>
      <c r="H1333" s="1" t="str">
        <f>"MILG"</f>
        <v>MILG</v>
      </c>
      <c r="K1333" s="1">
        <v>3</v>
      </c>
      <c r="L1333" s="1" t="str">
        <f t="shared" si="844"/>
        <v>01</v>
      </c>
      <c r="M1333" s="1" t="str">
        <f t="shared" si="864"/>
        <v>408</v>
      </c>
      <c r="N1333" s="1" t="str">
        <f>"005"</f>
        <v>005</v>
      </c>
      <c r="O1333" s="1" t="str">
        <f t="shared" si="845"/>
        <v>00</v>
      </c>
      <c r="P1333" s="1" t="str">
        <f t="shared" si="846"/>
        <v>S</v>
      </c>
      <c r="Q1333" s="1" t="str">
        <f t="shared" si="847"/>
        <v>P</v>
      </c>
      <c r="R1333" s="1" t="str">
        <f t="shared" si="848"/>
        <v>01</v>
      </c>
      <c r="S1333" s="1" t="str">
        <f t="shared" si="865"/>
        <v>04</v>
      </c>
      <c r="T1333" s="1" t="str">
        <f t="shared" si="849"/>
        <v>False</v>
      </c>
      <c r="U1333" s="1" t="str">
        <f t="shared" si="850"/>
        <v>True</v>
      </c>
      <c r="V1333" s="1" t="str">
        <f>"U0034734"</f>
        <v>U0034734</v>
      </c>
      <c r="W1333" s="1">
        <v>1</v>
      </c>
      <c r="Y1333" s="1">
        <v>0</v>
      </c>
      <c r="Z1333" s="1">
        <v>0</v>
      </c>
      <c r="AI1333" s="1" t="str">
        <f t="shared" si="857"/>
        <v>F10</v>
      </c>
      <c r="AJ1333" s="1" t="str">
        <f t="shared" si="859"/>
        <v>UNISEX</v>
      </c>
      <c r="AK1333" s="1" t="str">
        <f t="shared" si="851"/>
        <v>PA</v>
      </c>
      <c r="AP1333" s="1" t="str">
        <f t="shared" si="852"/>
        <v>False</v>
      </c>
      <c r="AR1333" s="1" t="str">
        <f t="shared" si="860"/>
        <v>VAIAN</v>
      </c>
      <c r="AY1333" s="1" t="str">
        <f t="shared" si="853"/>
        <v>PF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 t="str">
        <f t="shared" si="866"/>
        <v>TOMAIA GOMMA</v>
      </c>
      <c r="BF1333" s="1" t="str">
        <f t="shared" si="854"/>
        <v>Bonis SpA</v>
      </c>
    </row>
    <row r="1334" spans="2:58" x14ac:dyDescent="0.25">
      <c r="B1334" s="1">
        <v>2467</v>
      </c>
      <c r="C1334" s="1" t="str">
        <f>"VAIAN4207S7/G1"</f>
        <v>VAIAN4207S7/G1</v>
      </c>
      <c r="E1334" s="1" t="str">
        <f>"42"</f>
        <v>42</v>
      </c>
      <c r="F1334" s="1" t="str">
        <f t="shared" si="843"/>
        <v>BONIS SPA</v>
      </c>
      <c r="G1334" s="1" t="str">
        <f t="shared" si="863"/>
        <v>STOCK SCAFFALE MP</v>
      </c>
      <c r="H1334" s="1" t="str">
        <f>"RED-DKBL"</f>
        <v>RED-DKBL</v>
      </c>
      <c r="K1334" s="1">
        <v>7</v>
      </c>
      <c r="L1334" s="1" t="str">
        <f t="shared" si="844"/>
        <v>01</v>
      </c>
      <c r="M1334" s="1" t="str">
        <f t="shared" si="864"/>
        <v>408</v>
      </c>
      <c r="N1334" s="1" t="str">
        <f t="shared" ref="N1334:N1365" si="867">"004"</f>
        <v>004</v>
      </c>
      <c r="O1334" s="1" t="str">
        <f t="shared" si="845"/>
        <v>00</v>
      </c>
      <c r="P1334" s="1" t="str">
        <f t="shared" si="846"/>
        <v>S</v>
      </c>
      <c r="Q1334" s="1" t="str">
        <f t="shared" si="847"/>
        <v>P</v>
      </c>
      <c r="R1334" s="1" t="str">
        <f t="shared" si="848"/>
        <v>01</v>
      </c>
      <c r="S1334" s="1" t="str">
        <f t="shared" si="865"/>
        <v>04</v>
      </c>
      <c r="T1334" s="1" t="str">
        <f t="shared" si="849"/>
        <v>False</v>
      </c>
      <c r="U1334" s="1" t="str">
        <f t="shared" si="850"/>
        <v>True</v>
      </c>
      <c r="V1334" s="1" t="str">
        <f>"U0034733"</f>
        <v>U0034733</v>
      </c>
      <c r="W1334" s="1">
        <v>1</v>
      </c>
      <c r="Y1334" s="1">
        <v>0</v>
      </c>
      <c r="Z1334" s="1">
        <v>0</v>
      </c>
      <c r="AI1334" s="1" t="str">
        <f t="shared" ref="AI1334:AI1365" si="868">"F10"</f>
        <v>F10</v>
      </c>
      <c r="AJ1334" s="1" t="str">
        <f t="shared" si="859"/>
        <v>UNISEX</v>
      </c>
      <c r="AK1334" s="1" t="str">
        <f t="shared" si="851"/>
        <v>PA</v>
      </c>
      <c r="AP1334" s="1" t="str">
        <f t="shared" si="852"/>
        <v>False</v>
      </c>
      <c r="AR1334" s="1" t="str">
        <f t="shared" si="860"/>
        <v>VAIAN</v>
      </c>
      <c r="AY1334" s="1" t="str">
        <f t="shared" si="853"/>
        <v>PF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 t="str">
        <f t="shared" si="866"/>
        <v>TOMAIA GOMMA</v>
      </c>
      <c r="BF1334" s="1" t="str">
        <f t="shared" si="854"/>
        <v>Bonis SpA</v>
      </c>
    </row>
    <row r="1335" spans="2:58" x14ac:dyDescent="0.25">
      <c r="B1335" s="1">
        <v>2467</v>
      </c>
      <c r="C1335" s="1" t="str">
        <f>"VAIAN4207S7/G1"</f>
        <v>VAIAN4207S7/G1</v>
      </c>
      <c r="E1335" s="1" t="str">
        <f>"45"</f>
        <v>45</v>
      </c>
      <c r="F1335" s="1" t="str">
        <f t="shared" si="843"/>
        <v>BONIS SPA</v>
      </c>
      <c r="G1335" s="1" t="str">
        <f t="shared" si="863"/>
        <v>STOCK SCAFFALE MP</v>
      </c>
      <c r="H1335" s="1" t="str">
        <f>"RED-DKBL"</f>
        <v>RED-DKBL</v>
      </c>
      <c r="K1335" s="1">
        <v>9</v>
      </c>
      <c r="L1335" s="1" t="str">
        <f t="shared" si="844"/>
        <v>01</v>
      </c>
      <c r="M1335" s="1" t="str">
        <f t="shared" si="864"/>
        <v>408</v>
      </c>
      <c r="N1335" s="1" t="str">
        <f t="shared" si="867"/>
        <v>004</v>
      </c>
      <c r="O1335" s="1" t="str">
        <f t="shared" si="845"/>
        <v>00</v>
      </c>
      <c r="P1335" s="1" t="str">
        <f t="shared" si="846"/>
        <v>S</v>
      </c>
      <c r="Q1335" s="1" t="str">
        <f t="shared" si="847"/>
        <v>P</v>
      </c>
      <c r="R1335" s="1" t="str">
        <f t="shared" si="848"/>
        <v>01</v>
      </c>
      <c r="S1335" s="1" t="str">
        <f t="shared" si="865"/>
        <v>04</v>
      </c>
      <c r="T1335" s="1" t="str">
        <f t="shared" si="849"/>
        <v>False</v>
      </c>
      <c r="U1335" s="1" t="str">
        <f t="shared" si="850"/>
        <v>True</v>
      </c>
      <c r="V1335" s="1" t="str">
        <f>"U0034733"</f>
        <v>U0034733</v>
      </c>
      <c r="W1335" s="1">
        <v>1</v>
      </c>
      <c r="Y1335" s="1">
        <v>0</v>
      </c>
      <c r="Z1335" s="1">
        <v>0</v>
      </c>
      <c r="AI1335" s="1" t="str">
        <f t="shared" si="868"/>
        <v>F10</v>
      </c>
      <c r="AJ1335" s="1" t="str">
        <f t="shared" si="859"/>
        <v>UNISEX</v>
      </c>
      <c r="AK1335" s="1" t="str">
        <f t="shared" si="851"/>
        <v>PA</v>
      </c>
      <c r="AP1335" s="1" t="str">
        <f t="shared" si="852"/>
        <v>False</v>
      </c>
      <c r="AR1335" s="1" t="str">
        <f t="shared" si="860"/>
        <v>VAIAN</v>
      </c>
      <c r="AY1335" s="1" t="str">
        <f t="shared" si="853"/>
        <v>PF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 t="str">
        <f t="shared" si="866"/>
        <v>TOMAIA GOMMA</v>
      </c>
      <c r="BF1335" s="1" t="str">
        <f t="shared" si="854"/>
        <v>Bonis SpA</v>
      </c>
    </row>
    <row r="1336" spans="2:58" x14ac:dyDescent="0.25">
      <c r="B1336" s="1">
        <v>2467</v>
      </c>
      <c r="C1336" s="1" t="str">
        <f>"VAIAN4207S7/G1"</f>
        <v>VAIAN4207S7/G1</v>
      </c>
      <c r="E1336" s="1" t="str">
        <f>"41"</f>
        <v>41</v>
      </c>
      <c r="F1336" s="1" t="str">
        <f t="shared" si="843"/>
        <v>BONIS SPA</v>
      </c>
      <c r="G1336" s="1" t="str">
        <f t="shared" si="863"/>
        <v>STOCK SCAFFALE MP</v>
      </c>
      <c r="H1336" s="1" t="str">
        <f>"RED-DKBL"</f>
        <v>RED-DKBL</v>
      </c>
      <c r="K1336" s="1">
        <v>2</v>
      </c>
      <c r="L1336" s="1" t="str">
        <f t="shared" si="844"/>
        <v>01</v>
      </c>
      <c r="M1336" s="1" t="str">
        <f t="shared" si="864"/>
        <v>408</v>
      </c>
      <c r="N1336" s="1" t="str">
        <f t="shared" si="867"/>
        <v>004</v>
      </c>
      <c r="O1336" s="1" t="str">
        <f t="shared" si="845"/>
        <v>00</v>
      </c>
      <c r="P1336" s="1" t="str">
        <f t="shared" si="846"/>
        <v>S</v>
      </c>
      <c r="Q1336" s="1" t="str">
        <f t="shared" si="847"/>
        <v>P</v>
      </c>
      <c r="R1336" s="1" t="str">
        <f t="shared" si="848"/>
        <v>01</v>
      </c>
      <c r="S1336" s="1" t="str">
        <f t="shared" si="865"/>
        <v>04</v>
      </c>
      <c r="T1336" s="1" t="str">
        <f t="shared" si="849"/>
        <v>False</v>
      </c>
      <c r="U1336" s="1" t="str">
        <f t="shared" si="850"/>
        <v>True</v>
      </c>
      <c r="V1336" s="1" t="str">
        <f>"U0034733"</f>
        <v>U0034733</v>
      </c>
      <c r="W1336" s="1">
        <v>1</v>
      </c>
      <c r="Y1336" s="1">
        <v>0</v>
      </c>
      <c r="Z1336" s="1">
        <v>0</v>
      </c>
      <c r="AI1336" s="1" t="str">
        <f t="shared" si="868"/>
        <v>F10</v>
      </c>
      <c r="AJ1336" s="1" t="str">
        <f t="shared" si="859"/>
        <v>UNISEX</v>
      </c>
      <c r="AK1336" s="1" t="str">
        <f t="shared" si="851"/>
        <v>PA</v>
      </c>
      <c r="AP1336" s="1" t="str">
        <f t="shared" si="852"/>
        <v>False</v>
      </c>
      <c r="AR1336" s="1" t="str">
        <f t="shared" si="860"/>
        <v>VAIAN</v>
      </c>
      <c r="AY1336" s="1" t="str">
        <f t="shared" si="853"/>
        <v>PF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 t="str">
        <f t="shared" si="866"/>
        <v>TOMAIA GOMMA</v>
      </c>
      <c r="BF1336" s="1" t="str">
        <f t="shared" si="854"/>
        <v>Bonis SpA</v>
      </c>
    </row>
    <row r="1337" spans="2:58" x14ac:dyDescent="0.25">
      <c r="B1337" s="1">
        <v>2467</v>
      </c>
      <c r="C1337" s="1" t="str">
        <f t="shared" ref="C1337:C1342" si="869">"VAIAN4209S7/G1"</f>
        <v>VAIAN4209S7/G1</v>
      </c>
      <c r="E1337" s="1" t="str">
        <f>"43"</f>
        <v>43</v>
      </c>
      <c r="F1337" s="1" t="str">
        <f t="shared" si="843"/>
        <v>BONIS SPA</v>
      </c>
      <c r="G1337" s="1" t="str">
        <f t="shared" si="863"/>
        <v>STOCK SCAFFALE MP</v>
      </c>
      <c r="H1337" s="1" t="str">
        <f>"YEL"</f>
        <v>YEL</v>
      </c>
      <c r="K1337" s="1">
        <v>6</v>
      </c>
      <c r="L1337" s="1" t="str">
        <f t="shared" si="844"/>
        <v>01</v>
      </c>
      <c r="M1337" s="1" t="str">
        <f t="shared" si="864"/>
        <v>408</v>
      </c>
      <c r="N1337" s="1" t="str">
        <f t="shared" si="867"/>
        <v>004</v>
      </c>
      <c r="O1337" s="1" t="str">
        <f t="shared" si="845"/>
        <v>00</v>
      </c>
      <c r="P1337" s="1" t="str">
        <f t="shared" si="846"/>
        <v>S</v>
      </c>
      <c r="Q1337" s="1" t="str">
        <f t="shared" si="847"/>
        <v>P</v>
      </c>
      <c r="R1337" s="1" t="str">
        <f t="shared" si="848"/>
        <v>01</v>
      </c>
      <c r="S1337" s="1" t="str">
        <f t="shared" si="865"/>
        <v>04</v>
      </c>
      <c r="T1337" s="1" t="str">
        <f t="shared" si="849"/>
        <v>False</v>
      </c>
      <c r="U1337" s="1" t="str">
        <f t="shared" si="850"/>
        <v>True</v>
      </c>
      <c r="V1337" s="1" t="str">
        <f t="shared" ref="V1337:V1346" si="870">"U0034736"</f>
        <v>U0034736</v>
      </c>
      <c r="W1337" s="1">
        <v>1</v>
      </c>
      <c r="Y1337" s="1">
        <v>0</v>
      </c>
      <c r="Z1337" s="1">
        <v>0</v>
      </c>
      <c r="AI1337" s="1" t="str">
        <f t="shared" si="868"/>
        <v>F10</v>
      </c>
      <c r="AJ1337" s="1" t="str">
        <f t="shared" si="859"/>
        <v>UNISEX</v>
      </c>
      <c r="AK1337" s="1" t="str">
        <f t="shared" si="851"/>
        <v>PA</v>
      </c>
      <c r="AP1337" s="1" t="str">
        <f t="shared" si="852"/>
        <v>False</v>
      </c>
      <c r="AR1337" s="1" t="str">
        <f t="shared" si="860"/>
        <v>VAIAN</v>
      </c>
      <c r="AY1337" s="1" t="str">
        <f t="shared" si="853"/>
        <v>PF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 t="str">
        <f t="shared" si="866"/>
        <v>TOMAIA GOMMA</v>
      </c>
      <c r="BF1337" s="1" t="str">
        <f t="shared" si="854"/>
        <v>Bonis SpA</v>
      </c>
    </row>
    <row r="1338" spans="2:58" x14ac:dyDescent="0.25">
      <c r="B1338" s="1">
        <v>2467</v>
      </c>
      <c r="C1338" s="1" t="str">
        <f t="shared" si="869"/>
        <v>VAIAN4209S7/G1</v>
      </c>
      <c r="E1338" s="1" t="str">
        <f>"44"</f>
        <v>44</v>
      </c>
      <c r="F1338" s="1" t="str">
        <f t="shared" si="843"/>
        <v>BONIS SPA</v>
      </c>
      <c r="G1338" s="1" t="str">
        <f t="shared" si="863"/>
        <v>STOCK SCAFFALE MP</v>
      </c>
      <c r="H1338" s="1" t="str">
        <f>"YEL"</f>
        <v>YEL</v>
      </c>
      <c r="K1338" s="1">
        <v>3</v>
      </c>
      <c r="L1338" s="1" t="str">
        <f t="shared" si="844"/>
        <v>01</v>
      </c>
      <c r="M1338" s="1" t="str">
        <f t="shared" si="864"/>
        <v>408</v>
      </c>
      <c r="N1338" s="1" t="str">
        <f t="shared" si="867"/>
        <v>004</v>
      </c>
      <c r="O1338" s="1" t="str">
        <f t="shared" si="845"/>
        <v>00</v>
      </c>
      <c r="P1338" s="1" t="str">
        <f t="shared" si="846"/>
        <v>S</v>
      </c>
      <c r="Q1338" s="1" t="str">
        <f t="shared" si="847"/>
        <v>P</v>
      </c>
      <c r="R1338" s="1" t="str">
        <f t="shared" si="848"/>
        <v>01</v>
      </c>
      <c r="S1338" s="1" t="str">
        <f t="shared" si="865"/>
        <v>04</v>
      </c>
      <c r="T1338" s="1" t="str">
        <f t="shared" si="849"/>
        <v>False</v>
      </c>
      <c r="U1338" s="1" t="str">
        <f t="shared" si="850"/>
        <v>True</v>
      </c>
      <c r="V1338" s="1" t="str">
        <f t="shared" si="870"/>
        <v>U0034736</v>
      </c>
      <c r="W1338" s="1">
        <v>1</v>
      </c>
      <c r="Y1338" s="1">
        <v>0</v>
      </c>
      <c r="Z1338" s="1">
        <v>0</v>
      </c>
      <c r="AI1338" s="1" t="str">
        <f t="shared" si="868"/>
        <v>F10</v>
      </c>
      <c r="AJ1338" s="1" t="str">
        <f t="shared" si="859"/>
        <v>UNISEX</v>
      </c>
      <c r="AK1338" s="1" t="str">
        <f t="shared" si="851"/>
        <v>PA</v>
      </c>
      <c r="AP1338" s="1" t="str">
        <f t="shared" si="852"/>
        <v>False</v>
      </c>
      <c r="AR1338" s="1" t="str">
        <f t="shared" si="860"/>
        <v>VAIAN</v>
      </c>
      <c r="AY1338" s="1" t="str">
        <f t="shared" si="853"/>
        <v>PF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 t="str">
        <f t="shared" si="866"/>
        <v>TOMAIA GOMMA</v>
      </c>
      <c r="BF1338" s="1" t="str">
        <f t="shared" si="854"/>
        <v>Bonis SpA</v>
      </c>
    </row>
    <row r="1339" spans="2:58" x14ac:dyDescent="0.25">
      <c r="B1339" s="1">
        <v>2467</v>
      </c>
      <c r="C1339" s="1" t="str">
        <f t="shared" si="869"/>
        <v>VAIAN4209S7/G1</v>
      </c>
      <c r="E1339" s="1" t="str">
        <f>"40"</f>
        <v>40</v>
      </c>
      <c r="F1339" s="1" t="str">
        <f t="shared" si="843"/>
        <v>BONIS SPA</v>
      </c>
      <c r="G1339" s="1" t="str">
        <f t="shared" si="863"/>
        <v>STOCK SCAFFALE MP</v>
      </c>
      <c r="H1339" s="1" t="str">
        <f>"YEL"</f>
        <v>YEL</v>
      </c>
      <c r="K1339" s="1">
        <v>6</v>
      </c>
      <c r="L1339" s="1" t="str">
        <f t="shared" si="844"/>
        <v>01</v>
      </c>
      <c r="M1339" s="1" t="str">
        <f t="shared" si="864"/>
        <v>408</v>
      </c>
      <c r="N1339" s="1" t="str">
        <f t="shared" si="867"/>
        <v>004</v>
      </c>
      <c r="O1339" s="1" t="str">
        <f t="shared" si="845"/>
        <v>00</v>
      </c>
      <c r="P1339" s="1" t="str">
        <f t="shared" si="846"/>
        <v>S</v>
      </c>
      <c r="Q1339" s="1" t="str">
        <f t="shared" si="847"/>
        <v>P</v>
      </c>
      <c r="R1339" s="1" t="str">
        <f t="shared" si="848"/>
        <v>01</v>
      </c>
      <c r="S1339" s="1" t="str">
        <f t="shared" si="865"/>
        <v>04</v>
      </c>
      <c r="T1339" s="1" t="str">
        <f t="shared" si="849"/>
        <v>False</v>
      </c>
      <c r="U1339" s="1" t="str">
        <f t="shared" si="850"/>
        <v>True</v>
      </c>
      <c r="V1339" s="1" t="str">
        <f t="shared" si="870"/>
        <v>U0034736</v>
      </c>
      <c r="W1339" s="1">
        <v>1</v>
      </c>
      <c r="Y1339" s="1">
        <v>0</v>
      </c>
      <c r="Z1339" s="1">
        <v>0</v>
      </c>
      <c r="AI1339" s="1" t="str">
        <f t="shared" si="868"/>
        <v>F10</v>
      </c>
      <c r="AJ1339" s="1" t="str">
        <f t="shared" si="859"/>
        <v>UNISEX</v>
      </c>
      <c r="AK1339" s="1" t="str">
        <f t="shared" si="851"/>
        <v>PA</v>
      </c>
      <c r="AP1339" s="1" t="str">
        <f t="shared" si="852"/>
        <v>False</v>
      </c>
      <c r="AR1339" s="1" t="str">
        <f t="shared" si="860"/>
        <v>VAIAN</v>
      </c>
      <c r="AY1339" s="1" t="str">
        <f t="shared" si="853"/>
        <v>PF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 t="str">
        <f t="shared" si="866"/>
        <v>TOMAIA GOMMA</v>
      </c>
      <c r="BF1339" s="1" t="str">
        <f t="shared" si="854"/>
        <v>Bonis SpA</v>
      </c>
    </row>
    <row r="1340" spans="2:58" x14ac:dyDescent="0.25">
      <c r="B1340" s="1">
        <v>2467</v>
      </c>
      <c r="C1340" s="1" t="str">
        <f t="shared" si="869"/>
        <v>VAIAN4209S7/G1</v>
      </c>
      <c r="E1340" s="1" t="str">
        <f>"41"</f>
        <v>41</v>
      </c>
      <c r="F1340" s="1" t="str">
        <f t="shared" si="843"/>
        <v>BONIS SPA</v>
      </c>
      <c r="G1340" s="1" t="str">
        <f t="shared" si="863"/>
        <v>STOCK SCAFFALE MP</v>
      </c>
      <c r="H1340" s="1" t="str">
        <f>"YEL"</f>
        <v>YEL</v>
      </c>
      <c r="K1340" s="1">
        <v>1</v>
      </c>
      <c r="L1340" s="1" t="str">
        <f t="shared" si="844"/>
        <v>01</v>
      </c>
      <c r="M1340" s="1" t="str">
        <f t="shared" si="864"/>
        <v>408</v>
      </c>
      <c r="N1340" s="1" t="str">
        <f t="shared" si="867"/>
        <v>004</v>
      </c>
      <c r="O1340" s="1" t="str">
        <f t="shared" si="845"/>
        <v>00</v>
      </c>
      <c r="P1340" s="1" t="str">
        <f t="shared" si="846"/>
        <v>S</v>
      </c>
      <c r="Q1340" s="1" t="str">
        <f t="shared" si="847"/>
        <v>P</v>
      </c>
      <c r="R1340" s="1" t="str">
        <f t="shared" si="848"/>
        <v>01</v>
      </c>
      <c r="S1340" s="1" t="str">
        <f t="shared" si="865"/>
        <v>04</v>
      </c>
      <c r="T1340" s="1" t="str">
        <f t="shared" si="849"/>
        <v>False</v>
      </c>
      <c r="U1340" s="1" t="str">
        <f t="shared" si="850"/>
        <v>True</v>
      </c>
      <c r="V1340" s="1" t="str">
        <f t="shared" si="870"/>
        <v>U0034736</v>
      </c>
      <c r="W1340" s="1">
        <v>1</v>
      </c>
      <c r="Y1340" s="1">
        <v>0</v>
      </c>
      <c r="Z1340" s="1">
        <v>0</v>
      </c>
      <c r="AI1340" s="1" t="str">
        <f t="shared" si="868"/>
        <v>F10</v>
      </c>
      <c r="AJ1340" s="1" t="str">
        <f t="shared" si="859"/>
        <v>UNISEX</v>
      </c>
      <c r="AK1340" s="1" t="str">
        <f t="shared" si="851"/>
        <v>PA</v>
      </c>
      <c r="AP1340" s="1" t="str">
        <f t="shared" si="852"/>
        <v>False</v>
      </c>
      <c r="AR1340" s="1" t="str">
        <f t="shared" si="860"/>
        <v>VAIAN</v>
      </c>
      <c r="AY1340" s="1" t="str">
        <f t="shared" si="853"/>
        <v>PF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 t="str">
        <f t="shared" si="866"/>
        <v>TOMAIA GOMMA</v>
      </c>
      <c r="BF1340" s="1" t="str">
        <f t="shared" si="854"/>
        <v>Bonis SpA</v>
      </c>
    </row>
    <row r="1341" spans="2:58" x14ac:dyDescent="0.25">
      <c r="B1341" s="1">
        <v>2467</v>
      </c>
      <c r="C1341" s="1" t="str">
        <f t="shared" si="869"/>
        <v>VAIAN4209S7/G1</v>
      </c>
      <c r="E1341" s="1" t="str">
        <f>"37"</f>
        <v>37</v>
      </c>
      <c r="F1341" s="1" t="str">
        <f t="shared" si="843"/>
        <v>BONIS SPA</v>
      </c>
      <c r="G1341" s="1" t="str">
        <f t="shared" si="863"/>
        <v>STOCK SCAFFALE MP</v>
      </c>
      <c r="H1341" s="1" t="str">
        <f t="shared" ref="H1341:H1346" si="871">"WHI"</f>
        <v>WHI</v>
      </c>
      <c r="K1341" s="1">
        <v>2</v>
      </c>
      <c r="L1341" s="1" t="str">
        <f t="shared" si="844"/>
        <v>01</v>
      </c>
      <c r="M1341" s="1" t="str">
        <f t="shared" si="864"/>
        <v>408</v>
      </c>
      <c r="N1341" s="1" t="str">
        <f t="shared" si="867"/>
        <v>004</v>
      </c>
      <c r="O1341" s="1" t="str">
        <f t="shared" si="845"/>
        <v>00</v>
      </c>
      <c r="P1341" s="1" t="str">
        <f t="shared" si="846"/>
        <v>S</v>
      </c>
      <c r="Q1341" s="1" t="str">
        <f t="shared" si="847"/>
        <v>P</v>
      </c>
      <c r="R1341" s="1" t="str">
        <f t="shared" si="848"/>
        <v>01</v>
      </c>
      <c r="S1341" s="1" t="str">
        <f t="shared" si="865"/>
        <v>04</v>
      </c>
      <c r="T1341" s="1" t="str">
        <f t="shared" si="849"/>
        <v>False</v>
      </c>
      <c r="U1341" s="1" t="str">
        <f t="shared" si="850"/>
        <v>True</v>
      </c>
      <c r="V1341" s="1" t="str">
        <f t="shared" si="870"/>
        <v>U0034736</v>
      </c>
      <c r="W1341" s="1">
        <v>1</v>
      </c>
      <c r="Y1341" s="1">
        <v>0</v>
      </c>
      <c r="Z1341" s="1">
        <v>0</v>
      </c>
      <c r="AI1341" s="1" t="str">
        <f t="shared" si="868"/>
        <v>F10</v>
      </c>
      <c r="AJ1341" s="1" t="str">
        <f t="shared" si="859"/>
        <v>UNISEX</v>
      </c>
      <c r="AK1341" s="1" t="str">
        <f t="shared" si="851"/>
        <v>PA</v>
      </c>
      <c r="AP1341" s="1" t="str">
        <f t="shared" si="852"/>
        <v>False</v>
      </c>
      <c r="AR1341" s="1" t="str">
        <f t="shared" si="860"/>
        <v>VAIAN</v>
      </c>
      <c r="AY1341" s="1" t="str">
        <f t="shared" si="853"/>
        <v>PF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 t="str">
        <f t="shared" si="866"/>
        <v>TOMAIA GOMMA</v>
      </c>
      <c r="BF1341" s="1" t="str">
        <f t="shared" si="854"/>
        <v>Bonis SpA</v>
      </c>
    </row>
    <row r="1342" spans="2:58" x14ac:dyDescent="0.25">
      <c r="B1342" s="1">
        <v>2467</v>
      </c>
      <c r="C1342" s="1" t="str">
        <f t="shared" si="869"/>
        <v>VAIAN4209S7/G1</v>
      </c>
      <c r="E1342" s="1" t="str">
        <f>"38"</f>
        <v>38</v>
      </c>
      <c r="F1342" s="1" t="str">
        <f t="shared" si="843"/>
        <v>BONIS SPA</v>
      </c>
      <c r="G1342" s="1" t="str">
        <f t="shared" si="863"/>
        <v>STOCK SCAFFALE MP</v>
      </c>
      <c r="H1342" s="1" t="str">
        <f t="shared" si="871"/>
        <v>WHI</v>
      </c>
      <c r="K1342" s="1">
        <v>3</v>
      </c>
      <c r="L1342" s="1" t="str">
        <f t="shared" si="844"/>
        <v>01</v>
      </c>
      <c r="M1342" s="1" t="str">
        <f t="shared" si="864"/>
        <v>408</v>
      </c>
      <c r="N1342" s="1" t="str">
        <f t="shared" si="867"/>
        <v>004</v>
      </c>
      <c r="O1342" s="1" t="str">
        <f t="shared" si="845"/>
        <v>00</v>
      </c>
      <c r="P1342" s="1" t="str">
        <f t="shared" si="846"/>
        <v>S</v>
      </c>
      <c r="Q1342" s="1" t="str">
        <f t="shared" si="847"/>
        <v>P</v>
      </c>
      <c r="R1342" s="1" t="str">
        <f t="shared" si="848"/>
        <v>01</v>
      </c>
      <c r="S1342" s="1" t="str">
        <f t="shared" si="865"/>
        <v>04</v>
      </c>
      <c r="T1342" s="1" t="str">
        <f t="shared" si="849"/>
        <v>False</v>
      </c>
      <c r="U1342" s="1" t="str">
        <f t="shared" si="850"/>
        <v>True</v>
      </c>
      <c r="V1342" s="1" t="str">
        <f t="shared" si="870"/>
        <v>U0034736</v>
      </c>
      <c r="W1342" s="1">
        <v>1</v>
      </c>
      <c r="Y1342" s="1">
        <v>0</v>
      </c>
      <c r="Z1342" s="1">
        <v>0</v>
      </c>
      <c r="AI1342" s="1" t="str">
        <f t="shared" si="868"/>
        <v>F10</v>
      </c>
      <c r="AJ1342" s="1" t="str">
        <f t="shared" si="859"/>
        <v>UNISEX</v>
      </c>
      <c r="AK1342" s="1" t="str">
        <f t="shared" si="851"/>
        <v>PA</v>
      </c>
      <c r="AP1342" s="1" t="str">
        <f t="shared" si="852"/>
        <v>False</v>
      </c>
      <c r="AR1342" s="1" t="str">
        <f t="shared" si="860"/>
        <v>VAIAN</v>
      </c>
      <c r="AY1342" s="1" t="str">
        <f t="shared" si="853"/>
        <v>PF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 t="str">
        <f t="shared" si="866"/>
        <v>TOMAIA GOMMA</v>
      </c>
      <c r="BF1342" s="1" t="str">
        <f t="shared" si="854"/>
        <v>Bonis SpA</v>
      </c>
    </row>
    <row r="1343" spans="2:58" x14ac:dyDescent="0.25">
      <c r="B1343" s="1">
        <v>2467</v>
      </c>
      <c r="C1343" s="1" t="str">
        <f>"VAIAN4210S7/G1"</f>
        <v>VAIAN4210S7/G1</v>
      </c>
      <c r="E1343" s="1" t="str">
        <f>"41"</f>
        <v>41</v>
      </c>
      <c r="F1343" s="1" t="str">
        <f t="shared" si="843"/>
        <v>BONIS SPA</v>
      </c>
      <c r="G1343" s="1" t="str">
        <f t="shared" si="863"/>
        <v>STOCK SCAFFALE MP</v>
      </c>
      <c r="H1343" s="1" t="str">
        <f t="shared" si="871"/>
        <v>WHI</v>
      </c>
      <c r="K1343" s="1">
        <v>2</v>
      </c>
      <c r="L1343" s="1" t="str">
        <f t="shared" si="844"/>
        <v>01</v>
      </c>
      <c r="M1343" s="1" t="str">
        <f t="shared" si="864"/>
        <v>408</v>
      </c>
      <c r="N1343" s="1" t="str">
        <f t="shared" si="867"/>
        <v>004</v>
      </c>
      <c r="O1343" s="1" t="str">
        <f t="shared" si="845"/>
        <v>00</v>
      </c>
      <c r="P1343" s="1" t="str">
        <f t="shared" si="846"/>
        <v>S</v>
      </c>
      <c r="Q1343" s="1" t="str">
        <f t="shared" si="847"/>
        <v>P</v>
      </c>
      <c r="R1343" s="1" t="str">
        <f t="shared" si="848"/>
        <v>01</v>
      </c>
      <c r="S1343" s="1" t="str">
        <f t="shared" si="865"/>
        <v>04</v>
      </c>
      <c r="T1343" s="1" t="str">
        <f t="shared" si="849"/>
        <v>False</v>
      </c>
      <c r="U1343" s="1" t="str">
        <f t="shared" si="850"/>
        <v>True</v>
      </c>
      <c r="V1343" s="1" t="str">
        <f t="shared" si="870"/>
        <v>U0034736</v>
      </c>
      <c r="W1343" s="1">
        <v>1</v>
      </c>
      <c r="Y1343" s="1">
        <v>0</v>
      </c>
      <c r="Z1343" s="1">
        <v>0</v>
      </c>
      <c r="AI1343" s="1" t="str">
        <f t="shared" si="868"/>
        <v>F10</v>
      </c>
      <c r="AJ1343" s="1" t="str">
        <f t="shared" si="859"/>
        <v>UNISEX</v>
      </c>
      <c r="AK1343" s="1" t="str">
        <f t="shared" si="851"/>
        <v>PA</v>
      </c>
      <c r="AP1343" s="1" t="str">
        <f t="shared" si="852"/>
        <v>False</v>
      </c>
      <c r="AR1343" s="1" t="str">
        <f t="shared" si="860"/>
        <v>VAIAN</v>
      </c>
      <c r="AY1343" s="1" t="str">
        <f t="shared" si="853"/>
        <v>PF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 t="str">
        <f t="shared" si="866"/>
        <v>TOMAIA GOMMA</v>
      </c>
      <c r="BF1343" s="1" t="str">
        <f t="shared" si="854"/>
        <v>Bonis SpA</v>
      </c>
    </row>
    <row r="1344" spans="2:58" x14ac:dyDescent="0.25">
      <c r="B1344" s="1">
        <v>2467</v>
      </c>
      <c r="C1344" s="1" t="str">
        <f>"VAIAN4210S7/G1"</f>
        <v>VAIAN4210S7/G1</v>
      </c>
      <c r="E1344" s="1" t="str">
        <f>"42"</f>
        <v>42</v>
      </c>
      <c r="F1344" s="1" t="str">
        <f t="shared" si="843"/>
        <v>BONIS SPA</v>
      </c>
      <c r="G1344" s="1" t="str">
        <f t="shared" si="863"/>
        <v>STOCK SCAFFALE MP</v>
      </c>
      <c r="H1344" s="1" t="str">
        <f t="shared" si="871"/>
        <v>WHI</v>
      </c>
      <c r="K1344" s="1">
        <v>1</v>
      </c>
      <c r="L1344" s="1" t="str">
        <f t="shared" si="844"/>
        <v>01</v>
      </c>
      <c r="M1344" s="1" t="str">
        <f t="shared" si="864"/>
        <v>408</v>
      </c>
      <c r="N1344" s="1" t="str">
        <f t="shared" si="867"/>
        <v>004</v>
      </c>
      <c r="O1344" s="1" t="str">
        <f t="shared" si="845"/>
        <v>00</v>
      </c>
      <c r="P1344" s="1" t="str">
        <f t="shared" si="846"/>
        <v>S</v>
      </c>
      <c r="Q1344" s="1" t="str">
        <f t="shared" si="847"/>
        <v>P</v>
      </c>
      <c r="R1344" s="1" t="str">
        <f t="shared" si="848"/>
        <v>01</v>
      </c>
      <c r="S1344" s="1" t="str">
        <f t="shared" si="865"/>
        <v>04</v>
      </c>
      <c r="T1344" s="1" t="str">
        <f t="shared" si="849"/>
        <v>False</v>
      </c>
      <c r="U1344" s="1" t="str">
        <f t="shared" si="850"/>
        <v>True</v>
      </c>
      <c r="V1344" s="1" t="str">
        <f t="shared" si="870"/>
        <v>U0034736</v>
      </c>
      <c r="W1344" s="1">
        <v>1</v>
      </c>
      <c r="Y1344" s="1">
        <v>0</v>
      </c>
      <c r="Z1344" s="1">
        <v>0</v>
      </c>
      <c r="AI1344" s="1" t="str">
        <f t="shared" si="868"/>
        <v>F10</v>
      </c>
      <c r="AJ1344" s="1" t="str">
        <f t="shared" si="859"/>
        <v>UNISEX</v>
      </c>
      <c r="AK1344" s="1" t="str">
        <f t="shared" si="851"/>
        <v>PA</v>
      </c>
      <c r="AP1344" s="1" t="str">
        <f t="shared" si="852"/>
        <v>False</v>
      </c>
      <c r="AR1344" s="1" t="str">
        <f t="shared" si="860"/>
        <v>VAIAN</v>
      </c>
      <c r="AY1344" s="1" t="str">
        <f t="shared" si="853"/>
        <v>PF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 t="str">
        <f t="shared" si="866"/>
        <v>TOMAIA GOMMA</v>
      </c>
      <c r="BF1344" s="1" t="str">
        <f t="shared" si="854"/>
        <v>Bonis SpA</v>
      </c>
    </row>
    <row r="1345" spans="2:58" x14ac:dyDescent="0.25">
      <c r="B1345" s="1">
        <v>2467</v>
      </c>
      <c r="C1345" s="1" t="str">
        <f>"VAIAN4210S7/G1"</f>
        <v>VAIAN4210S7/G1</v>
      </c>
      <c r="E1345" s="1" t="str">
        <f>"45"</f>
        <v>45</v>
      </c>
      <c r="F1345" s="1" t="str">
        <f t="shared" si="843"/>
        <v>BONIS SPA</v>
      </c>
      <c r="G1345" s="1" t="str">
        <f t="shared" si="863"/>
        <v>STOCK SCAFFALE MP</v>
      </c>
      <c r="H1345" s="1" t="str">
        <f t="shared" si="871"/>
        <v>WHI</v>
      </c>
      <c r="K1345" s="1">
        <v>1</v>
      </c>
      <c r="L1345" s="1" t="str">
        <f t="shared" si="844"/>
        <v>01</v>
      </c>
      <c r="M1345" s="1" t="str">
        <f t="shared" si="864"/>
        <v>408</v>
      </c>
      <c r="N1345" s="1" t="str">
        <f t="shared" si="867"/>
        <v>004</v>
      </c>
      <c r="O1345" s="1" t="str">
        <f t="shared" si="845"/>
        <v>00</v>
      </c>
      <c r="P1345" s="1" t="str">
        <f t="shared" si="846"/>
        <v>S</v>
      </c>
      <c r="Q1345" s="1" t="str">
        <f t="shared" si="847"/>
        <v>P</v>
      </c>
      <c r="R1345" s="1" t="str">
        <f t="shared" si="848"/>
        <v>01</v>
      </c>
      <c r="S1345" s="1" t="str">
        <f t="shared" si="865"/>
        <v>04</v>
      </c>
      <c r="T1345" s="1" t="str">
        <f t="shared" si="849"/>
        <v>False</v>
      </c>
      <c r="U1345" s="1" t="str">
        <f t="shared" si="850"/>
        <v>True</v>
      </c>
      <c r="V1345" s="1" t="str">
        <f t="shared" si="870"/>
        <v>U0034736</v>
      </c>
      <c r="W1345" s="1">
        <v>1</v>
      </c>
      <c r="Y1345" s="1">
        <v>0</v>
      </c>
      <c r="Z1345" s="1">
        <v>0</v>
      </c>
      <c r="AI1345" s="1" t="str">
        <f t="shared" si="868"/>
        <v>F10</v>
      </c>
      <c r="AJ1345" s="1" t="str">
        <f t="shared" si="859"/>
        <v>UNISEX</v>
      </c>
      <c r="AK1345" s="1" t="str">
        <f t="shared" si="851"/>
        <v>PA</v>
      </c>
      <c r="AP1345" s="1" t="str">
        <f t="shared" si="852"/>
        <v>False</v>
      </c>
      <c r="AR1345" s="1" t="str">
        <f t="shared" si="860"/>
        <v>VAIAN</v>
      </c>
      <c r="AY1345" s="1" t="str">
        <f t="shared" si="853"/>
        <v>PF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 t="str">
        <f t="shared" si="866"/>
        <v>TOMAIA GOMMA</v>
      </c>
      <c r="BF1345" s="1" t="str">
        <f t="shared" si="854"/>
        <v>Bonis SpA</v>
      </c>
    </row>
    <row r="1346" spans="2:58" x14ac:dyDescent="0.25">
      <c r="B1346" s="1">
        <v>2467</v>
      </c>
      <c r="C1346" s="1" t="str">
        <f>"VAIAN4210S7/G1"</f>
        <v>VAIAN4210S7/G1</v>
      </c>
      <c r="E1346" s="1" t="str">
        <f>"40"</f>
        <v>40</v>
      </c>
      <c r="F1346" s="1" t="str">
        <f t="shared" ref="F1346:F1409" si="872">"BONIS SPA"</f>
        <v>BONIS SPA</v>
      </c>
      <c r="G1346" s="1" t="str">
        <f t="shared" si="863"/>
        <v>STOCK SCAFFALE MP</v>
      </c>
      <c r="H1346" s="1" t="str">
        <f t="shared" si="871"/>
        <v>WHI</v>
      </c>
      <c r="K1346" s="1">
        <v>2</v>
      </c>
      <c r="L1346" s="1" t="str">
        <f t="shared" ref="L1346:L1409" si="873">"01"</f>
        <v>01</v>
      </c>
      <c r="M1346" s="1" t="str">
        <f t="shared" si="864"/>
        <v>408</v>
      </c>
      <c r="N1346" s="1" t="str">
        <f t="shared" si="867"/>
        <v>004</v>
      </c>
      <c r="O1346" s="1" t="str">
        <f t="shared" ref="O1346:O1409" si="874">"00"</f>
        <v>00</v>
      </c>
      <c r="P1346" s="1" t="str">
        <f t="shared" ref="P1346:P1409" si="875">"S"</f>
        <v>S</v>
      </c>
      <c r="Q1346" s="1" t="str">
        <f t="shared" ref="Q1346:Q1409" si="876">"P"</f>
        <v>P</v>
      </c>
      <c r="R1346" s="1" t="str">
        <f t="shared" ref="R1346:R1409" si="877">"01"</f>
        <v>01</v>
      </c>
      <c r="S1346" s="1" t="str">
        <f t="shared" si="865"/>
        <v>04</v>
      </c>
      <c r="T1346" s="1" t="str">
        <f t="shared" ref="T1346:T1409" si="878">"False"</f>
        <v>False</v>
      </c>
      <c r="U1346" s="1" t="str">
        <f t="shared" ref="U1346:U1409" si="879">"True"</f>
        <v>True</v>
      </c>
      <c r="V1346" s="1" t="str">
        <f t="shared" si="870"/>
        <v>U0034736</v>
      </c>
      <c r="W1346" s="1">
        <v>1</v>
      </c>
      <c r="Y1346" s="1">
        <v>0</v>
      </c>
      <c r="Z1346" s="1">
        <v>0</v>
      </c>
      <c r="AI1346" s="1" t="str">
        <f t="shared" si="868"/>
        <v>F10</v>
      </c>
      <c r="AJ1346" s="1" t="str">
        <f t="shared" ref="AJ1346:AJ1374" si="880">"UNISEX"</f>
        <v>UNISEX</v>
      </c>
      <c r="AK1346" s="1" t="str">
        <f t="shared" ref="AK1346:AK1409" si="881">"PA"</f>
        <v>PA</v>
      </c>
      <c r="AP1346" s="1" t="str">
        <f t="shared" ref="AP1346:AP1409" si="882">"False"</f>
        <v>False</v>
      </c>
      <c r="AR1346" s="1" t="str">
        <f t="shared" ref="AR1346:AR1374" si="883">"VAIAN"</f>
        <v>VAIAN</v>
      </c>
      <c r="AY1346" s="1" t="str">
        <f t="shared" ref="AY1346:AY1409" si="884">"PF"</f>
        <v>PF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 t="str">
        <f t="shared" si="866"/>
        <v>TOMAIA GOMMA</v>
      </c>
      <c r="BF1346" s="1" t="str">
        <f t="shared" ref="BF1346:BF1409" si="885">"Bonis SpA"</f>
        <v>Bonis SpA</v>
      </c>
    </row>
    <row r="1347" spans="2:58" x14ac:dyDescent="0.25">
      <c r="B1347" s="1">
        <v>2467</v>
      </c>
      <c r="C1347" s="1" t="str">
        <f>"VAIAN4209S7/G1"</f>
        <v>VAIAN4209S7/G1</v>
      </c>
      <c r="E1347" s="1" t="str">
        <f>"40"</f>
        <v>40</v>
      </c>
      <c r="F1347" s="1" t="str">
        <f t="shared" si="872"/>
        <v>BONIS SPA</v>
      </c>
      <c r="G1347" s="1" t="str">
        <f t="shared" si="863"/>
        <v>STOCK SCAFFALE MP</v>
      </c>
      <c r="H1347" s="1" t="str">
        <f>"RED"</f>
        <v>RED</v>
      </c>
      <c r="K1347" s="1">
        <v>1</v>
      </c>
      <c r="L1347" s="1" t="str">
        <f t="shared" si="873"/>
        <v>01</v>
      </c>
      <c r="M1347" s="1" t="str">
        <f t="shared" si="864"/>
        <v>408</v>
      </c>
      <c r="N1347" s="1" t="str">
        <f t="shared" si="867"/>
        <v>004</v>
      </c>
      <c r="O1347" s="1" t="str">
        <f t="shared" si="874"/>
        <v>00</v>
      </c>
      <c r="P1347" s="1" t="str">
        <f t="shared" si="875"/>
        <v>S</v>
      </c>
      <c r="Q1347" s="1" t="str">
        <f t="shared" si="876"/>
        <v>P</v>
      </c>
      <c r="R1347" s="1" t="str">
        <f t="shared" si="877"/>
        <v>01</v>
      </c>
      <c r="S1347" s="1" t="str">
        <f t="shared" si="865"/>
        <v>04</v>
      </c>
      <c r="T1347" s="1" t="str">
        <f t="shared" si="878"/>
        <v>False</v>
      </c>
      <c r="U1347" s="1" t="str">
        <f t="shared" si="879"/>
        <v>True</v>
      </c>
      <c r="V1347" s="1" t="str">
        <f t="shared" ref="V1347:V1353" si="886">"U0034735"</f>
        <v>U0034735</v>
      </c>
      <c r="W1347" s="1">
        <v>1</v>
      </c>
      <c r="Y1347" s="1">
        <v>0</v>
      </c>
      <c r="Z1347" s="1">
        <v>0</v>
      </c>
      <c r="AI1347" s="1" t="str">
        <f t="shared" si="868"/>
        <v>F10</v>
      </c>
      <c r="AJ1347" s="1" t="str">
        <f t="shared" si="880"/>
        <v>UNISEX</v>
      </c>
      <c r="AK1347" s="1" t="str">
        <f t="shared" si="881"/>
        <v>PA</v>
      </c>
      <c r="AP1347" s="1" t="str">
        <f t="shared" si="882"/>
        <v>False</v>
      </c>
      <c r="AR1347" s="1" t="str">
        <f t="shared" si="883"/>
        <v>VAIAN</v>
      </c>
      <c r="AY1347" s="1" t="str">
        <f t="shared" si="884"/>
        <v>PF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 t="str">
        <f t="shared" si="866"/>
        <v>TOMAIA GOMMA</v>
      </c>
      <c r="BF1347" s="1" t="str">
        <f t="shared" si="885"/>
        <v>Bonis SpA</v>
      </c>
    </row>
    <row r="1348" spans="2:58" x14ac:dyDescent="0.25">
      <c r="B1348" s="1">
        <v>2467</v>
      </c>
      <c r="C1348" s="1" t="str">
        <f>"VAIAN4209S7/G1"</f>
        <v>VAIAN4209S7/G1</v>
      </c>
      <c r="E1348" s="1" t="str">
        <f>"45"</f>
        <v>45</v>
      </c>
      <c r="F1348" s="1" t="str">
        <f t="shared" si="872"/>
        <v>BONIS SPA</v>
      </c>
      <c r="G1348" s="1" t="str">
        <f t="shared" si="863"/>
        <v>STOCK SCAFFALE MP</v>
      </c>
      <c r="H1348" s="1" t="str">
        <f>"RED"</f>
        <v>RED</v>
      </c>
      <c r="K1348" s="1">
        <v>1</v>
      </c>
      <c r="L1348" s="1" t="str">
        <f t="shared" si="873"/>
        <v>01</v>
      </c>
      <c r="M1348" s="1" t="str">
        <f t="shared" si="864"/>
        <v>408</v>
      </c>
      <c r="N1348" s="1" t="str">
        <f t="shared" si="867"/>
        <v>004</v>
      </c>
      <c r="O1348" s="1" t="str">
        <f t="shared" si="874"/>
        <v>00</v>
      </c>
      <c r="P1348" s="1" t="str">
        <f t="shared" si="875"/>
        <v>S</v>
      </c>
      <c r="Q1348" s="1" t="str">
        <f t="shared" si="876"/>
        <v>P</v>
      </c>
      <c r="R1348" s="1" t="str">
        <f t="shared" si="877"/>
        <v>01</v>
      </c>
      <c r="S1348" s="1" t="str">
        <f t="shared" si="865"/>
        <v>04</v>
      </c>
      <c r="T1348" s="1" t="str">
        <f t="shared" si="878"/>
        <v>False</v>
      </c>
      <c r="U1348" s="1" t="str">
        <f t="shared" si="879"/>
        <v>True</v>
      </c>
      <c r="V1348" s="1" t="str">
        <f t="shared" si="886"/>
        <v>U0034735</v>
      </c>
      <c r="W1348" s="1">
        <v>1</v>
      </c>
      <c r="Y1348" s="1">
        <v>0</v>
      </c>
      <c r="Z1348" s="1">
        <v>0</v>
      </c>
      <c r="AI1348" s="1" t="str">
        <f t="shared" si="868"/>
        <v>F10</v>
      </c>
      <c r="AJ1348" s="1" t="str">
        <f t="shared" si="880"/>
        <v>UNISEX</v>
      </c>
      <c r="AK1348" s="1" t="str">
        <f t="shared" si="881"/>
        <v>PA</v>
      </c>
      <c r="AP1348" s="1" t="str">
        <f t="shared" si="882"/>
        <v>False</v>
      </c>
      <c r="AR1348" s="1" t="str">
        <f t="shared" si="883"/>
        <v>VAIAN</v>
      </c>
      <c r="AY1348" s="1" t="str">
        <f t="shared" si="884"/>
        <v>PF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 t="str">
        <f t="shared" si="866"/>
        <v>TOMAIA GOMMA</v>
      </c>
      <c r="BF1348" s="1" t="str">
        <f t="shared" si="885"/>
        <v>Bonis SpA</v>
      </c>
    </row>
    <row r="1349" spans="2:58" x14ac:dyDescent="0.25">
      <c r="B1349" s="1">
        <v>2467</v>
      </c>
      <c r="C1349" s="1" t="str">
        <f>"VAIAN4210S7/G1"</f>
        <v>VAIAN4210S7/G1</v>
      </c>
      <c r="E1349" s="1" t="str">
        <f>"43"</f>
        <v>43</v>
      </c>
      <c r="F1349" s="1" t="str">
        <f t="shared" si="872"/>
        <v>BONIS SPA</v>
      </c>
      <c r="G1349" s="1" t="str">
        <f t="shared" si="863"/>
        <v>STOCK SCAFFALE MP</v>
      </c>
      <c r="H1349" s="1" t="str">
        <f t="shared" ref="H1349:H1355" si="887">"WHI"</f>
        <v>WHI</v>
      </c>
      <c r="K1349" s="1">
        <v>18</v>
      </c>
      <c r="L1349" s="1" t="str">
        <f t="shared" si="873"/>
        <v>01</v>
      </c>
      <c r="M1349" s="1" t="str">
        <f t="shared" si="864"/>
        <v>408</v>
      </c>
      <c r="N1349" s="1" t="str">
        <f t="shared" si="867"/>
        <v>004</v>
      </c>
      <c r="O1349" s="1" t="str">
        <f t="shared" si="874"/>
        <v>00</v>
      </c>
      <c r="P1349" s="1" t="str">
        <f t="shared" si="875"/>
        <v>S</v>
      </c>
      <c r="Q1349" s="1" t="str">
        <f t="shared" si="876"/>
        <v>P</v>
      </c>
      <c r="R1349" s="1" t="str">
        <f t="shared" si="877"/>
        <v>01</v>
      </c>
      <c r="S1349" s="1" t="str">
        <f t="shared" si="865"/>
        <v>04</v>
      </c>
      <c r="T1349" s="1" t="str">
        <f t="shared" si="878"/>
        <v>False</v>
      </c>
      <c r="U1349" s="1" t="str">
        <f t="shared" si="879"/>
        <v>True</v>
      </c>
      <c r="V1349" s="1" t="str">
        <f t="shared" si="886"/>
        <v>U0034735</v>
      </c>
      <c r="W1349" s="1">
        <v>1</v>
      </c>
      <c r="Y1349" s="1">
        <v>0</v>
      </c>
      <c r="Z1349" s="1">
        <v>0</v>
      </c>
      <c r="AI1349" s="1" t="str">
        <f t="shared" si="868"/>
        <v>F10</v>
      </c>
      <c r="AJ1349" s="1" t="str">
        <f t="shared" si="880"/>
        <v>UNISEX</v>
      </c>
      <c r="AK1349" s="1" t="str">
        <f t="shared" si="881"/>
        <v>PA</v>
      </c>
      <c r="AP1349" s="1" t="str">
        <f t="shared" si="882"/>
        <v>False</v>
      </c>
      <c r="AR1349" s="1" t="str">
        <f t="shared" si="883"/>
        <v>VAIAN</v>
      </c>
      <c r="AY1349" s="1" t="str">
        <f t="shared" si="884"/>
        <v>PF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 t="str">
        <f t="shared" si="866"/>
        <v>TOMAIA GOMMA</v>
      </c>
      <c r="BF1349" s="1" t="str">
        <f t="shared" si="885"/>
        <v>Bonis SpA</v>
      </c>
    </row>
    <row r="1350" spans="2:58" x14ac:dyDescent="0.25">
      <c r="B1350" s="1">
        <v>2467</v>
      </c>
      <c r="C1350" s="1" t="str">
        <f>"VAIAN4210S7/G1"</f>
        <v>VAIAN4210S7/G1</v>
      </c>
      <c r="E1350" s="1" t="str">
        <f>"45"</f>
        <v>45</v>
      </c>
      <c r="F1350" s="1" t="str">
        <f t="shared" si="872"/>
        <v>BONIS SPA</v>
      </c>
      <c r="G1350" s="1" t="str">
        <f t="shared" si="863"/>
        <v>STOCK SCAFFALE MP</v>
      </c>
      <c r="H1350" s="1" t="str">
        <f t="shared" si="887"/>
        <v>WHI</v>
      </c>
      <c r="K1350" s="1">
        <v>2</v>
      </c>
      <c r="L1350" s="1" t="str">
        <f t="shared" si="873"/>
        <v>01</v>
      </c>
      <c r="M1350" s="1" t="str">
        <f t="shared" si="864"/>
        <v>408</v>
      </c>
      <c r="N1350" s="1" t="str">
        <f t="shared" si="867"/>
        <v>004</v>
      </c>
      <c r="O1350" s="1" t="str">
        <f t="shared" si="874"/>
        <v>00</v>
      </c>
      <c r="P1350" s="1" t="str">
        <f t="shared" si="875"/>
        <v>S</v>
      </c>
      <c r="Q1350" s="1" t="str">
        <f t="shared" si="876"/>
        <v>P</v>
      </c>
      <c r="R1350" s="1" t="str">
        <f t="shared" si="877"/>
        <v>01</v>
      </c>
      <c r="S1350" s="1" t="str">
        <f t="shared" si="865"/>
        <v>04</v>
      </c>
      <c r="T1350" s="1" t="str">
        <f t="shared" si="878"/>
        <v>False</v>
      </c>
      <c r="U1350" s="1" t="str">
        <f t="shared" si="879"/>
        <v>True</v>
      </c>
      <c r="V1350" s="1" t="str">
        <f t="shared" si="886"/>
        <v>U0034735</v>
      </c>
      <c r="W1350" s="1">
        <v>1</v>
      </c>
      <c r="Y1350" s="1">
        <v>0</v>
      </c>
      <c r="Z1350" s="1">
        <v>0</v>
      </c>
      <c r="AI1350" s="1" t="str">
        <f t="shared" si="868"/>
        <v>F10</v>
      </c>
      <c r="AJ1350" s="1" t="str">
        <f t="shared" si="880"/>
        <v>UNISEX</v>
      </c>
      <c r="AK1350" s="1" t="str">
        <f t="shared" si="881"/>
        <v>PA</v>
      </c>
      <c r="AP1350" s="1" t="str">
        <f t="shared" si="882"/>
        <v>False</v>
      </c>
      <c r="AR1350" s="1" t="str">
        <f t="shared" si="883"/>
        <v>VAIAN</v>
      </c>
      <c r="AY1350" s="1" t="str">
        <f t="shared" si="884"/>
        <v>PF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 t="str">
        <f t="shared" si="866"/>
        <v>TOMAIA GOMMA</v>
      </c>
      <c r="BF1350" s="1" t="str">
        <f t="shared" si="885"/>
        <v>Bonis SpA</v>
      </c>
    </row>
    <row r="1351" spans="2:58" x14ac:dyDescent="0.25">
      <c r="B1351" s="1">
        <v>2467</v>
      </c>
      <c r="C1351" s="1" t="str">
        <f>"VAIAN4210S7/G1"</f>
        <v>VAIAN4210S7/G1</v>
      </c>
      <c r="E1351" s="1" t="str">
        <f>"44"</f>
        <v>44</v>
      </c>
      <c r="F1351" s="1" t="str">
        <f t="shared" si="872"/>
        <v>BONIS SPA</v>
      </c>
      <c r="G1351" s="1" t="str">
        <f t="shared" si="863"/>
        <v>STOCK SCAFFALE MP</v>
      </c>
      <c r="H1351" s="1" t="str">
        <f t="shared" si="887"/>
        <v>WHI</v>
      </c>
      <c r="K1351" s="1">
        <v>1</v>
      </c>
      <c r="L1351" s="1" t="str">
        <f t="shared" si="873"/>
        <v>01</v>
      </c>
      <c r="M1351" s="1" t="str">
        <f t="shared" si="864"/>
        <v>408</v>
      </c>
      <c r="N1351" s="1" t="str">
        <f t="shared" si="867"/>
        <v>004</v>
      </c>
      <c r="O1351" s="1" t="str">
        <f t="shared" si="874"/>
        <v>00</v>
      </c>
      <c r="P1351" s="1" t="str">
        <f t="shared" si="875"/>
        <v>S</v>
      </c>
      <c r="Q1351" s="1" t="str">
        <f t="shared" si="876"/>
        <v>P</v>
      </c>
      <c r="R1351" s="1" t="str">
        <f t="shared" si="877"/>
        <v>01</v>
      </c>
      <c r="S1351" s="1" t="str">
        <f t="shared" si="865"/>
        <v>04</v>
      </c>
      <c r="T1351" s="1" t="str">
        <f t="shared" si="878"/>
        <v>False</v>
      </c>
      <c r="U1351" s="1" t="str">
        <f t="shared" si="879"/>
        <v>True</v>
      </c>
      <c r="V1351" s="1" t="str">
        <f t="shared" si="886"/>
        <v>U0034735</v>
      </c>
      <c r="W1351" s="1">
        <v>1</v>
      </c>
      <c r="Y1351" s="1">
        <v>0</v>
      </c>
      <c r="Z1351" s="1">
        <v>0</v>
      </c>
      <c r="AI1351" s="1" t="str">
        <f t="shared" si="868"/>
        <v>F10</v>
      </c>
      <c r="AJ1351" s="1" t="str">
        <f t="shared" si="880"/>
        <v>UNISEX</v>
      </c>
      <c r="AK1351" s="1" t="str">
        <f t="shared" si="881"/>
        <v>PA</v>
      </c>
      <c r="AP1351" s="1" t="str">
        <f t="shared" si="882"/>
        <v>False</v>
      </c>
      <c r="AR1351" s="1" t="str">
        <f t="shared" si="883"/>
        <v>VAIAN</v>
      </c>
      <c r="AY1351" s="1" t="str">
        <f t="shared" si="884"/>
        <v>PF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 t="str">
        <f t="shared" si="866"/>
        <v>TOMAIA GOMMA</v>
      </c>
      <c r="BF1351" s="1" t="str">
        <f t="shared" si="885"/>
        <v>Bonis SpA</v>
      </c>
    </row>
    <row r="1352" spans="2:58" x14ac:dyDescent="0.25">
      <c r="B1352" s="1">
        <v>2467</v>
      </c>
      <c r="C1352" s="1" t="str">
        <f>"VAIAN4210S7/G1"</f>
        <v>VAIAN4210S7/G1</v>
      </c>
      <c r="E1352" s="1" t="str">
        <f>"46"</f>
        <v>46</v>
      </c>
      <c r="F1352" s="1" t="str">
        <f t="shared" si="872"/>
        <v>BONIS SPA</v>
      </c>
      <c r="G1352" s="1" t="str">
        <f t="shared" si="863"/>
        <v>STOCK SCAFFALE MP</v>
      </c>
      <c r="H1352" s="1" t="str">
        <f t="shared" si="887"/>
        <v>WHI</v>
      </c>
      <c r="K1352" s="1">
        <v>1</v>
      </c>
      <c r="L1352" s="1" t="str">
        <f t="shared" si="873"/>
        <v>01</v>
      </c>
      <c r="M1352" s="1" t="str">
        <f t="shared" si="864"/>
        <v>408</v>
      </c>
      <c r="N1352" s="1" t="str">
        <f t="shared" si="867"/>
        <v>004</v>
      </c>
      <c r="O1352" s="1" t="str">
        <f t="shared" si="874"/>
        <v>00</v>
      </c>
      <c r="P1352" s="1" t="str">
        <f t="shared" si="875"/>
        <v>S</v>
      </c>
      <c r="Q1352" s="1" t="str">
        <f t="shared" si="876"/>
        <v>P</v>
      </c>
      <c r="R1352" s="1" t="str">
        <f t="shared" si="877"/>
        <v>01</v>
      </c>
      <c r="S1352" s="1" t="str">
        <f t="shared" si="865"/>
        <v>04</v>
      </c>
      <c r="T1352" s="1" t="str">
        <f t="shared" si="878"/>
        <v>False</v>
      </c>
      <c r="U1352" s="1" t="str">
        <f t="shared" si="879"/>
        <v>True</v>
      </c>
      <c r="V1352" s="1" t="str">
        <f t="shared" si="886"/>
        <v>U0034735</v>
      </c>
      <c r="W1352" s="1">
        <v>1</v>
      </c>
      <c r="Y1352" s="1">
        <v>0</v>
      </c>
      <c r="Z1352" s="1">
        <v>0</v>
      </c>
      <c r="AI1352" s="1" t="str">
        <f t="shared" si="868"/>
        <v>F10</v>
      </c>
      <c r="AJ1352" s="1" t="str">
        <f t="shared" si="880"/>
        <v>UNISEX</v>
      </c>
      <c r="AK1352" s="1" t="str">
        <f t="shared" si="881"/>
        <v>PA</v>
      </c>
      <c r="AP1352" s="1" t="str">
        <f t="shared" si="882"/>
        <v>False</v>
      </c>
      <c r="AR1352" s="1" t="str">
        <f t="shared" si="883"/>
        <v>VAIAN</v>
      </c>
      <c r="AY1352" s="1" t="str">
        <f t="shared" si="884"/>
        <v>PF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 t="str">
        <f t="shared" si="866"/>
        <v>TOMAIA GOMMA</v>
      </c>
      <c r="BF1352" s="1" t="str">
        <f t="shared" si="885"/>
        <v>Bonis SpA</v>
      </c>
    </row>
    <row r="1353" spans="2:58" x14ac:dyDescent="0.25">
      <c r="B1353" s="1">
        <v>2467</v>
      </c>
      <c r="C1353" s="1" t="str">
        <f>"VAIAN4209S7/G1"</f>
        <v>VAIAN4209S7/G1</v>
      </c>
      <c r="E1353" s="1" t="str">
        <f>"36"</f>
        <v>36</v>
      </c>
      <c r="F1353" s="1" t="str">
        <f t="shared" si="872"/>
        <v>BONIS SPA</v>
      </c>
      <c r="G1353" s="1" t="str">
        <f t="shared" si="863"/>
        <v>STOCK SCAFFALE MP</v>
      </c>
      <c r="H1353" s="1" t="str">
        <f t="shared" si="887"/>
        <v>WHI</v>
      </c>
      <c r="K1353" s="1">
        <v>1</v>
      </c>
      <c r="L1353" s="1" t="str">
        <f t="shared" si="873"/>
        <v>01</v>
      </c>
      <c r="M1353" s="1" t="str">
        <f t="shared" si="864"/>
        <v>408</v>
      </c>
      <c r="N1353" s="1" t="str">
        <f t="shared" si="867"/>
        <v>004</v>
      </c>
      <c r="O1353" s="1" t="str">
        <f t="shared" si="874"/>
        <v>00</v>
      </c>
      <c r="P1353" s="1" t="str">
        <f t="shared" si="875"/>
        <v>S</v>
      </c>
      <c r="Q1353" s="1" t="str">
        <f t="shared" si="876"/>
        <v>P</v>
      </c>
      <c r="R1353" s="1" t="str">
        <f t="shared" si="877"/>
        <v>01</v>
      </c>
      <c r="S1353" s="1" t="str">
        <f t="shared" si="865"/>
        <v>04</v>
      </c>
      <c r="T1353" s="1" t="str">
        <f t="shared" si="878"/>
        <v>False</v>
      </c>
      <c r="U1353" s="1" t="str">
        <f t="shared" si="879"/>
        <v>True</v>
      </c>
      <c r="V1353" s="1" t="str">
        <f t="shared" si="886"/>
        <v>U0034735</v>
      </c>
      <c r="W1353" s="1">
        <v>1</v>
      </c>
      <c r="Y1353" s="1">
        <v>0</v>
      </c>
      <c r="Z1353" s="1">
        <v>0</v>
      </c>
      <c r="AI1353" s="1" t="str">
        <f t="shared" si="868"/>
        <v>F10</v>
      </c>
      <c r="AJ1353" s="1" t="str">
        <f t="shared" si="880"/>
        <v>UNISEX</v>
      </c>
      <c r="AK1353" s="1" t="str">
        <f t="shared" si="881"/>
        <v>PA</v>
      </c>
      <c r="AP1353" s="1" t="str">
        <f t="shared" si="882"/>
        <v>False</v>
      </c>
      <c r="AR1353" s="1" t="str">
        <f t="shared" si="883"/>
        <v>VAIAN</v>
      </c>
      <c r="AY1353" s="1" t="str">
        <f t="shared" si="884"/>
        <v>PF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 t="str">
        <f t="shared" si="866"/>
        <v>TOMAIA GOMMA</v>
      </c>
      <c r="BF1353" s="1" t="str">
        <f t="shared" si="885"/>
        <v>Bonis SpA</v>
      </c>
    </row>
    <row r="1354" spans="2:58" x14ac:dyDescent="0.25">
      <c r="B1354" s="1">
        <v>2467</v>
      </c>
      <c r="C1354" s="1" t="str">
        <f>"VAIAN4210S7/G1"</f>
        <v>VAIAN4210S7/G1</v>
      </c>
      <c r="E1354" s="1" t="str">
        <f>"45"</f>
        <v>45</v>
      </c>
      <c r="F1354" s="1" t="str">
        <f t="shared" si="872"/>
        <v>BONIS SPA</v>
      </c>
      <c r="G1354" s="1" t="str">
        <f t="shared" si="863"/>
        <v>STOCK SCAFFALE MP</v>
      </c>
      <c r="H1354" s="1" t="str">
        <f t="shared" si="887"/>
        <v>WHI</v>
      </c>
      <c r="K1354" s="1">
        <v>7</v>
      </c>
      <c r="L1354" s="1" t="str">
        <f t="shared" si="873"/>
        <v>01</v>
      </c>
      <c r="M1354" s="1" t="str">
        <f t="shared" si="864"/>
        <v>408</v>
      </c>
      <c r="N1354" s="1" t="str">
        <f t="shared" si="867"/>
        <v>004</v>
      </c>
      <c r="O1354" s="1" t="str">
        <f t="shared" si="874"/>
        <v>00</v>
      </c>
      <c r="P1354" s="1" t="str">
        <f t="shared" si="875"/>
        <v>S</v>
      </c>
      <c r="Q1354" s="1" t="str">
        <f t="shared" si="876"/>
        <v>P</v>
      </c>
      <c r="R1354" s="1" t="str">
        <f t="shared" si="877"/>
        <v>01</v>
      </c>
      <c r="S1354" s="1" t="str">
        <f t="shared" si="865"/>
        <v>04</v>
      </c>
      <c r="T1354" s="1" t="str">
        <f t="shared" si="878"/>
        <v>False</v>
      </c>
      <c r="U1354" s="1" t="str">
        <f t="shared" si="879"/>
        <v>True</v>
      </c>
      <c r="V1354" s="1" t="str">
        <f>"U0034738"</f>
        <v>U0034738</v>
      </c>
      <c r="W1354" s="1">
        <v>1</v>
      </c>
      <c r="Y1354" s="1">
        <v>0</v>
      </c>
      <c r="Z1354" s="1">
        <v>0</v>
      </c>
      <c r="AI1354" s="1" t="str">
        <f t="shared" si="868"/>
        <v>F10</v>
      </c>
      <c r="AJ1354" s="1" t="str">
        <f t="shared" si="880"/>
        <v>UNISEX</v>
      </c>
      <c r="AK1354" s="1" t="str">
        <f t="shared" si="881"/>
        <v>PA</v>
      </c>
      <c r="AP1354" s="1" t="str">
        <f t="shared" si="882"/>
        <v>False</v>
      </c>
      <c r="AR1354" s="1" t="str">
        <f t="shared" si="883"/>
        <v>VAIAN</v>
      </c>
      <c r="AY1354" s="1" t="str">
        <f t="shared" si="884"/>
        <v>PF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 t="str">
        <f t="shared" si="866"/>
        <v>TOMAIA GOMMA</v>
      </c>
      <c r="BF1354" s="1" t="str">
        <f t="shared" si="885"/>
        <v>Bonis SpA</v>
      </c>
    </row>
    <row r="1355" spans="2:58" x14ac:dyDescent="0.25">
      <c r="B1355" s="1">
        <v>2467</v>
      </c>
      <c r="C1355" s="1" t="str">
        <f>"VAIAN4210S7/G1"</f>
        <v>VAIAN4210S7/G1</v>
      </c>
      <c r="E1355" s="1" t="str">
        <f>"43"</f>
        <v>43</v>
      </c>
      <c r="F1355" s="1" t="str">
        <f t="shared" si="872"/>
        <v>BONIS SPA</v>
      </c>
      <c r="G1355" s="1" t="str">
        <f t="shared" si="863"/>
        <v>STOCK SCAFFALE MP</v>
      </c>
      <c r="H1355" s="1" t="str">
        <f t="shared" si="887"/>
        <v>WHI</v>
      </c>
      <c r="K1355" s="1">
        <v>10</v>
      </c>
      <c r="L1355" s="1" t="str">
        <f t="shared" si="873"/>
        <v>01</v>
      </c>
      <c r="M1355" s="1" t="str">
        <f t="shared" si="864"/>
        <v>408</v>
      </c>
      <c r="N1355" s="1" t="str">
        <f t="shared" si="867"/>
        <v>004</v>
      </c>
      <c r="O1355" s="1" t="str">
        <f t="shared" si="874"/>
        <v>00</v>
      </c>
      <c r="P1355" s="1" t="str">
        <f t="shared" si="875"/>
        <v>S</v>
      </c>
      <c r="Q1355" s="1" t="str">
        <f t="shared" si="876"/>
        <v>P</v>
      </c>
      <c r="R1355" s="1" t="str">
        <f t="shared" si="877"/>
        <v>01</v>
      </c>
      <c r="S1355" s="1" t="str">
        <f t="shared" si="865"/>
        <v>04</v>
      </c>
      <c r="T1355" s="1" t="str">
        <f t="shared" si="878"/>
        <v>False</v>
      </c>
      <c r="U1355" s="1" t="str">
        <f t="shared" si="879"/>
        <v>True</v>
      </c>
      <c r="V1355" s="1" t="str">
        <f>"U0034738"</f>
        <v>U0034738</v>
      </c>
      <c r="W1355" s="1">
        <v>1</v>
      </c>
      <c r="Y1355" s="1">
        <v>0</v>
      </c>
      <c r="Z1355" s="1">
        <v>0</v>
      </c>
      <c r="AI1355" s="1" t="str">
        <f t="shared" si="868"/>
        <v>F10</v>
      </c>
      <c r="AJ1355" s="1" t="str">
        <f t="shared" si="880"/>
        <v>UNISEX</v>
      </c>
      <c r="AK1355" s="1" t="str">
        <f t="shared" si="881"/>
        <v>PA</v>
      </c>
      <c r="AP1355" s="1" t="str">
        <f t="shared" si="882"/>
        <v>False</v>
      </c>
      <c r="AR1355" s="1" t="str">
        <f t="shared" si="883"/>
        <v>VAIAN</v>
      </c>
      <c r="AY1355" s="1" t="str">
        <f t="shared" si="884"/>
        <v>PF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 t="str">
        <f t="shared" si="866"/>
        <v>TOMAIA GOMMA</v>
      </c>
      <c r="BF1355" s="1" t="str">
        <f t="shared" si="885"/>
        <v>Bonis SpA</v>
      </c>
    </row>
    <row r="1356" spans="2:58" x14ac:dyDescent="0.25">
      <c r="B1356" s="1">
        <v>2467</v>
      </c>
      <c r="C1356" s="1" t="str">
        <f>"VAIAN4207S7/G1"</f>
        <v>VAIAN4207S7/G1</v>
      </c>
      <c r="E1356" s="1" t="str">
        <f>"45"</f>
        <v>45</v>
      </c>
      <c r="F1356" s="1" t="str">
        <f t="shared" si="872"/>
        <v>BONIS SPA</v>
      </c>
      <c r="G1356" s="1" t="str">
        <f t="shared" si="863"/>
        <v>STOCK SCAFFALE MP</v>
      </c>
      <c r="H1356" s="1" t="str">
        <f>"RED-DKBL"</f>
        <v>RED-DKBL</v>
      </c>
      <c r="K1356" s="1">
        <v>8</v>
      </c>
      <c r="L1356" s="1" t="str">
        <f t="shared" si="873"/>
        <v>01</v>
      </c>
      <c r="M1356" s="1" t="str">
        <f t="shared" si="864"/>
        <v>408</v>
      </c>
      <c r="N1356" s="1" t="str">
        <f t="shared" si="867"/>
        <v>004</v>
      </c>
      <c r="O1356" s="1" t="str">
        <f t="shared" si="874"/>
        <v>00</v>
      </c>
      <c r="P1356" s="1" t="str">
        <f t="shared" si="875"/>
        <v>S</v>
      </c>
      <c r="Q1356" s="1" t="str">
        <f t="shared" si="876"/>
        <v>P</v>
      </c>
      <c r="R1356" s="1" t="str">
        <f t="shared" si="877"/>
        <v>01</v>
      </c>
      <c r="S1356" s="1" t="str">
        <f t="shared" si="865"/>
        <v>04</v>
      </c>
      <c r="T1356" s="1" t="str">
        <f t="shared" si="878"/>
        <v>False</v>
      </c>
      <c r="U1356" s="1" t="str">
        <f t="shared" si="879"/>
        <v>True</v>
      </c>
      <c r="V1356" s="1" t="str">
        <f>"U0034737"</f>
        <v>U0034737</v>
      </c>
      <c r="W1356" s="1">
        <v>1</v>
      </c>
      <c r="Y1356" s="1">
        <v>0</v>
      </c>
      <c r="Z1356" s="1">
        <v>0</v>
      </c>
      <c r="AI1356" s="1" t="str">
        <f t="shared" si="868"/>
        <v>F10</v>
      </c>
      <c r="AJ1356" s="1" t="str">
        <f t="shared" si="880"/>
        <v>UNISEX</v>
      </c>
      <c r="AK1356" s="1" t="str">
        <f t="shared" si="881"/>
        <v>PA</v>
      </c>
      <c r="AP1356" s="1" t="str">
        <f t="shared" si="882"/>
        <v>False</v>
      </c>
      <c r="AR1356" s="1" t="str">
        <f t="shared" si="883"/>
        <v>VAIAN</v>
      </c>
      <c r="AY1356" s="1" t="str">
        <f t="shared" si="884"/>
        <v>PF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 t="str">
        <f t="shared" si="866"/>
        <v>TOMAIA GOMMA</v>
      </c>
      <c r="BF1356" s="1" t="str">
        <f t="shared" si="885"/>
        <v>Bonis SpA</v>
      </c>
    </row>
    <row r="1357" spans="2:58" x14ac:dyDescent="0.25">
      <c r="B1357" s="1">
        <v>2467</v>
      </c>
      <c r="C1357" s="1" t="str">
        <f>"VAIAN4207S7/G1"</f>
        <v>VAIAN4207S7/G1</v>
      </c>
      <c r="E1357" s="1" t="str">
        <f>"43"</f>
        <v>43</v>
      </c>
      <c r="F1357" s="1" t="str">
        <f t="shared" si="872"/>
        <v>BONIS SPA</v>
      </c>
      <c r="G1357" s="1" t="str">
        <f t="shared" si="863"/>
        <v>STOCK SCAFFALE MP</v>
      </c>
      <c r="H1357" s="1" t="str">
        <f>"RED-DKBL"</f>
        <v>RED-DKBL</v>
      </c>
      <c r="K1357" s="1">
        <v>11</v>
      </c>
      <c r="L1357" s="1" t="str">
        <f t="shared" si="873"/>
        <v>01</v>
      </c>
      <c r="M1357" s="1" t="str">
        <f t="shared" si="864"/>
        <v>408</v>
      </c>
      <c r="N1357" s="1" t="str">
        <f t="shared" si="867"/>
        <v>004</v>
      </c>
      <c r="O1357" s="1" t="str">
        <f t="shared" si="874"/>
        <v>00</v>
      </c>
      <c r="P1357" s="1" t="str">
        <f t="shared" si="875"/>
        <v>S</v>
      </c>
      <c r="Q1357" s="1" t="str">
        <f t="shared" si="876"/>
        <v>P</v>
      </c>
      <c r="R1357" s="1" t="str">
        <f t="shared" si="877"/>
        <v>01</v>
      </c>
      <c r="S1357" s="1" t="str">
        <f t="shared" si="865"/>
        <v>04</v>
      </c>
      <c r="T1357" s="1" t="str">
        <f t="shared" si="878"/>
        <v>False</v>
      </c>
      <c r="U1357" s="1" t="str">
        <f t="shared" si="879"/>
        <v>True</v>
      </c>
      <c r="V1357" s="1" t="str">
        <f>"U0034737"</f>
        <v>U0034737</v>
      </c>
      <c r="W1357" s="1">
        <v>1</v>
      </c>
      <c r="Y1357" s="1">
        <v>0</v>
      </c>
      <c r="Z1357" s="1">
        <v>0</v>
      </c>
      <c r="AI1357" s="1" t="str">
        <f t="shared" si="868"/>
        <v>F10</v>
      </c>
      <c r="AJ1357" s="1" t="str">
        <f t="shared" si="880"/>
        <v>UNISEX</v>
      </c>
      <c r="AK1357" s="1" t="str">
        <f t="shared" si="881"/>
        <v>PA</v>
      </c>
      <c r="AP1357" s="1" t="str">
        <f t="shared" si="882"/>
        <v>False</v>
      </c>
      <c r="AR1357" s="1" t="str">
        <f t="shared" si="883"/>
        <v>VAIAN</v>
      </c>
      <c r="AY1357" s="1" t="str">
        <f t="shared" si="884"/>
        <v>PF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 t="str">
        <f t="shared" si="866"/>
        <v>TOMAIA GOMMA</v>
      </c>
      <c r="BF1357" s="1" t="str">
        <f t="shared" si="885"/>
        <v>Bonis SpA</v>
      </c>
    </row>
    <row r="1358" spans="2:58" x14ac:dyDescent="0.25">
      <c r="B1358" s="1">
        <v>2467</v>
      </c>
      <c r="C1358" s="1" t="str">
        <f>"VAIAN4207S7/G1"</f>
        <v>VAIAN4207S7/G1</v>
      </c>
      <c r="E1358" s="1" t="str">
        <f>"41"</f>
        <v>41</v>
      </c>
      <c r="F1358" s="1" t="str">
        <f t="shared" si="872"/>
        <v>BONIS SPA</v>
      </c>
      <c r="G1358" s="1" t="str">
        <f t="shared" si="863"/>
        <v>STOCK SCAFFALE MP</v>
      </c>
      <c r="H1358" s="1" t="str">
        <f>"RED-DKBL"</f>
        <v>RED-DKBL</v>
      </c>
      <c r="K1358" s="1">
        <v>2</v>
      </c>
      <c r="L1358" s="1" t="str">
        <f t="shared" si="873"/>
        <v>01</v>
      </c>
      <c r="M1358" s="1" t="str">
        <f t="shared" si="864"/>
        <v>408</v>
      </c>
      <c r="N1358" s="1" t="str">
        <f t="shared" si="867"/>
        <v>004</v>
      </c>
      <c r="O1358" s="1" t="str">
        <f t="shared" si="874"/>
        <v>00</v>
      </c>
      <c r="P1358" s="1" t="str">
        <f t="shared" si="875"/>
        <v>S</v>
      </c>
      <c r="Q1358" s="1" t="str">
        <f t="shared" si="876"/>
        <v>P</v>
      </c>
      <c r="R1358" s="1" t="str">
        <f t="shared" si="877"/>
        <v>01</v>
      </c>
      <c r="S1358" s="1" t="str">
        <f t="shared" si="865"/>
        <v>04</v>
      </c>
      <c r="T1358" s="1" t="str">
        <f t="shared" si="878"/>
        <v>False</v>
      </c>
      <c r="U1358" s="1" t="str">
        <f t="shared" si="879"/>
        <v>True</v>
      </c>
      <c r="V1358" s="1" t="str">
        <f>"U0034737"</f>
        <v>U0034737</v>
      </c>
      <c r="W1358" s="1">
        <v>1</v>
      </c>
      <c r="Y1358" s="1">
        <v>0</v>
      </c>
      <c r="Z1358" s="1">
        <v>0</v>
      </c>
      <c r="AI1358" s="1" t="str">
        <f t="shared" si="868"/>
        <v>F10</v>
      </c>
      <c r="AJ1358" s="1" t="str">
        <f t="shared" si="880"/>
        <v>UNISEX</v>
      </c>
      <c r="AK1358" s="1" t="str">
        <f t="shared" si="881"/>
        <v>PA</v>
      </c>
      <c r="AP1358" s="1" t="str">
        <f t="shared" si="882"/>
        <v>False</v>
      </c>
      <c r="AR1358" s="1" t="str">
        <f t="shared" si="883"/>
        <v>VAIAN</v>
      </c>
      <c r="AY1358" s="1" t="str">
        <f t="shared" si="884"/>
        <v>PF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 t="str">
        <f t="shared" si="866"/>
        <v>TOMAIA GOMMA</v>
      </c>
      <c r="BF1358" s="1" t="str">
        <f t="shared" si="885"/>
        <v>Bonis SpA</v>
      </c>
    </row>
    <row r="1359" spans="2:58" x14ac:dyDescent="0.25">
      <c r="B1359" s="1">
        <v>2467</v>
      </c>
      <c r="C1359" s="1" t="str">
        <f>"VAIAN4210S7/G1"</f>
        <v>VAIAN4210S7/G1</v>
      </c>
      <c r="E1359" s="1" t="str">
        <f>"46"</f>
        <v>46</v>
      </c>
      <c r="F1359" s="1" t="str">
        <f t="shared" si="872"/>
        <v>BONIS SPA</v>
      </c>
      <c r="G1359" s="1" t="str">
        <f t="shared" si="863"/>
        <v>STOCK SCAFFALE MP</v>
      </c>
      <c r="H1359" s="1" t="str">
        <f>"WHI"</f>
        <v>WHI</v>
      </c>
      <c r="K1359" s="1">
        <v>5</v>
      </c>
      <c r="L1359" s="1" t="str">
        <f t="shared" si="873"/>
        <v>01</v>
      </c>
      <c r="M1359" s="1" t="str">
        <f t="shared" si="864"/>
        <v>408</v>
      </c>
      <c r="N1359" s="1" t="str">
        <f t="shared" si="867"/>
        <v>004</v>
      </c>
      <c r="O1359" s="1" t="str">
        <f t="shared" si="874"/>
        <v>00</v>
      </c>
      <c r="P1359" s="1" t="str">
        <f t="shared" si="875"/>
        <v>S</v>
      </c>
      <c r="Q1359" s="1" t="str">
        <f t="shared" si="876"/>
        <v>P</v>
      </c>
      <c r="R1359" s="1" t="str">
        <f t="shared" si="877"/>
        <v>01</v>
      </c>
      <c r="S1359" s="1" t="str">
        <f t="shared" si="865"/>
        <v>04</v>
      </c>
      <c r="T1359" s="1" t="str">
        <f t="shared" si="878"/>
        <v>False</v>
      </c>
      <c r="U1359" s="1" t="str">
        <f t="shared" si="879"/>
        <v>True</v>
      </c>
      <c r="V1359" s="1" t="str">
        <f>"U0034738"</f>
        <v>U0034738</v>
      </c>
      <c r="W1359" s="1">
        <v>1</v>
      </c>
      <c r="Y1359" s="1">
        <v>0</v>
      </c>
      <c r="Z1359" s="1">
        <v>0</v>
      </c>
      <c r="AI1359" s="1" t="str">
        <f t="shared" si="868"/>
        <v>F10</v>
      </c>
      <c r="AJ1359" s="1" t="str">
        <f t="shared" si="880"/>
        <v>UNISEX</v>
      </c>
      <c r="AK1359" s="1" t="str">
        <f t="shared" si="881"/>
        <v>PA</v>
      </c>
      <c r="AP1359" s="1" t="str">
        <f t="shared" si="882"/>
        <v>False</v>
      </c>
      <c r="AR1359" s="1" t="str">
        <f t="shared" si="883"/>
        <v>VAIAN</v>
      </c>
      <c r="AY1359" s="1" t="str">
        <f t="shared" si="884"/>
        <v>PF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 t="str">
        <f t="shared" si="866"/>
        <v>TOMAIA GOMMA</v>
      </c>
      <c r="BF1359" s="1" t="str">
        <f t="shared" si="885"/>
        <v>Bonis SpA</v>
      </c>
    </row>
    <row r="1360" spans="2:58" x14ac:dyDescent="0.25">
      <c r="B1360" s="1">
        <v>2467</v>
      </c>
      <c r="C1360" s="1" t="str">
        <f>"VAIAN4207S7/G1"</f>
        <v>VAIAN4207S7/G1</v>
      </c>
      <c r="E1360" s="1" t="str">
        <f>"46"</f>
        <v>46</v>
      </c>
      <c r="F1360" s="1" t="str">
        <f t="shared" si="872"/>
        <v>BONIS SPA</v>
      </c>
      <c r="G1360" s="1" t="str">
        <f t="shared" si="863"/>
        <v>STOCK SCAFFALE MP</v>
      </c>
      <c r="H1360" s="1" t="str">
        <f>"RED-DKBL"</f>
        <v>RED-DKBL</v>
      </c>
      <c r="K1360" s="1">
        <v>4</v>
      </c>
      <c r="L1360" s="1" t="str">
        <f t="shared" si="873"/>
        <v>01</v>
      </c>
      <c r="M1360" s="1" t="str">
        <f t="shared" si="864"/>
        <v>408</v>
      </c>
      <c r="N1360" s="1" t="str">
        <f t="shared" si="867"/>
        <v>004</v>
      </c>
      <c r="O1360" s="1" t="str">
        <f t="shared" si="874"/>
        <v>00</v>
      </c>
      <c r="P1360" s="1" t="str">
        <f t="shared" si="875"/>
        <v>S</v>
      </c>
      <c r="Q1360" s="1" t="str">
        <f t="shared" si="876"/>
        <v>P</v>
      </c>
      <c r="R1360" s="1" t="str">
        <f t="shared" si="877"/>
        <v>01</v>
      </c>
      <c r="S1360" s="1" t="str">
        <f t="shared" si="865"/>
        <v>04</v>
      </c>
      <c r="T1360" s="1" t="str">
        <f t="shared" si="878"/>
        <v>False</v>
      </c>
      <c r="U1360" s="1" t="str">
        <f t="shared" si="879"/>
        <v>True</v>
      </c>
      <c r="V1360" s="1" t="str">
        <f>"U0034737"</f>
        <v>U0034737</v>
      </c>
      <c r="W1360" s="1">
        <v>1</v>
      </c>
      <c r="Y1360" s="1">
        <v>0</v>
      </c>
      <c r="Z1360" s="1">
        <v>0</v>
      </c>
      <c r="AI1360" s="1" t="str">
        <f t="shared" si="868"/>
        <v>F10</v>
      </c>
      <c r="AJ1360" s="1" t="str">
        <f t="shared" si="880"/>
        <v>UNISEX</v>
      </c>
      <c r="AK1360" s="1" t="str">
        <f t="shared" si="881"/>
        <v>PA</v>
      </c>
      <c r="AP1360" s="1" t="str">
        <f t="shared" si="882"/>
        <v>False</v>
      </c>
      <c r="AR1360" s="1" t="str">
        <f t="shared" si="883"/>
        <v>VAIAN</v>
      </c>
      <c r="AY1360" s="1" t="str">
        <f t="shared" si="884"/>
        <v>PF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 t="str">
        <f t="shared" si="866"/>
        <v>TOMAIA GOMMA</v>
      </c>
      <c r="BF1360" s="1" t="str">
        <f t="shared" si="885"/>
        <v>Bonis SpA</v>
      </c>
    </row>
    <row r="1361" spans="2:58" x14ac:dyDescent="0.25">
      <c r="B1361" s="1">
        <v>2467</v>
      </c>
      <c r="C1361" s="1" t="str">
        <f>"VAIAN4210S7/G1"</f>
        <v>VAIAN4210S7/G1</v>
      </c>
      <c r="E1361" s="1" t="str">
        <f>"42"</f>
        <v>42</v>
      </c>
      <c r="F1361" s="1" t="str">
        <f t="shared" si="872"/>
        <v>BONIS SPA</v>
      </c>
      <c r="G1361" s="1" t="str">
        <f t="shared" si="863"/>
        <v>STOCK SCAFFALE MP</v>
      </c>
      <c r="H1361" s="1" t="str">
        <f>"WHI"</f>
        <v>WHI</v>
      </c>
      <c r="K1361" s="1">
        <v>3</v>
      </c>
      <c r="L1361" s="1" t="str">
        <f t="shared" si="873"/>
        <v>01</v>
      </c>
      <c r="M1361" s="1" t="str">
        <f t="shared" si="864"/>
        <v>408</v>
      </c>
      <c r="N1361" s="1" t="str">
        <f t="shared" si="867"/>
        <v>004</v>
      </c>
      <c r="O1361" s="1" t="str">
        <f t="shared" si="874"/>
        <v>00</v>
      </c>
      <c r="P1361" s="1" t="str">
        <f t="shared" si="875"/>
        <v>S</v>
      </c>
      <c r="Q1361" s="1" t="str">
        <f t="shared" si="876"/>
        <v>P</v>
      </c>
      <c r="R1361" s="1" t="str">
        <f t="shared" si="877"/>
        <v>01</v>
      </c>
      <c r="S1361" s="1" t="str">
        <f t="shared" si="865"/>
        <v>04</v>
      </c>
      <c r="T1361" s="1" t="str">
        <f t="shared" si="878"/>
        <v>False</v>
      </c>
      <c r="U1361" s="1" t="str">
        <f t="shared" si="879"/>
        <v>True</v>
      </c>
      <c r="V1361" s="1" t="str">
        <f>"U0034740"</f>
        <v>U0034740</v>
      </c>
      <c r="W1361" s="1">
        <v>1</v>
      </c>
      <c r="Y1361" s="1">
        <v>0</v>
      </c>
      <c r="Z1361" s="1">
        <v>0</v>
      </c>
      <c r="AI1361" s="1" t="str">
        <f t="shared" si="868"/>
        <v>F10</v>
      </c>
      <c r="AJ1361" s="1" t="str">
        <f t="shared" si="880"/>
        <v>UNISEX</v>
      </c>
      <c r="AK1361" s="1" t="str">
        <f t="shared" si="881"/>
        <v>PA</v>
      </c>
      <c r="AP1361" s="1" t="str">
        <f t="shared" si="882"/>
        <v>False</v>
      </c>
      <c r="AR1361" s="1" t="str">
        <f t="shared" si="883"/>
        <v>VAIAN</v>
      </c>
      <c r="AY1361" s="1" t="str">
        <f t="shared" si="884"/>
        <v>PF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 t="str">
        <f t="shared" si="866"/>
        <v>TOMAIA GOMMA</v>
      </c>
      <c r="BF1361" s="1" t="str">
        <f t="shared" si="885"/>
        <v>Bonis SpA</v>
      </c>
    </row>
    <row r="1362" spans="2:58" x14ac:dyDescent="0.25">
      <c r="B1362" s="1">
        <v>2467</v>
      </c>
      <c r="C1362" s="1" t="str">
        <f>"VAIAN4207S7/G1"</f>
        <v>VAIAN4207S7/G1</v>
      </c>
      <c r="E1362" s="1" t="str">
        <f>"42"</f>
        <v>42</v>
      </c>
      <c r="F1362" s="1" t="str">
        <f t="shared" si="872"/>
        <v>BONIS SPA</v>
      </c>
      <c r="G1362" s="1" t="str">
        <f t="shared" si="863"/>
        <v>STOCK SCAFFALE MP</v>
      </c>
      <c r="H1362" s="1" t="str">
        <f>"RED-DKBL"</f>
        <v>RED-DKBL</v>
      </c>
      <c r="K1362" s="1">
        <v>2</v>
      </c>
      <c r="L1362" s="1" t="str">
        <f t="shared" si="873"/>
        <v>01</v>
      </c>
      <c r="M1362" s="1" t="str">
        <f t="shared" si="864"/>
        <v>408</v>
      </c>
      <c r="N1362" s="1" t="str">
        <f t="shared" si="867"/>
        <v>004</v>
      </c>
      <c r="O1362" s="1" t="str">
        <f t="shared" si="874"/>
        <v>00</v>
      </c>
      <c r="P1362" s="1" t="str">
        <f t="shared" si="875"/>
        <v>S</v>
      </c>
      <c r="Q1362" s="1" t="str">
        <f t="shared" si="876"/>
        <v>P</v>
      </c>
      <c r="R1362" s="1" t="str">
        <f t="shared" si="877"/>
        <v>01</v>
      </c>
      <c r="S1362" s="1" t="str">
        <f t="shared" si="865"/>
        <v>04</v>
      </c>
      <c r="T1362" s="1" t="str">
        <f t="shared" si="878"/>
        <v>False</v>
      </c>
      <c r="U1362" s="1" t="str">
        <f t="shared" si="879"/>
        <v>True</v>
      </c>
      <c r="V1362" s="1" t="str">
        <f>"U0034739"</f>
        <v>U0034739</v>
      </c>
      <c r="W1362" s="1">
        <v>1</v>
      </c>
      <c r="Y1362" s="1">
        <v>0</v>
      </c>
      <c r="Z1362" s="1">
        <v>0</v>
      </c>
      <c r="AI1362" s="1" t="str">
        <f t="shared" si="868"/>
        <v>F10</v>
      </c>
      <c r="AJ1362" s="1" t="str">
        <f t="shared" si="880"/>
        <v>UNISEX</v>
      </c>
      <c r="AK1362" s="1" t="str">
        <f t="shared" si="881"/>
        <v>PA</v>
      </c>
      <c r="AP1362" s="1" t="str">
        <f t="shared" si="882"/>
        <v>False</v>
      </c>
      <c r="AR1362" s="1" t="str">
        <f t="shared" si="883"/>
        <v>VAIAN</v>
      </c>
      <c r="AY1362" s="1" t="str">
        <f t="shared" si="884"/>
        <v>PF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 t="str">
        <f t="shared" si="866"/>
        <v>TOMAIA GOMMA</v>
      </c>
      <c r="BF1362" s="1" t="str">
        <f t="shared" si="885"/>
        <v>Bonis SpA</v>
      </c>
    </row>
    <row r="1363" spans="2:58" x14ac:dyDescent="0.25">
      <c r="B1363" s="1">
        <v>2467</v>
      </c>
      <c r="C1363" s="1" t="str">
        <f>"VAIAN4207S7/G1"</f>
        <v>VAIAN4207S7/G1</v>
      </c>
      <c r="E1363" s="1" t="str">
        <f>"43"</f>
        <v>43</v>
      </c>
      <c r="F1363" s="1" t="str">
        <f t="shared" si="872"/>
        <v>BONIS SPA</v>
      </c>
      <c r="G1363" s="1" t="str">
        <f t="shared" si="863"/>
        <v>STOCK SCAFFALE MP</v>
      </c>
      <c r="H1363" s="1" t="str">
        <f>"RED-DKBL"</f>
        <v>RED-DKBL</v>
      </c>
      <c r="K1363" s="1">
        <v>3</v>
      </c>
      <c r="L1363" s="1" t="str">
        <f t="shared" si="873"/>
        <v>01</v>
      </c>
      <c r="M1363" s="1" t="str">
        <f t="shared" si="864"/>
        <v>408</v>
      </c>
      <c r="N1363" s="1" t="str">
        <f t="shared" si="867"/>
        <v>004</v>
      </c>
      <c r="O1363" s="1" t="str">
        <f t="shared" si="874"/>
        <v>00</v>
      </c>
      <c r="P1363" s="1" t="str">
        <f t="shared" si="875"/>
        <v>S</v>
      </c>
      <c r="Q1363" s="1" t="str">
        <f t="shared" si="876"/>
        <v>P</v>
      </c>
      <c r="R1363" s="1" t="str">
        <f t="shared" si="877"/>
        <v>01</v>
      </c>
      <c r="S1363" s="1" t="str">
        <f t="shared" si="865"/>
        <v>04</v>
      </c>
      <c r="T1363" s="1" t="str">
        <f t="shared" si="878"/>
        <v>False</v>
      </c>
      <c r="U1363" s="1" t="str">
        <f t="shared" si="879"/>
        <v>True</v>
      </c>
      <c r="V1363" s="1" t="str">
        <f>"U0034739"</f>
        <v>U0034739</v>
      </c>
      <c r="W1363" s="1">
        <v>1</v>
      </c>
      <c r="Y1363" s="1">
        <v>0</v>
      </c>
      <c r="Z1363" s="1">
        <v>0</v>
      </c>
      <c r="AI1363" s="1" t="str">
        <f t="shared" si="868"/>
        <v>F10</v>
      </c>
      <c r="AJ1363" s="1" t="str">
        <f t="shared" si="880"/>
        <v>UNISEX</v>
      </c>
      <c r="AK1363" s="1" t="str">
        <f t="shared" si="881"/>
        <v>PA</v>
      </c>
      <c r="AP1363" s="1" t="str">
        <f t="shared" si="882"/>
        <v>False</v>
      </c>
      <c r="AR1363" s="1" t="str">
        <f t="shared" si="883"/>
        <v>VAIAN</v>
      </c>
      <c r="AY1363" s="1" t="str">
        <f t="shared" si="884"/>
        <v>PF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 t="str">
        <f t="shared" ref="BE1363:BE1384" si="888">"TOMAIA GOMMA"</f>
        <v>TOMAIA GOMMA</v>
      </c>
      <c r="BF1363" s="1" t="str">
        <f t="shared" si="885"/>
        <v>Bonis SpA</v>
      </c>
    </row>
    <row r="1364" spans="2:58" x14ac:dyDescent="0.25">
      <c r="B1364" s="1">
        <v>2467</v>
      </c>
      <c r="C1364" s="1" t="str">
        <f>"VAIAN4210S7/G1"</f>
        <v>VAIAN4210S7/G1</v>
      </c>
      <c r="E1364" s="1" t="str">
        <f>"43"</f>
        <v>43</v>
      </c>
      <c r="F1364" s="1" t="str">
        <f t="shared" si="872"/>
        <v>BONIS SPA</v>
      </c>
      <c r="G1364" s="1" t="str">
        <f t="shared" si="863"/>
        <v>STOCK SCAFFALE MP</v>
      </c>
      <c r="H1364" s="1" t="str">
        <f>"WHI"</f>
        <v>WHI</v>
      </c>
      <c r="K1364" s="1">
        <v>7</v>
      </c>
      <c r="L1364" s="1" t="str">
        <f t="shared" si="873"/>
        <v>01</v>
      </c>
      <c r="M1364" s="1" t="str">
        <f t="shared" si="864"/>
        <v>408</v>
      </c>
      <c r="N1364" s="1" t="str">
        <f t="shared" si="867"/>
        <v>004</v>
      </c>
      <c r="O1364" s="1" t="str">
        <f t="shared" si="874"/>
        <v>00</v>
      </c>
      <c r="P1364" s="1" t="str">
        <f t="shared" si="875"/>
        <v>S</v>
      </c>
      <c r="Q1364" s="1" t="str">
        <f t="shared" si="876"/>
        <v>P</v>
      </c>
      <c r="R1364" s="1" t="str">
        <f t="shared" si="877"/>
        <v>01</v>
      </c>
      <c r="S1364" s="1" t="str">
        <f t="shared" si="865"/>
        <v>04</v>
      </c>
      <c r="T1364" s="1" t="str">
        <f t="shared" si="878"/>
        <v>False</v>
      </c>
      <c r="U1364" s="1" t="str">
        <f t="shared" si="879"/>
        <v>True</v>
      </c>
      <c r="V1364" s="1" t="str">
        <f>"U0034740"</f>
        <v>U0034740</v>
      </c>
      <c r="W1364" s="1">
        <v>1</v>
      </c>
      <c r="Y1364" s="1">
        <v>0</v>
      </c>
      <c r="Z1364" s="1">
        <v>0</v>
      </c>
      <c r="AI1364" s="1" t="str">
        <f t="shared" si="868"/>
        <v>F10</v>
      </c>
      <c r="AJ1364" s="1" t="str">
        <f t="shared" si="880"/>
        <v>UNISEX</v>
      </c>
      <c r="AK1364" s="1" t="str">
        <f t="shared" si="881"/>
        <v>PA</v>
      </c>
      <c r="AP1364" s="1" t="str">
        <f t="shared" si="882"/>
        <v>False</v>
      </c>
      <c r="AR1364" s="1" t="str">
        <f t="shared" si="883"/>
        <v>VAIAN</v>
      </c>
      <c r="AY1364" s="1" t="str">
        <f t="shared" si="884"/>
        <v>PF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 t="str">
        <f t="shared" si="888"/>
        <v>TOMAIA GOMMA</v>
      </c>
      <c r="BF1364" s="1" t="str">
        <f t="shared" si="885"/>
        <v>Bonis SpA</v>
      </c>
    </row>
    <row r="1365" spans="2:58" x14ac:dyDescent="0.25">
      <c r="B1365" s="1">
        <v>2467</v>
      </c>
      <c r="C1365" s="1" t="str">
        <f>"VAIAN4210S7/G1"</f>
        <v>VAIAN4210S7/G1</v>
      </c>
      <c r="E1365" s="1" t="str">
        <f>"40"</f>
        <v>40</v>
      </c>
      <c r="F1365" s="1" t="str">
        <f t="shared" si="872"/>
        <v>BONIS SPA</v>
      </c>
      <c r="G1365" s="1" t="str">
        <f t="shared" si="863"/>
        <v>STOCK SCAFFALE MP</v>
      </c>
      <c r="H1365" s="1" t="str">
        <f>"WHI"</f>
        <v>WHI</v>
      </c>
      <c r="K1365" s="1">
        <v>1</v>
      </c>
      <c r="L1365" s="1" t="str">
        <f t="shared" si="873"/>
        <v>01</v>
      </c>
      <c r="M1365" s="1" t="str">
        <f t="shared" si="864"/>
        <v>408</v>
      </c>
      <c r="N1365" s="1" t="str">
        <f t="shared" si="867"/>
        <v>004</v>
      </c>
      <c r="O1365" s="1" t="str">
        <f t="shared" si="874"/>
        <v>00</v>
      </c>
      <c r="P1365" s="1" t="str">
        <f t="shared" si="875"/>
        <v>S</v>
      </c>
      <c r="Q1365" s="1" t="str">
        <f t="shared" si="876"/>
        <v>P</v>
      </c>
      <c r="R1365" s="1" t="str">
        <f t="shared" si="877"/>
        <v>01</v>
      </c>
      <c r="S1365" s="1" t="str">
        <f t="shared" si="865"/>
        <v>04</v>
      </c>
      <c r="T1365" s="1" t="str">
        <f t="shared" si="878"/>
        <v>False</v>
      </c>
      <c r="U1365" s="1" t="str">
        <f t="shared" si="879"/>
        <v>True</v>
      </c>
      <c r="V1365" s="1" t="str">
        <f>"U0034740"</f>
        <v>U0034740</v>
      </c>
      <c r="W1365" s="1">
        <v>1</v>
      </c>
      <c r="Y1365" s="1">
        <v>0</v>
      </c>
      <c r="Z1365" s="1">
        <v>0</v>
      </c>
      <c r="AI1365" s="1" t="str">
        <f t="shared" si="868"/>
        <v>F10</v>
      </c>
      <c r="AJ1365" s="1" t="str">
        <f t="shared" si="880"/>
        <v>UNISEX</v>
      </c>
      <c r="AK1365" s="1" t="str">
        <f t="shared" si="881"/>
        <v>PA</v>
      </c>
      <c r="AP1365" s="1" t="str">
        <f t="shared" si="882"/>
        <v>False</v>
      </c>
      <c r="AR1365" s="1" t="str">
        <f t="shared" si="883"/>
        <v>VAIAN</v>
      </c>
      <c r="AY1365" s="1" t="str">
        <f t="shared" si="884"/>
        <v>PF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 t="str">
        <f t="shared" si="888"/>
        <v>TOMAIA GOMMA</v>
      </c>
      <c r="BF1365" s="1" t="str">
        <f t="shared" si="885"/>
        <v>Bonis SpA</v>
      </c>
    </row>
    <row r="1366" spans="2:58" x14ac:dyDescent="0.25">
      <c r="B1366" s="1">
        <v>2467</v>
      </c>
      <c r="C1366" s="1" t="str">
        <f>"VAIAN4210S7/G1"</f>
        <v>VAIAN4210S7/G1</v>
      </c>
      <c r="E1366" s="1" t="str">
        <f>"46"</f>
        <v>46</v>
      </c>
      <c r="F1366" s="1" t="str">
        <f t="shared" si="872"/>
        <v>BONIS SPA</v>
      </c>
      <c r="G1366" s="1" t="str">
        <f t="shared" si="863"/>
        <v>STOCK SCAFFALE MP</v>
      </c>
      <c r="H1366" s="1" t="str">
        <f>"WHI"</f>
        <v>WHI</v>
      </c>
      <c r="K1366" s="1">
        <v>6</v>
      </c>
      <c r="L1366" s="1" t="str">
        <f t="shared" si="873"/>
        <v>01</v>
      </c>
      <c r="M1366" s="1" t="str">
        <f t="shared" si="864"/>
        <v>408</v>
      </c>
      <c r="N1366" s="1" t="str">
        <f t="shared" ref="N1366:N1384" si="889">"004"</f>
        <v>004</v>
      </c>
      <c r="O1366" s="1" t="str">
        <f t="shared" si="874"/>
        <v>00</v>
      </c>
      <c r="P1366" s="1" t="str">
        <f t="shared" si="875"/>
        <v>S</v>
      </c>
      <c r="Q1366" s="1" t="str">
        <f t="shared" si="876"/>
        <v>P</v>
      </c>
      <c r="R1366" s="1" t="str">
        <f t="shared" si="877"/>
        <v>01</v>
      </c>
      <c r="S1366" s="1" t="str">
        <f t="shared" si="865"/>
        <v>04</v>
      </c>
      <c r="T1366" s="1" t="str">
        <f t="shared" si="878"/>
        <v>False</v>
      </c>
      <c r="U1366" s="1" t="str">
        <f t="shared" si="879"/>
        <v>True</v>
      </c>
      <c r="V1366" s="1" t="str">
        <f>"U0034740"</f>
        <v>U0034740</v>
      </c>
      <c r="W1366" s="1">
        <v>1</v>
      </c>
      <c r="Y1366" s="1">
        <v>0</v>
      </c>
      <c r="Z1366" s="1">
        <v>0</v>
      </c>
      <c r="AI1366" s="1" t="str">
        <f t="shared" ref="AI1366:AI1384" si="890">"F10"</f>
        <v>F10</v>
      </c>
      <c r="AJ1366" s="1" t="str">
        <f t="shared" si="880"/>
        <v>UNISEX</v>
      </c>
      <c r="AK1366" s="1" t="str">
        <f t="shared" si="881"/>
        <v>PA</v>
      </c>
      <c r="AP1366" s="1" t="str">
        <f t="shared" si="882"/>
        <v>False</v>
      </c>
      <c r="AR1366" s="1" t="str">
        <f t="shared" si="883"/>
        <v>VAIAN</v>
      </c>
      <c r="AY1366" s="1" t="str">
        <f t="shared" si="884"/>
        <v>PF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 t="str">
        <f t="shared" si="888"/>
        <v>TOMAIA GOMMA</v>
      </c>
      <c r="BF1366" s="1" t="str">
        <f t="shared" si="885"/>
        <v>Bonis SpA</v>
      </c>
    </row>
    <row r="1367" spans="2:58" x14ac:dyDescent="0.25">
      <c r="B1367" s="1">
        <v>2467</v>
      </c>
      <c r="C1367" s="1" t="str">
        <f>"VAIAN4207S7/G1"</f>
        <v>VAIAN4207S7/G1</v>
      </c>
      <c r="E1367" s="1" t="str">
        <f>"45"</f>
        <v>45</v>
      </c>
      <c r="F1367" s="1" t="str">
        <f t="shared" si="872"/>
        <v>BONIS SPA</v>
      </c>
      <c r="G1367" s="1" t="str">
        <f t="shared" si="863"/>
        <v>STOCK SCAFFALE MP</v>
      </c>
      <c r="H1367" s="1" t="str">
        <f>"RED-DKBL"</f>
        <v>RED-DKBL</v>
      </c>
      <c r="K1367" s="1">
        <v>3</v>
      </c>
      <c r="L1367" s="1" t="str">
        <f t="shared" si="873"/>
        <v>01</v>
      </c>
      <c r="M1367" s="1" t="str">
        <f t="shared" si="864"/>
        <v>408</v>
      </c>
      <c r="N1367" s="1" t="str">
        <f t="shared" si="889"/>
        <v>004</v>
      </c>
      <c r="O1367" s="1" t="str">
        <f t="shared" si="874"/>
        <v>00</v>
      </c>
      <c r="P1367" s="1" t="str">
        <f t="shared" si="875"/>
        <v>S</v>
      </c>
      <c r="Q1367" s="1" t="str">
        <f t="shared" si="876"/>
        <v>P</v>
      </c>
      <c r="R1367" s="1" t="str">
        <f t="shared" si="877"/>
        <v>01</v>
      </c>
      <c r="S1367" s="1" t="str">
        <f t="shared" si="865"/>
        <v>04</v>
      </c>
      <c r="T1367" s="1" t="str">
        <f t="shared" si="878"/>
        <v>False</v>
      </c>
      <c r="U1367" s="1" t="str">
        <f t="shared" si="879"/>
        <v>True</v>
      </c>
      <c r="V1367" s="1" t="str">
        <f>"U0034739"</f>
        <v>U0034739</v>
      </c>
      <c r="W1367" s="1">
        <v>1</v>
      </c>
      <c r="Y1367" s="1">
        <v>0</v>
      </c>
      <c r="Z1367" s="1">
        <v>0</v>
      </c>
      <c r="AI1367" s="1" t="str">
        <f t="shared" si="890"/>
        <v>F10</v>
      </c>
      <c r="AJ1367" s="1" t="str">
        <f t="shared" si="880"/>
        <v>UNISEX</v>
      </c>
      <c r="AK1367" s="1" t="str">
        <f t="shared" si="881"/>
        <v>PA</v>
      </c>
      <c r="AP1367" s="1" t="str">
        <f t="shared" si="882"/>
        <v>False</v>
      </c>
      <c r="AR1367" s="1" t="str">
        <f t="shared" si="883"/>
        <v>VAIAN</v>
      </c>
      <c r="AY1367" s="1" t="str">
        <f t="shared" si="884"/>
        <v>PF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 t="str">
        <f t="shared" si="888"/>
        <v>TOMAIA GOMMA</v>
      </c>
      <c r="BF1367" s="1" t="str">
        <f t="shared" si="885"/>
        <v>Bonis SpA</v>
      </c>
    </row>
    <row r="1368" spans="2:58" x14ac:dyDescent="0.25">
      <c r="B1368" s="1">
        <v>2467</v>
      </c>
      <c r="C1368" s="1" t="str">
        <f>"VAIAN4210S7/G1"</f>
        <v>VAIAN4210S7/G1</v>
      </c>
      <c r="E1368" s="1" t="str">
        <f>"45"</f>
        <v>45</v>
      </c>
      <c r="F1368" s="1" t="str">
        <f t="shared" si="872"/>
        <v>BONIS SPA</v>
      </c>
      <c r="G1368" s="1" t="str">
        <f t="shared" si="863"/>
        <v>STOCK SCAFFALE MP</v>
      </c>
      <c r="H1368" s="1" t="str">
        <f>"WHI"</f>
        <v>WHI</v>
      </c>
      <c r="K1368" s="1">
        <v>6</v>
      </c>
      <c r="L1368" s="1" t="str">
        <f t="shared" si="873"/>
        <v>01</v>
      </c>
      <c r="M1368" s="1" t="str">
        <f t="shared" si="864"/>
        <v>408</v>
      </c>
      <c r="N1368" s="1" t="str">
        <f t="shared" si="889"/>
        <v>004</v>
      </c>
      <c r="O1368" s="1" t="str">
        <f t="shared" si="874"/>
        <v>00</v>
      </c>
      <c r="P1368" s="1" t="str">
        <f t="shared" si="875"/>
        <v>S</v>
      </c>
      <c r="Q1368" s="1" t="str">
        <f t="shared" si="876"/>
        <v>P</v>
      </c>
      <c r="R1368" s="1" t="str">
        <f t="shared" si="877"/>
        <v>01</v>
      </c>
      <c r="S1368" s="1" t="str">
        <f t="shared" si="865"/>
        <v>04</v>
      </c>
      <c r="T1368" s="1" t="str">
        <f t="shared" si="878"/>
        <v>False</v>
      </c>
      <c r="U1368" s="1" t="str">
        <f t="shared" si="879"/>
        <v>True</v>
      </c>
      <c r="V1368" s="1" t="str">
        <f>"U0034739"</f>
        <v>U0034739</v>
      </c>
      <c r="W1368" s="1">
        <v>1</v>
      </c>
      <c r="Y1368" s="1">
        <v>0</v>
      </c>
      <c r="Z1368" s="1">
        <v>0</v>
      </c>
      <c r="AI1368" s="1" t="str">
        <f t="shared" si="890"/>
        <v>F10</v>
      </c>
      <c r="AJ1368" s="1" t="str">
        <f t="shared" si="880"/>
        <v>UNISEX</v>
      </c>
      <c r="AK1368" s="1" t="str">
        <f t="shared" si="881"/>
        <v>PA</v>
      </c>
      <c r="AP1368" s="1" t="str">
        <f t="shared" si="882"/>
        <v>False</v>
      </c>
      <c r="AR1368" s="1" t="str">
        <f t="shared" si="883"/>
        <v>VAIAN</v>
      </c>
      <c r="AY1368" s="1" t="str">
        <f t="shared" si="884"/>
        <v>PF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 t="str">
        <f t="shared" si="888"/>
        <v>TOMAIA GOMMA</v>
      </c>
      <c r="BF1368" s="1" t="str">
        <f t="shared" si="885"/>
        <v>Bonis SpA</v>
      </c>
    </row>
    <row r="1369" spans="2:58" x14ac:dyDescent="0.25">
      <c r="B1369" s="1">
        <v>2467</v>
      </c>
      <c r="C1369" s="1" t="str">
        <f t="shared" ref="C1369:C1374" si="891">"VAIAN4209S7/G1"</f>
        <v>VAIAN4209S7/G1</v>
      </c>
      <c r="E1369" s="1" t="str">
        <f>"43"</f>
        <v>43</v>
      </c>
      <c r="F1369" s="1" t="str">
        <f t="shared" si="872"/>
        <v>BONIS SPA</v>
      </c>
      <c r="G1369" s="1" t="str">
        <f t="shared" si="863"/>
        <v>STOCK SCAFFALE MP</v>
      </c>
      <c r="H1369" s="1" t="str">
        <f>"DKBL"</f>
        <v>DKBL</v>
      </c>
      <c r="K1369" s="1">
        <v>5</v>
      </c>
      <c r="L1369" s="1" t="str">
        <f t="shared" si="873"/>
        <v>01</v>
      </c>
      <c r="M1369" s="1" t="str">
        <f t="shared" si="864"/>
        <v>408</v>
      </c>
      <c r="N1369" s="1" t="str">
        <f t="shared" si="889"/>
        <v>004</v>
      </c>
      <c r="O1369" s="1" t="str">
        <f t="shared" si="874"/>
        <v>00</v>
      </c>
      <c r="P1369" s="1" t="str">
        <f t="shared" si="875"/>
        <v>S</v>
      </c>
      <c r="Q1369" s="1" t="str">
        <f t="shared" si="876"/>
        <v>P</v>
      </c>
      <c r="R1369" s="1" t="str">
        <f t="shared" si="877"/>
        <v>01</v>
      </c>
      <c r="S1369" s="1" t="str">
        <f t="shared" si="865"/>
        <v>04</v>
      </c>
      <c r="T1369" s="1" t="str">
        <f t="shared" si="878"/>
        <v>False</v>
      </c>
      <c r="U1369" s="1" t="str">
        <f t="shared" si="879"/>
        <v>True</v>
      </c>
      <c r="V1369" s="1" t="str">
        <f>"U0034739"</f>
        <v>U0034739</v>
      </c>
      <c r="W1369" s="1">
        <v>1</v>
      </c>
      <c r="Y1369" s="1">
        <v>0</v>
      </c>
      <c r="Z1369" s="1">
        <v>0</v>
      </c>
      <c r="AI1369" s="1" t="str">
        <f t="shared" si="890"/>
        <v>F10</v>
      </c>
      <c r="AJ1369" s="1" t="str">
        <f t="shared" si="880"/>
        <v>UNISEX</v>
      </c>
      <c r="AK1369" s="1" t="str">
        <f t="shared" si="881"/>
        <v>PA</v>
      </c>
      <c r="AP1369" s="1" t="str">
        <f t="shared" si="882"/>
        <v>False</v>
      </c>
      <c r="AR1369" s="1" t="str">
        <f t="shared" si="883"/>
        <v>VAIAN</v>
      </c>
      <c r="AY1369" s="1" t="str">
        <f t="shared" si="884"/>
        <v>PF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 t="str">
        <f t="shared" si="888"/>
        <v>TOMAIA GOMMA</v>
      </c>
      <c r="BF1369" s="1" t="str">
        <f t="shared" si="885"/>
        <v>Bonis SpA</v>
      </c>
    </row>
    <row r="1370" spans="2:58" x14ac:dyDescent="0.25">
      <c r="B1370" s="1">
        <v>2467</v>
      </c>
      <c r="C1370" s="1" t="str">
        <f t="shared" si="891"/>
        <v>VAIAN4209S7/G1</v>
      </c>
      <c r="E1370" s="1" t="str">
        <f>"38"</f>
        <v>38</v>
      </c>
      <c r="F1370" s="1" t="str">
        <f t="shared" si="872"/>
        <v>BONIS SPA</v>
      </c>
      <c r="G1370" s="1" t="str">
        <f t="shared" si="863"/>
        <v>STOCK SCAFFALE MP</v>
      </c>
      <c r="H1370" s="1" t="str">
        <f>"YEL"</f>
        <v>YEL</v>
      </c>
      <c r="K1370" s="1">
        <v>1</v>
      </c>
      <c r="L1370" s="1" t="str">
        <f t="shared" si="873"/>
        <v>01</v>
      </c>
      <c r="M1370" s="1" t="str">
        <f t="shared" si="864"/>
        <v>408</v>
      </c>
      <c r="N1370" s="1" t="str">
        <f t="shared" si="889"/>
        <v>004</v>
      </c>
      <c r="O1370" s="1" t="str">
        <f t="shared" si="874"/>
        <v>00</v>
      </c>
      <c r="P1370" s="1" t="str">
        <f t="shared" si="875"/>
        <v>S</v>
      </c>
      <c r="Q1370" s="1" t="str">
        <f t="shared" si="876"/>
        <v>P</v>
      </c>
      <c r="R1370" s="1" t="str">
        <f t="shared" si="877"/>
        <v>01</v>
      </c>
      <c r="S1370" s="1" t="str">
        <f t="shared" si="865"/>
        <v>04</v>
      </c>
      <c r="T1370" s="1" t="str">
        <f t="shared" si="878"/>
        <v>False</v>
      </c>
      <c r="U1370" s="1" t="str">
        <f t="shared" si="879"/>
        <v>True</v>
      </c>
      <c r="V1370" s="1" t="str">
        <f>"U0034740"</f>
        <v>U0034740</v>
      </c>
      <c r="W1370" s="1">
        <v>1</v>
      </c>
      <c r="Y1370" s="1">
        <v>0</v>
      </c>
      <c r="Z1370" s="1">
        <v>0</v>
      </c>
      <c r="AI1370" s="1" t="str">
        <f t="shared" si="890"/>
        <v>F10</v>
      </c>
      <c r="AJ1370" s="1" t="str">
        <f t="shared" si="880"/>
        <v>UNISEX</v>
      </c>
      <c r="AK1370" s="1" t="str">
        <f t="shared" si="881"/>
        <v>PA</v>
      </c>
      <c r="AP1370" s="1" t="str">
        <f t="shared" si="882"/>
        <v>False</v>
      </c>
      <c r="AR1370" s="1" t="str">
        <f t="shared" si="883"/>
        <v>VAIAN</v>
      </c>
      <c r="AY1370" s="1" t="str">
        <f t="shared" si="884"/>
        <v>PF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 t="str">
        <f t="shared" si="888"/>
        <v>TOMAIA GOMMA</v>
      </c>
      <c r="BF1370" s="1" t="str">
        <f t="shared" si="885"/>
        <v>Bonis SpA</v>
      </c>
    </row>
    <row r="1371" spans="2:58" x14ac:dyDescent="0.25">
      <c r="B1371" s="1">
        <v>2467</v>
      </c>
      <c r="C1371" s="1" t="str">
        <f t="shared" si="891"/>
        <v>VAIAN4209S7/G1</v>
      </c>
      <c r="E1371" s="1" t="str">
        <f>"39"</f>
        <v>39</v>
      </c>
      <c r="F1371" s="1" t="str">
        <f t="shared" si="872"/>
        <v>BONIS SPA</v>
      </c>
      <c r="G1371" s="1" t="str">
        <f t="shared" si="863"/>
        <v>STOCK SCAFFALE MP</v>
      </c>
      <c r="H1371" s="1" t="str">
        <f>"DKBL"</f>
        <v>DKBL</v>
      </c>
      <c r="K1371" s="1">
        <v>3</v>
      </c>
      <c r="L1371" s="1" t="str">
        <f t="shared" si="873"/>
        <v>01</v>
      </c>
      <c r="M1371" s="1" t="str">
        <f t="shared" si="864"/>
        <v>408</v>
      </c>
      <c r="N1371" s="1" t="str">
        <f t="shared" si="889"/>
        <v>004</v>
      </c>
      <c r="O1371" s="1" t="str">
        <f t="shared" si="874"/>
        <v>00</v>
      </c>
      <c r="P1371" s="1" t="str">
        <f t="shared" si="875"/>
        <v>S</v>
      </c>
      <c r="Q1371" s="1" t="str">
        <f t="shared" si="876"/>
        <v>P</v>
      </c>
      <c r="R1371" s="1" t="str">
        <f t="shared" si="877"/>
        <v>01</v>
      </c>
      <c r="S1371" s="1" t="str">
        <f t="shared" si="865"/>
        <v>04</v>
      </c>
      <c r="T1371" s="1" t="str">
        <f t="shared" si="878"/>
        <v>False</v>
      </c>
      <c r="U1371" s="1" t="str">
        <f t="shared" si="879"/>
        <v>True</v>
      </c>
      <c r="V1371" s="1" t="str">
        <f>"U0034739"</f>
        <v>U0034739</v>
      </c>
      <c r="W1371" s="1">
        <v>1</v>
      </c>
      <c r="Y1371" s="1">
        <v>0</v>
      </c>
      <c r="Z1371" s="1">
        <v>0</v>
      </c>
      <c r="AI1371" s="1" t="str">
        <f t="shared" si="890"/>
        <v>F10</v>
      </c>
      <c r="AJ1371" s="1" t="str">
        <f t="shared" si="880"/>
        <v>UNISEX</v>
      </c>
      <c r="AK1371" s="1" t="str">
        <f t="shared" si="881"/>
        <v>PA</v>
      </c>
      <c r="AP1371" s="1" t="str">
        <f t="shared" si="882"/>
        <v>False</v>
      </c>
      <c r="AR1371" s="1" t="str">
        <f t="shared" si="883"/>
        <v>VAIAN</v>
      </c>
      <c r="AY1371" s="1" t="str">
        <f t="shared" si="884"/>
        <v>PF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 t="str">
        <f t="shared" si="888"/>
        <v>TOMAIA GOMMA</v>
      </c>
      <c r="BF1371" s="1" t="str">
        <f t="shared" si="885"/>
        <v>Bonis SpA</v>
      </c>
    </row>
    <row r="1372" spans="2:58" x14ac:dyDescent="0.25">
      <c r="B1372" s="1">
        <v>2467</v>
      </c>
      <c r="C1372" s="1" t="str">
        <f t="shared" si="891"/>
        <v>VAIAN4209S7/G1</v>
      </c>
      <c r="E1372" s="1" t="str">
        <f>"44"</f>
        <v>44</v>
      </c>
      <c r="F1372" s="1" t="str">
        <f t="shared" si="872"/>
        <v>BONIS SPA</v>
      </c>
      <c r="G1372" s="1" t="str">
        <f t="shared" si="863"/>
        <v>STOCK SCAFFALE MP</v>
      </c>
      <c r="H1372" s="1" t="str">
        <f>"DKBL"</f>
        <v>DKBL</v>
      </c>
      <c r="K1372" s="1">
        <v>3</v>
      </c>
      <c r="L1372" s="1" t="str">
        <f t="shared" si="873"/>
        <v>01</v>
      </c>
      <c r="M1372" s="1" t="str">
        <f t="shared" si="864"/>
        <v>408</v>
      </c>
      <c r="N1372" s="1" t="str">
        <f t="shared" si="889"/>
        <v>004</v>
      </c>
      <c r="O1372" s="1" t="str">
        <f t="shared" si="874"/>
        <v>00</v>
      </c>
      <c r="P1372" s="1" t="str">
        <f t="shared" si="875"/>
        <v>S</v>
      </c>
      <c r="Q1372" s="1" t="str">
        <f t="shared" si="876"/>
        <v>P</v>
      </c>
      <c r="R1372" s="1" t="str">
        <f t="shared" si="877"/>
        <v>01</v>
      </c>
      <c r="S1372" s="1" t="str">
        <f t="shared" si="865"/>
        <v>04</v>
      </c>
      <c r="T1372" s="1" t="str">
        <f t="shared" si="878"/>
        <v>False</v>
      </c>
      <c r="U1372" s="1" t="str">
        <f t="shared" si="879"/>
        <v>True</v>
      </c>
      <c r="V1372" s="1" t="str">
        <f>"U0034739"</f>
        <v>U0034739</v>
      </c>
      <c r="W1372" s="1">
        <v>1</v>
      </c>
      <c r="Y1372" s="1">
        <v>0</v>
      </c>
      <c r="Z1372" s="1">
        <v>0</v>
      </c>
      <c r="AI1372" s="1" t="str">
        <f t="shared" si="890"/>
        <v>F10</v>
      </c>
      <c r="AJ1372" s="1" t="str">
        <f t="shared" si="880"/>
        <v>UNISEX</v>
      </c>
      <c r="AK1372" s="1" t="str">
        <f t="shared" si="881"/>
        <v>PA</v>
      </c>
      <c r="AP1372" s="1" t="str">
        <f t="shared" si="882"/>
        <v>False</v>
      </c>
      <c r="AR1372" s="1" t="str">
        <f t="shared" si="883"/>
        <v>VAIAN</v>
      </c>
      <c r="AY1372" s="1" t="str">
        <f t="shared" si="884"/>
        <v>PF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 t="str">
        <f t="shared" si="888"/>
        <v>TOMAIA GOMMA</v>
      </c>
      <c r="BF1372" s="1" t="str">
        <f t="shared" si="885"/>
        <v>Bonis SpA</v>
      </c>
    </row>
    <row r="1373" spans="2:58" x14ac:dyDescent="0.25">
      <c r="B1373" s="1">
        <v>2467</v>
      </c>
      <c r="C1373" s="1" t="str">
        <f t="shared" si="891"/>
        <v>VAIAN4209S7/G1</v>
      </c>
      <c r="E1373" s="1" t="str">
        <f>"44"</f>
        <v>44</v>
      </c>
      <c r="F1373" s="1" t="str">
        <f t="shared" si="872"/>
        <v>BONIS SPA</v>
      </c>
      <c r="G1373" s="1" t="str">
        <f t="shared" si="863"/>
        <v>STOCK SCAFFALE MP</v>
      </c>
      <c r="H1373" s="1" t="str">
        <f>"RED"</f>
        <v>RED</v>
      </c>
      <c r="K1373" s="1">
        <v>15</v>
      </c>
      <c r="L1373" s="1" t="str">
        <f t="shared" si="873"/>
        <v>01</v>
      </c>
      <c r="M1373" s="1" t="str">
        <f t="shared" si="864"/>
        <v>408</v>
      </c>
      <c r="N1373" s="1" t="str">
        <f t="shared" si="889"/>
        <v>004</v>
      </c>
      <c r="O1373" s="1" t="str">
        <f t="shared" si="874"/>
        <v>00</v>
      </c>
      <c r="P1373" s="1" t="str">
        <f t="shared" si="875"/>
        <v>S</v>
      </c>
      <c r="Q1373" s="1" t="str">
        <f t="shared" si="876"/>
        <v>P</v>
      </c>
      <c r="R1373" s="1" t="str">
        <f t="shared" si="877"/>
        <v>01</v>
      </c>
      <c r="S1373" s="1" t="str">
        <f t="shared" si="865"/>
        <v>04</v>
      </c>
      <c r="T1373" s="1" t="str">
        <f t="shared" si="878"/>
        <v>False</v>
      </c>
      <c r="U1373" s="1" t="str">
        <f t="shared" si="879"/>
        <v>True</v>
      </c>
      <c r="V1373" s="1" t="str">
        <f>"U0034741"</f>
        <v>U0034741</v>
      </c>
      <c r="W1373" s="1">
        <v>1</v>
      </c>
      <c r="Y1373" s="1">
        <v>0</v>
      </c>
      <c r="Z1373" s="1">
        <v>0</v>
      </c>
      <c r="AI1373" s="1" t="str">
        <f t="shared" si="890"/>
        <v>F10</v>
      </c>
      <c r="AJ1373" s="1" t="str">
        <f t="shared" si="880"/>
        <v>UNISEX</v>
      </c>
      <c r="AK1373" s="1" t="str">
        <f t="shared" si="881"/>
        <v>PA</v>
      </c>
      <c r="AP1373" s="1" t="str">
        <f t="shared" si="882"/>
        <v>False</v>
      </c>
      <c r="AR1373" s="1" t="str">
        <f t="shared" si="883"/>
        <v>VAIAN</v>
      </c>
      <c r="AY1373" s="1" t="str">
        <f t="shared" si="884"/>
        <v>PF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 t="str">
        <f t="shared" si="888"/>
        <v>TOMAIA GOMMA</v>
      </c>
      <c r="BF1373" s="1" t="str">
        <f t="shared" si="885"/>
        <v>Bonis SpA</v>
      </c>
    </row>
    <row r="1374" spans="2:58" x14ac:dyDescent="0.25">
      <c r="B1374" s="1">
        <v>2467</v>
      </c>
      <c r="C1374" s="1" t="str">
        <f t="shared" si="891"/>
        <v>VAIAN4209S7/G1</v>
      </c>
      <c r="E1374" s="1" t="str">
        <f>"42"</f>
        <v>42</v>
      </c>
      <c r="F1374" s="1" t="str">
        <f t="shared" si="872"/>
        <v>BONIS SPA</v>
      </c>
      <c r="G1374" s="1" t="str">
        <f t="shared" si="863"/>
        <v>STOCK SCAFFALE MP</v>
      </c>
      <c r="H1374" s="1" t="str">
        <f>"SKBL"</f>
        <v>SKBL</v>
      </c>
      <c r="K1374" s="1">
        <v>1</v>
      </c>
      <c r="L1374" s="1" t="str">
        <f t="shared" si="873"/>
        <v>01</v>
      </c>
      <c r="M1374" s="1" t="str">
        <f t="shared" si="864"/>
        <v>408</v>
      </c>
      <c r="N1374" s="1" t="str">
        <f t="shared" si="889"/>
        <v>004</v>
      </c>
      <c r="O1374" s="1" t="str">
        <f t="shared" si="874"/>
        <v>00</v>
      </c>
      <c r="P1374" s="1" t="str">
        <f t="shared" si="875"/>
        <v>S</v>
      </c>
      <c r="Q1374" s="1" t="str">
        <f t="shared" si="876"/>
        <v>P</v>
      </c>
      <c r="R1374" s="1" t="str">
        <f t="shared" si="877"/>
        <v>01</v>
      </c>
      <c r="S1374" s="1" t="str">
        <f t="shared" si="865"/>
        <v>04</v>
      </c>
      <c r="T1374" s="1" t="str">
        <f t="shared" si="878"/>
        <v>False</v>
      </c>
      <c r="U1374" s="1" t="str">
        <f t="shared" si="879"/>
        <v>True</v>
      </c>
      <c r="V1374" s="1" t="str">
        <f>"U0034741"</f>
        <v>U0034741</v>
      </c>
      <c r="W1374" s="1">
        <v>1</v>
      </c>
      <c r="Y1374" s="1">
        <v>0</v>
      </c>
      <c r="Z1374" s="1">
        <v>0</v>
      </c>
      <c r="AI1374" s="1" t="str">
        <f t="shared" si="890"/>
        <v>F10</v>
      </c>
      <c r="AJ1374" s="1" t="str">
        <f t="shared" si="880"/>
        <v>UNISEX</v>
      </c>
      <c r="AK1374" s="1" t="str">
        <f t="shared" si="881"/>
        <v>PA</v>
      </c>
      <c r="AP1374" s="1" t="str">
        <f t="shared" si="882"/>
        <v>False</v>
      </c>
      <c r="AR1374" s="1" t="str">
        <f t="shared" si="883"/>
        <v>VAIAN</v>
      </c>
      <c r="AY1374" s="1" t="str">
        <f t="shared" si="884"/>
        <v>PF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 t="str">
        <f t="shared" si="888"/>
        <v>TOMAIA GOMMA</v>
      </c>
      <c r="BF1374" s="1" t="str">
        <f t="shared" si="885"/>
        <v>Bonis SpA</v>
      </c>
    </row>
    <row r="1375" spans="2:58" x14ac:dyDescent="0.25">
      <c r="B1375" s="1">
        <v>2467</v>
      </c>
      <c r="C1375" s="1" t="str">
        <f>"VAIAK4119S7/G1"</f>
        <v>VAIAK4119S7/G1</v>
      </c>
      <c r="E1375" s="1" t="str">
        <f>"32"</f>
        <v>32</v>
      </c>
      <c r="F1375" s="1" t="str">
        <f t="shared" si="872"/>
        <v>BONIS SPA</v>
      </c>
      <c r="G1375" s="1" t="str">
        <f t="shared" si="863"/>
        <v>STOCK SCAFFALE MP</v>
      </c>
      <c r="H1375" s="1" t="str">
        <f>"DKBL"</f>
        <v>DKBL</v>
      </c>
      <c r="K1375" s="1">
        <v>1</v>
      </c>
      <c r="L1375" s="1" t="str">
        <f t="shared" si="873"/>
        <v>01</v>
      </c>
      <c r="M1375" s="1" t="str">
        <f t="shared" si="864"/>
        <v>408</v>
      </c>
      <c r="N1375" s="1" t="str">
        <f t="shared" si="889"/>
        <v>004</v>
      </c>
      <c r="O1375" s="1" t="str">
        <f t="shared" si="874"/>
        <v>00</v>
      </c>
      <c r="P1375" s="1" t="str">
        <f t="shared" si="875"/>
        <v>S</v>
      </c>
      <c r="Q1375" s="1" t="str">
        <f t="shared" si="876"/>
        <v>P</v>
      </c>
      <c r="R1375" s="1" t="str">
        <f t="shared" si="877"/>
        <v>01</v>
      </c>
      <c r="S1375" s="1" t="str">
        <f t="shared" si="865"/>
        <v>04</v>
      </c>
      <c r="T1375" s="1" t="str">
        <f t="shared" si="878"/>
        <v>False</v>
      </c>
      <c r="U1375" s="1" t="str">
        <f t="shared" si="879"/>
        <v>True</v>
      </c>
      <c r="V1375" s="1" t="str">
        <f>"U0032750"</f>
        <v>U0032750</v>
      </c>
      <c r="W1375" s="1">
        <v>1</v>
      </c>
      <c r="Y1375" s="1">
        <v>0</v>
      </c>
      <c r="Z1375" s="1">
        <v>0</v>
      </c>
      <c r="AI1375" s="1" t="str">
        <f t="shared" si="890"/>
        <v>F10</v>
      </c>
      <c r="AJ1375" s="1" t="str">
        <f>"KID"</f>
        <v>KID</v>
      </c>
      <c r="AK1375" s="1" t="str">
        <f t="shared" si="881"/>
        <v>PA</v>
      </c>
      <c r="AP1375" s="1" t="str">
        <f t="shared" si="882"/>
        <v>False</v>
      </c>
      <c r="AR1375" s="1" t="str">
        <f>"VAIAK"</f>
        <v>VAIAK</v>
      </c>
      <c r="AY1375" s="1" t="str">
        <f t="shared" si="884"/>
        <v>PF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 t="str">
        <f t="shared" si="888"/>
        <v>TOMAIA GOMMA</v>
      </c>
      <c r="BF1375" s="1" t="str">
        <f t="shared" si="885"/>
        <v>Bonis SpA</v>
      </c>
    </row>
    <row r="1376" spans="2:58" x14ac:dyDescent="0.25">
      <c r="B1376" s="1">
        <v>2467</v>
      </c>
      <c r="C1376" s="1" t="str">
        <f>"VAIAK4119S7/G1"</f>
        <v>VAIAK4119S7/G1</v>
      </c>
      <c r="E1376" s="1" t="str">
        <f>"29"</f>
        <v>29</v>
      </c>
      <c r="F1376" s="1" t="str">
        <f t="shared" si="872"/>
        <v>BONIS SPA</v>
      </c>
      <c r="G1376" s="1" t="str">
        <f t="shared" si="863"/>
        <v>STOCK SCAFFALE MP</v>
      </c>
      <c r="H1376" s="1" t="str">
        <f>"RED"</f>
        <v>RED</v>
      </c>
      <c r="K1376" s="1">
        <v>8</v>
      </c>
      <c r="L1376" s="1" t="str">
        <f t="shared" si="873"/>
        <v>01</v>
      </c>
      <c r="M1376" s="1" t="str">
        <f t="shared" si="864"/>
        <v>408</v>
      </c>
      <c r="N1376" s="1" t="str">
        <f t="shared" si="889"/>
        <v>004</v>
      </c>
      <c r="O1376" s="1" t="str">
        <f t="shared" si="874"/>
        <v>00</v>
      </c>
      <c r="P1376" s="1" t="str">
        <f t="shared" si="875"/>
        <v>S</v>
      </c>
      <c r="Q1376" s="1" t="str">
        <f t="shared" si="876"/>
        <v>P</v>
      </c>
      <c r="R1376" s="1" t="str">
        <f t="shared" si="877"/>
        <v>01</v>
      </c>
      <c r="S1376" s="1" t="str">
        <f t="shared" si="865"/>
        <v>04</v>
      </c>
      <c r="T1376" s="1" t="str">
        <f t="shared" si="878"/>
        <v>False</v>
      </c>
      <c r="U1376" s="1" t="str">
        <f t="shared" si="879"/>
        <v>True</v>
      </c>
      <c r="V1376" s="1" t="str">
        <f>"U0032750"</f>
        <v>U0032750</v>
      </c>
      <c r="W1376" s="1">
        <v>1</v>
      </c>
      <c r="Y1376" s="1">
        <v>0</v>
      </c>
      <c r="Z1376" s="1">
        <v>0</v>
      </c>
      <c r="AI1376" s="1" t="str">
        <f t="shared" si="890"/>
        <v>F10</v>
      </c>
      <c r="AJ1376" s="1" t="str">
        <f>"KID"</f>
        <v>KID</v>
      </c>
      <c r="AK1376" s="1" t="str">
        <f t="shared" si="881"/>
        <v>PA</v>
      </c>
      <c r="AP1376" s="1" t="str">
        <f t="shared" si="882"/>
        <v>False</v>
      </c>
      <c r="AR1376" s="1" t="str">
        <f>"VAIAK"</f>
        <v>VAIAK</v>
      </c>
      <c r="AY1376" s="1" t="str">
        <f t="shared" si="884"/>
        <v>PF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 t="str">
        <f t="shared" si="888"/>
        <v>TOMAIA GOMMA</v>
      </c>
      <c r="BF1376" s="1" t="str">
        <f t="shared" si="885"/>
        <v>Bonis SpA</v>
      </c>
    </row>
    <row r="1377" spans="2:58" x14ac:dyDescent="0.25">
      <c r="B1377" s="1">
        <v>2467</v>
      </c>
      <c r="C1377" s="1" t="str">
        <f>"VAIAK4119S7/G1"</f>
        <v>VAIAK4119S7/G1</v>
      </c>
      <c r="E1377" s="1" t="str">
        <f>"28"</f>
        <v>28</v>
      </c>
      <c r="F1377" s="1" t="str">
        <f t="shared" si="872"/>
        <v>BONIS SPA</v>
      </c>
      <c r="G1377" s="1" t="str">
        <f t="shared" si="863"/>
        <v>STOCK SCAFFALE MP</v>
      </c>
      <c r="H1377" s="1" t="str">
        <f>"DKBL"</f>
        <v>DKBL</v>
      </c>
      <c r="K1377" s="1">
        <v>1</v>
      </c>
      <c r="L1377" s="1" t="str">
        <f t="shared" si="873"/>
        <v>01</v>
      </c>
      <c r="M1377" s="1" t="str">
        <f t="shared" si="864"/>
        <v>408</v>
      </c>
      <c r="N1377" s="1" t="str">
        <f t="shared" si="889"/>
        <v>004</v>
      </c>
      <c r="O1377" s="1" t="str">
        <f t="shared" si="874"/>
        <v>00</v>
      </c>
      <c r="P1377" s="1" t="str">
        <f t="shared" si="875"/>
        <v>S</v>
      </c>
      <c r="Q1377" s="1" t="str">
        <f t="shared" si="876"/>
        <v>P</v>
      </c>
      <c r="R1377" s="1" t="str">
        <f t="shared" si="877"/>
        <v>01</v>
      </c>
      <c r="S1377" s="1" t="str">
        <f t="shared" si="865"/>
        <v>04</v>
      </c>
      <c r="T1377" s="1" t="str">
        <f t="shared" si="878"/>
        <v>False</v>
      </c>
      <c r="U1377" s="1" t="str">
        <f t="shared" si="879"/>
        <v>True</v>
      </c>
      <c r="V1377" s="1" t="str">
        <f>"U0032750"</f>
        <v>U0032750</v>
      </c>
      <c r="W1377" s="1">
        <v>1</v>
      </c>
      <c r="Y1377" s="1">
        <v>0</v>
      </c>
      <c r="Z1377" s="1">
        <v>0</v>
      </c>
      <c r="AI1377" s="1" t="str">
        <f t="shared" si="890"/>
        <v>F10</v>
      </c>
      <c r="AJ1377" s="1" t="str">
        <f>"KID"</f>
        <v>KID</v>
      </c>
      <c r="AK1377" s="1" t="str">
        <f t="shared" si="881"/>
        <v>PA</v>
      </c>
      <c r="AP1377" s="1" t="str">
        <f t="shared" si="882"/>
        <v>False</v>
      </c>
      <c r="AR1377" s="1" t="str">
        <f>"VAIAK"</f>
        <v>VAIAK</v>
      </c>
      <c r="AY1377" s="1" t="str">
        <f t="shared" si="884"/>
        <v>PF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 t="str">
        <f t="shared" si="888"/>
        <v>TOMAIA GOMMA</v>
      </c>
      <c r="BF1377" s="1" t="str">
        <f t="shared" si="885"/>
        <v>Bonis SpA</v>
      </c>
    </row>
    <row r="1378" spans="2:58" x14ac:dyDescent="0.25">
      <c r="B1378" s="1">
        <v>2467</v>
      </c>
      <c r="C1378" s="1" t="str">
        <f>"VAIAK4119S7/G1"</f>
        <v>VAIAK4119S7/G1</v>
      </c>
      <c r="E1378" s="1" t="str">
        <f>"30"</f>
        <v>30</v>
      </c>
      <c r="F1378" s="1" t="str">
        <f t="shared" si="872"/>
        <v>BONIS SPA</v>
      </c>
      <c r="G1378" s="1" t="str">
        <f t="shared" si="863"/>
        <v>STOCK SCAFFALE MP</v>
      </c>
      <c r="H1378" s="1" t="str">
        <f t="shared" ref="H1378:H1383" si="892">"RED"</f>
        <v>RED</v>
      </c>
      <c r="K1378" s="1">
        <v>1</v>
      </c>
      <c r="L1378" s="1" t="str">
        <f t="shared" si="873"/>
        <v>01</v>
      </c>
      <c r="M1378" s="1" t="str">
        <f t="shared" si="864"/>
        <v>408</v>
      </c>
      <c r="N1378" s="1" t="str">
        <f t="shared" si="889"/>
        <v>004</v>
      </c>
      <c r="O1378" s="1" t="str">
        <f t="shared" si="874"/>
        <v>00</v>
      </c>
      <c r="P1378" s="1" t="str">
        <f t="shared" si="875"/>
        <v>S</v>
      </c>
      <c r="Q1378" s="1" t="str">
        <f t="shared" si="876"/>
        <v>P</v>
      </c>
      <c r="R1378" s="1" t="str">
        <f t="shared" si="877"/>
        <v>01</v>
      </c>
      <c r="S1378" s="1" t="str">
        <f t="shared" si="865"/>
        <v>04</v>
      </c>
      <c r="T1378" s="1" t="str">
        <f t="shared" si="878"/>
        <v>False</v>
      </c>
      <c r="U1378" s="1" t="str">
        <f t="shared" si="879"/>
        <v>True</v>
      </c>
      <c r="V1378" s="1" t="str">
        <f>"U0032750"</f>
        <v>U0032750</v>
      </c>
      <c r="W1378" s="1">
        <v>1</v>
      </c>
      <c r="Y1378" s="1">
        <v>0</v>
      </c>
      <c r="Z1378" s="1">
        <v>0</v>
      </c>
      <c r="AI1378" s="1" t="str">
        <f t="shared" si="890"/>
        <v>F10</v>
      </c>
      <c r="AJ1378" s="1" t="str">
        <f>"KID"</f>
        <v>KID</v>
      </c>
      <c r="AK1378" s="1" t="str">
        <f t="shared" si="881"/>
        <v>PA</v>
      </c>
      <c r="AP1378" s="1" t="str">
        <f t="shared" si="882"/>
        <v>False</v>
      </c>
      <c r="AR1378" s="1" t="str">
        <f>"VAIAK"</f>
        <v>VAIAK</v>
      </c>
      <c r="AY1378" s="1" t="str">
        <f t="shared" si="884"/>
        <v>PF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 t="str">
        <f t="shared" si="888"/>
        <v>TOMAIA GOMMA</v>
      </c>
      <c r="BF1378" s="1" t="str">
        <f t="shared" si="885"/>
        <v>Bonis SpA</v>
      </c>
    </row>
    <row r="1379" spans="2:58" x14ac:dyDescent="0.25">
      <c r="B1379" s="1">
        <v>2467</v>
      </c>
      <c r="C1379" s="1" t="str">
        <f>"VAIAN4209S7/G1"</f>
        <v>VAIAN4209S7/G1</v>
      </c>
      <c r="E1379" s="1" t="str">
        <f>"46"</f>
        <v>46</v>
      </c>
      <c r="F1379" s="1" t="str">
        <f t="shared" si="872"/>
        <v>BONIS SPA</v>
      </c>
      <c r="G1379" s="1" t="str">
        <f t="shared" si="863"/>
        <v>STOCK SCAFFALE MP</v>
      </c>
      <c r="H1379" s="1" t="str">
        <f t="shared" si="892"/>
        <v>RED</v>
      </c>
      <c r="K1379" s="1">
        <v>1</v>
      </c>
      <c r="L1379" s="1" t="str">
        <f t="shared" si="873"/>
        <v>01</v>
      </c>
      <c r="M1379" s="1" t="str">
        <f t="shared" si="864"/>
        <v>408</v>
      </c>
      <c r="N1379" s="1" t="str">
        <f t="shared" si="889"/>
        <v>004</v>
      </c>
      <c r="O1379" s="1" t="str">
        <f t="shared" si="874"/>
        <v>00</v>
      </c>
      <c r="P1379" s="1" t="str">
        <f t="shared" si="875"/>
        <v>S</v>
      </c>
      <c r="Q1379" s="1" t="str">
        <f t="shared" si="876"/>
        <v>P</v>
      </c>
      <c r="R1379" s="1" t="str">
        <f t="shared" si="877"/>
        <v>01</v>
      </c>
      <c r="S1379" s="1" t="str">
        <f t="shared" si="865"/>
        <v>04</v>
      </c>
      <c r="T1379" s="1" t="str">
        <f t="shared" si="878"/>
        <v>False</v>
      </c>
      <c r="U1379" s="1" t="str">
        <f t="shared" si="879"/>
        <v>True</v>
      </c>
      <c r="V1379" s="1" t="str">
        <f>"U0034741"</f>
        <v>U0034741</v>
      </c>
      <c r="W1379" s="1">
        <v>1</v>
      </c>
      <c r="Y1379" s="1">
        <v>0</v>
      </c>
      <c r="Z1379" s="1">
        <v>0</v>
      </c>
      <c r="AI1379" s="1" t="str">
        <f t="shared" si="890"/>
        <v>F10</v>
      </c>
      <c r="AJ1379" s="1" t="str">
        <f>"UNISEX"</f>
        <v>UNISEX</v>
      </c>
      <c r="AK1379" s="1" t="str">
        <f t="shared" si="881"/>
        <v>PA</v>
      </c>
      <c r="AP1379" s="1" t="str">
        <f t="shared" si="882"/>
        <v>False</v>
      </c>
      <c r="AR1379" s="1" t="str">
        <f>"VAIAN"</f>
        <v>VAIAN</v>
      </c>
      <c r="AY1379" s="1" t="str">
        <f t="shared" si="884"/>
        <v>PF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 t="str">
        <f t="shared" si="888"/>
        <v>TOMAIA GOMMA</v>
      </c>
      <c r="BF1379" s="1" t="str">
        <f t="shared" si="885"/>
        <v>Bonis SpA</v>
      </c>
    </row>
    <row r="1380" spans="2:58" x14ac:dyDescent="0.25">
      <c r="B1380" s="1">
        <v>2467</v>
      </c>
      <c r="C1380" s="1" t="str">
        <f>"VAIAK4119S7/G1"</f>
        <v>VAIAK4119S7/G1</v>
      </c>
      <c r="E1380" s="1" t="str">
        <f>"33"</f>
        <v>33</v>
      </c>
      <c r="F1380" s="1" t="str">
        <f t="shared" si="872"/>
        <v>BONIS SPA</v>
      </c>
      <c r="G1380" s="1" t="str">
        <f t="shared" si="863"/>
        <v>STOCK SCAFFALE MP</v>
      </c>
      <c r="H1380" s="1" t="str">
        <f t="shared" si="892"/>
        <v>RED</v>
      </c>
      <c r="K1380" s="1">
        <v>3</v>
      </c>
      <c r="L1380" s="1" t="str">
        <f t="shared" si="873"/>
        <v>01</v>
      </c>
      <c r="M1380" s="1" t="str">
        <f t="shared" si="864"/>
        <v>408</v>
      </c>
      <c r="N1380" s="1" t="str">
        <f t="shared" si="889"/>
        <v>004</v>
      </c>
      <c r="O1380" s="1" t="str">
        <f t="shared" si="874"/>
        <v>00</v>
      </c>
      <c r="P1380" s="1" t="str">
        <f t="shared" si="875"/>
        <v>S</v>
      </c>
      <c r="Q1380" s="1" t="str">
        <f t="shared" si="876"/>
        <v>P</v>
      </c>
      <c r="R1380" s="1" t="str">
        <f t="shared" si="877"/>
        <v>01</v>
      </c>
      <c r="S1380" s="1" t="str">
        <f t="shared" si="865"/>
        <v>04</v>
      </c>
      <c r="T1380" s="1" t="str">
        <f t="shared" si="878"/>
        <v>False</v>
      </c>
      <c r="U1380" s="1" t="str">
        <f t="shared" si="879"/>
        <v>True</v>
      </c>
      <c r="V1380" s="1" t="str">
        <f>"U0032750"</f>
        <v>U0032750</v>
      </c>
      <c r="W1380" s="1">
        <v>1</v>
      </c>
      <c r="Y1380" s="1">
        <v>0</v>
      </c>
      <c r="Z1380" s="1">
        <v>0</v>
      </c>
      <c r="AI1380" s="1" t="str">
        <f t="shared" si="890"/>
        <v>F10</v>
      </c>
      <c r="AJ1380" s="1" t="str">
        <f>"KID"</f>
        <v>KID</v>
      </c>
      <c r="AK1380" s="1" t="str">
        <f t="shared" si="881"/>
        <v>PA</v>
      </c>
      <c r="AP1380" s="1" t="str">
        <f t="shared" si="882"/>
        <v>False</v>
      </c>
      <c r="AR1380" s="1" t="str">
        <f>"VAIAK"</f>
        <v>VAIAK</v>
      </c>
      <c r="AY1380" s="1" t="str">
        <f t="shared" si="884"/>
        <v>PF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 t="str">
        <f t="shared" si="888"/>
        <v>TOMAIA GOMMA</v>
      </c>
      <c r="BF1380" s="1" t="str">
        <f t="shared" si="885"/>
        <v>Bonis SpA</v>
      </c>
    </row>
    <row r="1381" spans="2:58" x14ac:dyDescent="0.25">
      <c r="B1381" s="1">
        <v>2467</v>
      </c>
      <c r="C1381" s="1" t="str">
        <f>"VAIAK4119S7/G1"</f>
        <v>VAIAK4119S7/G1</v>
      </c>
      <c r="E1381" s="1" t="str">
        <f>"32"</f>
        <v>32</v>
      </c>
      <c r="F1381" s="1" t="str">
        <f t="shared" si="872"/>
        <v>BONIS SPA</v>
      </c>
      <c r="G1381" s="1" t="str">
        <f t="shared" si="863"/>
        <v>STOCK SCAFFALE MP</v>
      </c>
      <c r="H1381" s="1" t="str">
        <f t="shared" si="892"/>
        <v>RED</v>
      </c>
      <c r="K1381" s="1">
        <v>2</v>
      </c>
      <c r="L1381" s="1" t="str">
        <f t="shared" si="873"/>
        <v>01</v>
      </c>
      <c r="M1381" s="1" t="str">
        <f t="shared" si="864"/>
        <v>408</v>
      </c>
      <c r="N1381" s="1" t="str">
        <f t="shared" si="889"/>
        <v>004</v>
      </c>
      <c r="O1381" s="1" t="str">
        <f t="shared" si="874"/>
        <v>00</v>
      </c>
      <c r="P1381" s="1" t="str">
        <f t="shared" si="875"/>
        <v>S</v>
      </c>
      <c r="Q1381" s="1" t="str">
        <f t="shared" si="876"/>
        <v>P</v>
      </c>
      <c r="R1381" s="1" t="str">
        <f t="shared" si="877"/>
        <v>01</v>
      </c>
      <c r="S1381" s="1" t="str">
        <f t="shared" si="865"/>
        <v>04</v>
      </c>
      <c r="T1381" s="1" t="str">
        <f t="shared" si="878"/>
        <v>False</v>
      </c>
      <c r="U1381" s="1" t="str">
        <f t="shared" si="879"/>
        <v>True</v>
      </c>
      <c r="V1381" s="1" t="str">
        <f>"U0032750"</f>
        <v>U0032750</v>
      </c>
      <c r="W1381" s="1">
        <v>1</v>
      </c>
      <c r="Y1381" s="1">
        <v>0</v>
      </c>
      <c r="Z1381" s="1">
        <v>0</v>
      </c>
      <c r="AI1381" s="1" t="str">
        <f t="shared" si="890"/>
        <v>F10</v>
      </c>
      <c r="AJ1381" s="1" t="str">
        <f>"KID"</f>
        <v>KID</v>
      </c>
      <c r="AK1381" s="1" t="str">
        <f t="shared" si="881"/>
        <v>PA</v>
      </c>
      <c r="AP1381" s="1" t="str">
        <f t="shared" si="882"/>
        <v>False</v>
      </c>
      <c r="AR1381" s="1" t="str">
        <f>"VAIAK"</f>
        <v>VAIAK</v>
      </c>
      <c r="AY1381" s="1" t="str">
        <f t="shared" si="884"/>
        <v>PF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 t="str">
        <f t="shared" si="888"/>
        <v>TOMAIA GOMMA</v>
      </c>
      <c r="BF1381" s="1" t="str">
        <f t="shared" si="885"/>
        <v>Bonis SpA</v>
      </c>
    </row>
    <row r="1382" spans="2:58" x14ac:dyDescent="0.25">
      <c r="B1382" s="1">
        <v>2467</v>
      </c>
      <c r="C1382" s="1" t="str">
        <f>"VAIAK4119S7/G1"</f>
        <v>VAIAK4119S7/G1</v>
      </c>
      <c r="E1382" s="1" t="str">
        <f>"31"</f>
        <v>31</v>
      </c>
      <c r="F1382" s="1" t="str">
        <f t="shared" si="872"/>
        <v>BONIS SPA</v>
      </c>
      <c r="G1382" s="1" t="str">
        <f t="shared" si="863"/>
        <v>STOCK SCAFFALE MP</v>
      </c>
      <c r="H1382" s="1" t="str">
        <f t="shared" si="892"/>
        <v>RED</v>
      </c>
      <c r="K1382" s="1">
        <v>1</v>
      </c>
      <c r="L1382" s="1" t="str">
        <f t="shared" si="873"/>
        <v>01</v>
      </c>
      <c r="M1382" s="1" t="str">
        <f t="shared" si="864"/>
        <v>408</v>
      </c>
      <c r="N1382" s="1" t="str">
        <f t="shared" si="889"/>
        <v>004</v>
      </c>
      <c r="O1382" s="1" t="str">
        <f t="shared" si="874"/>
        <v>00</v>
      </c>
      <c r="P1382" s="1" t="str">
        <f t="shared" si="875"/>
        <v>S</v>
      </c>
      <c r="Q1382" s="1" t="str">
        <f t="shared" si="876"/>
        <v>P</v>
      </c>
      <c r="R1382" s="1" t="str">
        <f t="shared" si="877"/>
        <v>01</v>
      </c>
      <c r="S1382" s="1" t="str">
        <f t="shared" si="865"/>
        <v>04</v>
      </c>
      <c r="T1382" s="1" t="str">
        <f t="shared" si="878"/>
        <v>False</v>
      </c>
      <c r="U1382" s="1" t="str">
        <f t="shared" si="879"/>
        <v>True</v>
      </c>
      <c r="V1382" s="1" t="str">
        <f>"U0032750"</f>
        <v>U0032750</v>
      </c>
      <c r="W1382" s="1">
        <v>1</v>
      </c>
      <c r="Y1382" s="1">
        <v>0</v>
      </c>
      <c r="Z1382" s="1">
        <v>0</v>
      </c>
      <c r="AI1382" s="1" t="str">
        <f t="shared" si="890"/>
        <v>F10</v>
      </c>
      <c r="AJ1382" s="1" t="str">
        <f>"KID"</f>
        <v>KID</v>
      </c>
      <c r="AK1382" s="1" t="str">
        <f t="shared" si="881"/>
        <v>PA</v>
      </c>
      <c r="AP1382" s="1" t="str">
        <f t="shared" si="882"/>
        <v>False</v>
      </c>
      <c r="AR1382" s="1" t="str">
        <f>"VAIAK"</f>
        <v>VAIAK</v>
      </c>
      <c r="AY1382" s="1" t="str">
        <f t="shared" si="884"/>
        <v>PF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 t="str">
        <f t="shared" si="888"/>
        <v>TOMAIA GOMMA</v>
      </c>
      <c r="BF1382" s="1" t="str">
        <f t="shared" si="885"/>
        <v>Bonis SpA</v>
      </c>
    </row>
    <row r="1383" spans="2:58" x14ac:dyDescent="0.25">
      <c r="B1383" s="1">
        <v>2467</v>
      </c>
      <c r="C1383" s="1" t="str">
        <f>"VAIAN4209S7/G1"</f>
        <v>VAIAN4209S7/G1</v>
      </c>
      <c r="E1383" s="1" t="str">
        <f>"44"</f>
        <v>44</v>
      </c>
      <c r="F1383" s="1" t="str">
        <f t="shared" si="872"/>
        <v>BONIS SPA</v>
      </c>
      <c r="G1383" s="1" t="str">
        <f t="shared" si="863"/>
        <v>STOCK SCAFFALE MP</v>
      </c>
      <c r="H1383" s="1" t="str">
        <f t="shared" si="892"/>
        <v>RED</v>
      </c>
      <c r="K1383" s="1">
        <v>6</v>
      </c>
      <c r="L1383" s="1" t="str">
        <f t="shared" si="873"/>
        <v>01</v>
      </c>
      <c r="M1383" s="1" t="str">
        <f t="shared" si="864"/>
        <v>408</v>
      </c>
      <c r="N1383" s="1" t="str">
        <f t="shared" si="889"/>
        <v>004</v>
      </c>
      <c r="O1383" s="1" t="str">
        <f t="shared" si="874"/>
        <v>00</v>
      </c>
      <c r="P1383" s="1" t="str">
        <f t="shared" si="875"/>
        <v>S</v>
      </c>
      <c r="Q1383" s="1" t="str">
        <f t="shared" si="876"/>
        <v>P</v>
      </c>
      <c r="R1383" s="1" t="str">
        <f t="shared" si="877"/>
        <v>01</v>
      </c>
      <c r="S1383" s="1" t="str">
        <f t="shared" si="865"/>
        <v>04</v>
      </c>
      <c r="T1383" s="1" t="str">
        <f t="shared" si="878"/>
        <v>False</v>
      </c>
      <c r="U1383" s="1" t="str">
        <f t="shared" si="879"/>
        <v>True</v>
      </c>
      <c r="V1383" s="1" t="str">
        <f>"U0034742"</f>
        <v>U0034742</v>
      </c>
      <c r="W1383" s="1">
        <v>1</v>
      </c>
      <c r="Y1383" s="1">
        <v>0</v>
      </c>
      <c r="Z1383" s="1">
        <v>0</v>
      </c>
      <c r="AI1383" s="1" t="str">
        <f t="shared" si="890"/>
        <v>F10</v>
      </c>
      <c r="AJ1383" s="1" t="str">
        <f>"UNISEX"</f>
        <v>UNISEX</v>
      </c>
      <c r="AK1383" s="1" t="str">
        <f t="shared" si="881"/>
        <v>PA</v>
      </c>
      <c r="AP1383" s="1" t="str">
        <f t="shared" si="882"/>
        <v>False</v>
      </c>
      <c r="AR1383" s="1" t="str">
        <f>"VAIAN"</f>
        <v>VAIAN</v>
      </c>
      <c r="AY1383" s="1" t="str">
        <f t="shared" si="884"/>
        <v>PF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 t="str">
        <f t="shared" si="888"/>
        <v>TOMAIA GOMMA</v>
      </c>
      <c r="BF1383" s="1" t="str">
        <f t="shared" si="885"/>
        <v>Bonis SpA</v>
      </c>
    </row>
    <row r="1384" spans="2:58" x14ac:dyDescent="0.25">
      <c r="B1384" s="1">
        <v>2467</v>
      </c>
      <c r="C1384" s="1" t="str">
        <f>"VAIAN4207S7/G1"</f>
        <v>VAIAN4207S7/G1</v>
      </c>
      <c r="E1384" s="1" t="str">
        <f>"44"</f>
        <v>44</v>
      </c>
      <c r="F1384" s="1" t="str">
        <f t="shared" si="872"/>
        <v>BONIS SPA</v>
      </c>
      <c r="G1384" s="1" t="str">
        <f t="shared" si="863"/>
        <v>STOCK SCAFFALE MP</v>
      </c>
      <c r="H1384" s="1" t="str">
        <f>"RED-DKBL"</f>
        <v>RED-DKBL</v>
      </c>
      <c r="K1384" s="1">
        <v>1</v>
      </c>
      <c r="L1384" s="1" t="str">
        <f t="shared" si="873"/>
        <v>01</v>
      </c>
      <c r="M1384" s="1" t="str">
        <f t="shared" si="864"/>
        <v>408</v>
      </c>
      <c r="N1384" s="1" t="str">
        <f t="shared" si="889"/>
        <v>004</v>
      </c>
      <c r="O1384" s="1" t="str">
        <f t="shared" si="874"/>
        <v>00</v>
      </c>
      <c r="P1384" s="1" t="str">
        <f t="shared" si="875"/>
        <v>S</v>
      </c>
      <c r="Q1384" s="1" t="str">
        <f t="shared" si="876"/>
        <v>P</v>
      </c>
      <c r="R1384" s="1" t="str">
        <f t="shared" si="877"/>
        <v>01</v>
      </c>
      <c r="S1384" s="1" t="str">
        <f t="shared" si="865"/>
        <v>04</v>
      </c>
      <c r="T1384" s="1" t="str">
        <f t="shared" si="878"/>
        <v>False</v>
      </c>
      <c r="U1384" s="1" t="str">
        <f t="shared" si="879"/>
        <v>True</v>
      </c>
      <c r="V1384" s="1" t="str">
        <f>"U0034742"</f>
        <v>U0034742</v>
      </c>
      <c r="W1384" s="1">
        <v>1</v>
      </c>
      <c r="Y1384" s="1">
        <v>0</v>
      </c>
      <c r="Z1384" s="1">
        <v>0</v>
      </c>
      <c r="AI1384" s="1" t="str">
        <f t="shared" si="890"/>
        <v>F10</v>
      </c>
      <c r="AJ1384" s="1" t="str">
        <f>"UNISEX"</f>
        <v>UNISEX</v>
      </c>
      <c r="AK1384" s="1" t="str">
        <f t="shared" si="881"/>
        <v>PA</v>
      </c>
      <c r="AP1384" s="1" t="str">
        <f t="shared" si="882"/>
        <v>False</v>
      </c>
      <c r="AR1384" s="1" t="str">
        <f>"VAIAN"</f>
        <v>VAIAN</v>
      </c>
      <c r="AY1384" s="1" t="str">
        <f t="shared" si="884"/>
        <v>PF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 t="str">
        <f t="shared" si="888"/>
        <v>TOMAIA GOMMA</v>
      </c>
      <c r="BF1384" s="1" t="str">
        <f t="shared" si="885"/>
        <v>Bonis SpA</v>
      </c>
    </row>
    <row r="1385" spans="2:58" x14ac:dyDescent="0.25">
      <c r="B1385" s="1">
        <v>2458</v>
      </c>
      <c r="C1385" s="1" t="str">
        <f>"GYNNA4244S7/C1"</f>
        <v>GYNNA4244S7/C1</v>
      </c>
      <c r="E1385" s="1" t="str">
        <f>"40"</f>
        <v>40</v>
      </c>
      <c r="F1385" s="1" t="str">
        <f t="shared" si="872"/>
        <v>BONIS SPA</v>
      </c>
      <c r="G1385" s="1" t="str">
        <f t="shared" si="863"/>
        <v>STOCK SCAFFALE MP</v>
      </c>
      <c r="H1385" s="1" t="str">
        <f>"BLK"</f>
        <v>BLK</v>
      </c>
      <c r="K1385" s="1">
        <v>1</v>
      </c>
      <c r="L1385" s="1" t="str">
        <f t="shared" si="873"/>
        <v>01</v>
      </c>
      <c r="M1385" s="1" t="str">
        <f t="shared" si="864"/>
        <v>408</v>
      </c>
      <c r="N1385" s="1" t="str">
        <f>"001"</f>
        <v>001</v>
      </c>
      <c r="O1385" s="1" t="str">
        <f t="shared" si="874"/>
        <v>00</v>
      </c>
      <c r="P1385" s="1" t="str">
        <f t="shared" si="875"/>
        <v>S</v>
      </c>
      <c r="Q1385" s="1" t="str">
        <f t="shared" si="876"/>
        <v>P</v>
      </c>
      <c r="R1385" s="1" t="str">
        <f t="shared" si="877"/>
        <v>01</v>
      </c>
      <c r="S1385" s="1" t="str">
        <f t="shared" si="865"/>
        <v>04</v>
      </c>
      <c r="T1385" s="1" t="str">
        <f t="shared" si="878"/>
        <v>False</v>
      </c>
      <c r="U1385" s="1" t="str">
        <f t="shared" si="879"/>
        <v>True</v>
      </c>
      <c r="V1385" s="1" t="str">
        <f>"U0033335"</f>
        <v>U0033335</v>
      </c>
      <c r="W1385" s="1">
        <v>1</v>
      </c>
      <c r="Y1385" s="1">
        <v>0</v>
      </c>
      <c r="Z1385" s="1">
        <v>0</v>
      </c>
      <c r="AB1385" s="1" t="str">
        <f t="shared" ref="AB1385:AB1390" si="893">"SMU"</f>
        <v>SMU</v>
      </c>
      <c r="AI1385" s="1" t="str">
        <f>"nicola.toscan"</f>
        <v>nicola.toscan</v>
      </c>
      <c r="AJ1385" s="1" t="str">
        <f>"WOMAN"</f>
        <v>WOMAN</v>
      </c>
      <c r="AK1385" s="1" t="str">
        <f t="shared" si="881"/>
        <v>PA</v>
      </c>
      <c r="AP1385" s="1" t="str">
        <f t="shared" si="882"/>
        <v>False</v>
      </c>
      <c r="AR1385" s="1" t="str">
        <f>"GYNNA"</f>
        <v>GYNNA</v>
      </c>
      <c r="AY1385" s="1" t="str">
        <f t="shared" si="884"/>
        <v>PF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 t="str">
        <f>"SOLA RUBBER CANVAS"</f>
        <v>SOLA RUBBER CANVAS</v>
      </c>
      <c r="BF1385" s="1" t="str">
        <f t="shared" si="885"/>
        <v>Bonis SpA</v>
      </c>
    </row>
    <row r="1386" spans="2:58" x14ac:dyDescent="0.25">
      <c r="B1386" s="1">
        <v>2458</v>
      </c>
      <c r="C1386" s="1" t="str">
        <f>"GYNNA4244S7/C1"</f>
        <v>GYNNA4244S7/C1</v>
      </c>
      <c r="E1386" s="1" t="str">
        <f>"41"</f>
        <v>41</v>
      </c>
      <c r="F1386" s="1" t="str">
        <f t="shared" si="872"/>
        <v>BONIS SPA</v>
      </c>
      <c r="G1386" s="1" t="str">
        <f t="shared" si="863"/>
        <v>STOCK SCAFFALE MP</v>
      </c>
      <c r="H1386" s="1" t="str">
        <f>"BLK"</f>
        <v>BLK</v>
      </c>
      <c r="K1386" s="1">
        <v>1</v>
      </c>
      <c r="L1386" s="1" t="str">
        <f t="shared" si="873"/>
        <v>01</v>
      </c>
      <c r="M1386" s="1" t="str">
        <f t="shared" si="864"/>
        <v>408</v>
      </c>
      <c r="N1386" s="1" t="str">
        <f>"001"</f>
        <v>001</v>
      </c>
      <c r="O1386" s="1" t="str">
        <f t="shared" si="874"/>
        <v>00</v>
      </c>
      <c r="P1386" s="1" t="str">
        <f t="shared" si="875"/>
        <v>S</v>
      </c>
      <c r="Q1386" s="1" t="str">
        <f t="shared" si="876"/>
        <v>P</v>
      </c>
      <c r="R1386" s="1" t="str">
        <f t="shared" si="877"/>
        <v>01</v>
      </c>
      <c r="S1386" s="1" t="str">
        <f t="shared" si="865"/>
        <v>04</v>
      </c>
      <c r="T1386" s="1" t="str">
        <f t="shared" si="878"/>
        <v>False</v>
      </c>
      <c r="U1386" s="1" t="str">
        <f t="shared" si="879"/>
        <v>True</v>
      </c>
      <c r="V1386" s="1" t="str">
        <f>"U0033335"</f>
        <v>U0033335</v>
      </c>
      <c r="W1386" s="1">
        <v>1</v>
      </c>
      <c r="Y1386" s="1">
        <v>0</v>
      </c>
      <c r="Z1386" s="1">
        <v>0</v>
      </c>
      <c r="AB1386" s="1" t="str">
        <f t="shared" si="893"/>
        <v>SMU</v>
      </c>
      <c r="AI1386" s="1" t="str">
        <f>"nicola.toscan"</f>
        <v>nicola.toscan</v>
      </c>
      <c r="AJ1386" s="1" t="str">
        <f>"WOMAN"</f>
        <v>WOMAN</v>
      </c>
      <c r="AK1386" s="1" t="str">
        <f t="shared" si="881"/>
        <v>PA</v>
      </c>
      <c r="AP1386" s="1" t="str">
        <f t="shared" si="882"/>
        <v>False</v>
      </c>
      <c r="AR1386" s="1" t="str">
        <f>"GYNNA"</f>
        <v>GYNNA</v>
      </c>
      <c r="AY1386" s="1" t="str">
        <f t="shared" si="884"/>
        <v>PF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 t="str">
        <f>"SOLA RUBBER CANVAS"</f>
        <v>SOLA RUBBER CANVAS</v>
      </c>
      <c r="BF1386" s="1" t="str">
        <f t="shared" si="885"/>
        <v>Bonis SpA</v>
      </c>
    </row>
    <row r="1387" spans="2:58" x14ac:dyDescent="0.25">
      <c r="B1387" s="1">
        <v>2458</v>
      </c>
      <c r="C1387" s="1" t="str">
        <f>"GYNN4238S7/C1"</f>
        <v>GYNN4238S7/C1</v>
      </c>
      <c r="E1387" s="1" t="str">
        <f>"42"</f>
        <v>42</v>
      </c>
      <c r="F1387" s="1" t="str">
        <f t="shared" si="872"/>
        <v>BONIS SPA</v>
      </c>
      <c r="G1387" s="1" t="str">
        <f t="shared" si="863"/>
        <v>STOCK SCAFFALE MP</v>
      </c>
      <c r="H1387" s="1" t="str">
        <f>"BLK"</f>
        <v>BLK</v>
      </c>
      <c r="K1387" s="1">
        <v>2</v>
      </c>
      <c r="L1387" s="1" t="str">
        <f t="shared" si="873"/>
        <v>01</v>
      </c>
      <c r="M1387" s="1" t="str">
        <f t="shared" si="864"/>
        <v>408</v>
      </c>
      <c r="N1387" s="1" t="str">
        <f>"001"</f>
        <v>001</v>
      </c>
      <c r="O1387" s="1" t="str">
        <f t="shared" si="874"/>
        <v>00</v>
      </c>
      <c r="P1387" s="1" t="str">
        <f t="shared" si="875"/>
        <v>S</v>
      </c>
      <c r="Q1387" s="1" t="str">
        <f t="shared" si="876"/>
        <v>P</v>
      </c>
      <c r="R1387" s="1" t="str">
        <f t="shared" si="877"/>
        <v>01</v>
      </c>
      <c r="S1387" s="1" t="str">
        <f t="shared" si="865"/>
        <v>04</v>
      </c>
      <c r="T1387" s="1" t="str">
        <f t="shared" si="878"/>
        <v>False</v>
      </c>
      <c r="U1387" s="1" t="str">
        <f t="shared" si="879"/>
        <v>True</v>
      </c>
      <c r="V1387" s="1" t="str">
        <f>"U0032645"</f>
        <v>U0032645</v>
      </c>
      <c r="W1387" s="1">
        <v>1</v>
      </c>
      <c r="Y1387" s="1">
        <v>0</v>
      </c>
      <c r="Z1387" s="1">
        <v>0</v>
      </c>
      <c r="AB1387" s="1" t="str">
        <f t="shared" si="893"/>
        <v>SMU</v>
      </c>
      <c r="AI1387" s="1" t="str">
        <f>"nicola.toscan"</f>
        <v>nicola.toscan</v>
      </c>
      <c r="AJ1387" s="1" t="str">
        <f>"MAN"</f>
        <v>MAN</v>
      </c>
      <c r="AK1387" s="1" t="str">
        <f t="shared" si="881"/>
        <v>PA</v>
      </c>
      <c r="AP1387" s="1" t="str">
        <f t="shared" si="882"/>
        <v>False</v>
      </c>
      <c r="AR1387" s="1" t="str">
        <f>"GYNN"</f>
        <v>GYNN</v>
      </c>
      <c r="AY1387" s="1" t="str">
        <f t="shared" si="884"/>
        <v>PF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 t="str">
        <f>"MMA+CANVAS"</f>
        <v>MMA+CANVAS</v>
      </c>
      <c r="BF1387" s="1" t="str">
        <f t="shared" si="885"/>
        <v>Bonis SpA</v>
      </c>
    </row>
    <row r="1388" spans="2:58" x14ac:dyDescent="0.25">
      <c r="B1388" s="1">
        <v>2491</v>
      </c>
      <c r="C1388" s="1" t="str">
        <f>"NOBIL4241S7/CH2"</f>
        <v>NOBIL4241S7/CH2</v>
      </c>
      <c r="E1388" s="1" t="str">
        <f>"41"</f>
        <v>41</v>
      </c>
      <c r="F1388" s="1" t="str">
        <f t="shared" si="872"/>
        <v>BONIS SPA</v>
      </c>
      <c r="G1388" s="1" t="str">
        <f t="shared" si="863"/>
        <v>STOCK SCAFFALE MP</v>
      </c>
      <c r="H1388" s="1" t="str">
        <f>"AVIO"</f>
        <v>AVIO</v>
      </c>
      <c r="K1388" s="1">
        <v>2</v>
      </c>
      <c r="L1388" s="1" t="str">
        <f t="shared" si="873"/>
        <v>01</v>
      </c>
      <c r="M1388" s="1" t="str">
        <f t="shared" si="864"/>
        <v>408</v>
      </c>
      <c r="N1388" s="1" t="str">
        <f>"012"</f>
        <v>012</v>
      </c>
      <c r="O1388" s="1" t="str">
        <f t="shared" si="874"/>
        <v>00</v>
      </c>
      <c r="P1388" s="1" t="str">
        <f t="shared" si="875"/>
        <v>S</v>
      </c>
      <c r="Q1388" s="1" t="str">
        <f t="shared" si="876"/>
        <v>P</v>
      </c>
      <c r="R1388" s="1" t="str">
        <f t="shared" si="877"/>
        <v>01</v>
      </c>
      <c r="S1388" s="1" t="str">
        <f t="shared" si="865"/>
        <v>04</v>
      </c>
      <c r="T1388" s="1" t="str">
        <f t="shared" si="878"/>
        <v>False</v>
      </c>
      <c r="U1388" s="1" t="str">
        <f t="shared" si="879"/>
        <v>True</v>
      </c>
      <c r="V1388" s="1" t="str">
        <f>"U0033229"</f>
        <v>U0033229</v>
      </c>
      <c r="W1388" s="1">
        <v>1</v>
      </c>
      <c r="Y1388" s="1">
        <v>0</v>
      </c>
      <c r="Z1388" s="1">
        <v>0</v>
      </c>
      <c r="AB1388" s="1" t="str">
        <f t="shared" si="893"/>
        <v>SMU</v>
      </c>
      <c r="AI1388" s="1" t="str">
        <f>"F10"</f>
        <v>F10</v>
      </c>
      <c r="AJ1388" s="1" t="str">
        <f>"MAN"</f>
        <v>MAN</v>
      </c>
      <c r="AK1388" s="1" t="str">
        <f t="shared" si="881"/>
        <v>PA</v>
      </c>
      <c r="AP1388" s="1" t="str">
        <f t="shared" si="882"/>
        <v>False</v>
      </c>
      <c r="AR1388" s="1" t="str">
        <f>"NOBIL"</f>
        <v>NOBIL</v>
      </c>
      <c r="AY1388" s="1" t="str">
        <f t="shared" si="884"/>
        <v>PF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 t="str">
        <f>"BBER FLAT MOL.CANVAS+MICROSUED"</f>
        <v>BBER FLAT MOL.CANVAS+MICROSUED</v>
      </c>
      <c r="BF1388" s="1" t="str">
        <f t="shared" si="885"/>
        <v>Bonis SpA</v>
      </c>
    </row>
    <row r="1389" spans="2:58" x14ac:dyDescent="0.25">
      <c r="B1389" s="1">
        <v>2491</v>
      </c>
      <c r="C1389" s="1" t="str">
        <f>"NOBIW4197S6/NH1A"</f>
        <v>NOBIW4197S6/NH1A</v>
      </c>
      <c r="E1389" s="1" t="str">
        <f>"38"</f>
        <v>38</v>
      </c>
      <c r="F1389" s="1" t="str">
        <f t="shared" si="872"/>
        <v>BONIS SPA</v>
      </c>
      <c r="G1389" s="1" t="str">
        <f t="shared" si="863"/>
        <v>STOCK SCAFFALE MP</v>
      </c>
      <c r="H1389" s="1" t="str">
        <f>"WHI"</f>
        <v>WHI</v>
      </c>
      <c r="K1389" s="1">
        <v>1</v>
      </c>
      <c r="L1389" s="1" t="str">
        <f t="shared" si="873"/>
        <v>01</v>
      </c>
      <c r="M1389" s="1" t="str">
        <f t="shared" si="864"/>
        <v>408</v>
      </c>
      <c r="N1389" s="1" t="str">
        <f>"012"</f>
        <v>012</v>
      </c>
      <c r="O1389" s="1" t="str">
        <f t="shared" si="874"/>
        <v>00</v>
      </c>
      <c r="P1389" s="1" t="str">
        <f t="shared" si="875"/>
        <v>S</v>
      </c>
      <c r="Q1389" s="1" t="str">
        <f t="shared" si="876"/>
        <v>P</v>
      </c>
      <c r="R1389" s="1" t="str">
        <f t="shared" si="877"/>
        <v>01</v>
      </c>
      <c r="S1389" s="1" t="str">
        <f t="shared" si="865"/>
        <v>04</v>
      </c>
      <c r="T1389" s="1" t="str">
        <f t="shared" si="878"/>
        <v>False</v>
      </c>
      <c r="U1389" s="1" t="str">
        <f t="shared" si="879"/>
        <v>True</v>
      </c>
      <c r="V1389" s="1" t="str">
        <f>"U0033289"</f>
        <v>U0033289</v>
      </c>
      <c r="W1389" s="1">
        <v>1</v>
      </c>
      <c r="Y1389" s="1">
        <v>0</v>
      </c>
      <c r="Z1389" s="1">
        <v>0</v>
      </c>
      <c r="AB1389" s="1" t="str">
        <f t="shared" si="893"/>
        <v>SMU</v>
      </c>
      <c r="AI1389" s="1" t="str">
        <f>"F10"</f>
        <v>F10</v>
      </c>
      <c r="AJ1389" s="1" t="str">
        <f>"WOMAN"</f>
        <v>WOMAN</v>
      </c>
      <c r="AK1389" s="1" t="str">
        <f t="shared" si="881"/>
        <v>PA</v>
      </c>
      <c r="AP1389" s="1" t="str">
        <f t="shared" si="882"/>
        <v>False</v>
      </c>
      <c r="AR1389" s="1" t="str">
        <f>"NOBIW"</f>
        <v>NOBIW</v>
      </c>
      <c r="AY1389" s="1" t="str">
        <f t="shared" si="884"/>
        <v>PF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 t="str">
        <f>"UBBER FLAT MOL.NYLON+MICRO"</f>
        <v>UBBER FLAT MOL.NYLON+MICRO</v>
      </c>
      <c r="BF1389" s="1" t="str">
        <f t="shared" si="885"/>
        <v>Bonis SpA</v>
      </c>
    </row>
    <row r="1390" spans="2:58" x14ac:dyDescent="0.25">
      <c r="B1390" s="1">
        <v>2491</v>
      </c>
      <c r="C1390" s="1" t="str">
        <f>"NOBIW4243S7/CH2"</f>
        <v>NOBIW4243S7/CH2</v>
      </c>
      <c r="E1390" s="1" t="str">
        <f>"38"</f>
        <v>38</v>
      </c>
      <c r="F1390" s="1" t="str">
        <f t="shared" si="872"/>
        <v>BONIS SPA</v>
      </c>
      <c r="G1390" s="1" t="str">
        <f t="shared" si="863"/>
        <v>STOCK SCAFFALE MP</v>
      </c>
      <c r="H1390" s="1" t="str">
        <f>"WHI"</f>
        <v>WHI</v>
      </c>
      <c r="K1390" s="1">
        <v>1</v>
      </c>
      <c r="L1390" s="1" t="str">
        <f t="shared" si="873"/>
        <v>01</v>
      </c>
      <c r="M1390" s="1" t="str">
        <f t="shared" si="864"/>
        <v>408</v>
      </c>
      <c r="N1390" s="1" t="str">
        <f>"012"</f>
        <v>012</v>
      </c>
      <c r="O1390" s="1" t="str">
        <f t="shared" si="874"/>
        <v>00</v>
      </c>
      <c r="P1390" s="1" t="str">
        <f t="shared" si="875"/>
        <v>S</v>
      </c>
      <c r="Q1390" s="1" t="str">
        <f t="shared" si="876"/>
        <v>P</v>
      </c>
      <c r="R1390" s="1" t="str">
        <f t="shared" si="877"/>
        <v>01</v>
      </c>
      <c r="S1390" s="1" t="str">
        <f t="shared" si="865"/>
        <v>04</v>
      </c>
      <c r="T1390" s="1" t="str">
        <f t="shared" si="878"/>
        <v>False</v>
      </c>
      <c r="U1390" s="1" t="str">
        <f t="shared" si="879"/>
        <v>True</v>
      </c>
      <c r="V1390" s="1" t="str">
        <f>"U0033289"</f>
        <v>U0033289</v>
      </c>
      <c r="W1390" s="1">
        <v>1</v>
      </c>
      <c r="Y1390" s="1">
        <v>0</v>
      </c>
      <c r="Z1390" s="1">
        <v>0</v>
      </c>
      <c r="AB1390" s="1" t="str">
        <f t="shared" si="893"/>
        <v>SMU</v>
      </c>
      <c r="AI1390" s="1" t="str">
        <f>"F10"</f>
        <v>F10</v>
      </c>
      <c r="AJ1390" s="1" t="str">
        <f>"WOMAN"</f>
        <v>WOMAN</v>
      </c>
      <c r="AK1390" s="1" t="str">
        <f t="shared" si="881"/>
        <v>PA</v>
      </c>
      <c r="AP1390" s="1" t="str">
        <f t="shared" si="882"/>
        <v>False</v>
      </c>
      <c r="AR1390" s="1" t="str">
        <f>"NOBIW"</f>
        <v>NOBIW</v>
      </c>
      <c r="AY1390" s="1" t="str">
        <f t="shared" si="884"/>
        <v>PF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 t="str">
        <f>"UBBER FLAT MOL.CANVAS+MICROSUE"</f>
        <v>UBBER FLAT MOL.CANVAS+MICROSUE</v>
      </c>
      <c r="BF1390" s="1" t="str">
        <f t="shared" si="885"/>
        <v>Bonis SpA</v>
      </c>
    </row>
    <row r="1391" spans="2:58" x14ac:dyDescent="0.25">
      <c r="B1391" s="1">
        <v>2473</v>
      </c>
      <c r="C1391" s="1" t="str">
        <f>"EBONY4175S7/Y2"</f>
        <v>EBONY4175S7/Y2</v>
      </c>
      <c r="E1391" s="1" t="str">
        <f>"29"</f>
        <v>29</v>
      </c>
      <c r="F1391" s="1" t="str">
        <f t="shared" si="872"/>
        <v>BONIS SPA</v>
      </c>
      <c r="G1391" s="1" t="str">
        <f t="shared" si="863"/>
        <v>STOCK SCAFFALE MP</v>
      </c>
      <c r="H1391" s="1" t="str">
        <f>"SKBL"</f>
        <v>SKBL</v>
      </c>
      <c r="K1391" s="1">
        <v>1</v>
      </c>
      <c r="L1391" s="1" t="str">
        <f t="shared" si="873"/>
        <v>01</v>
      </c>
      <c r="M1391" s="1" t="str">
        <f t="shared" si="864"/>
        <v>408</v>
      </c>
      <c r="N1391" s="1" t="str">
        <f>"006"</f>
        <v>006</v>
      </c>
      <c r="O1391" s="1" t="str">
        <f t="shared" si="874"/>
        <v>00</v>
      </c>
      <c r="P1391" s="1" t="str">
        <f t="shared" si="875"/>
        <v>S</v>
      </c>
      <c r="Q1391" s="1" t="str">
        <f t="shared" si="876"/>
        <v>P</v>
      </c>
      <c r="R1391" s="1" t="str">
        <f t="shared" si="877"/>
        <v>01</v>
      </c>
      <c r="S1391" s="1" t="str">
        <f t="shared" si="865"/>
        <v>04</v>
      </c>
      <c r="T1391" s="1" t="str">
        <f t="shared" si="878"/>
        <v>False</v>
      </c>
      <c r="U1391" s="1" t="str">
        <f t="shared" si="879"/>
        <v>True</v>
      </c>
      <c r="V1391" s="1" t="str">
        <f>"U0032684"</f>
        <v>U0032684</v>
      </c>
      <c r="W1391" s="1">
        <v>1</v>
      </c>
      <c r="Y1391" s="1">
        <v>0</v>
      </c>
      <c r="Z1391" s="1">
        <v>0</v>
      </c>
      <c r="AI1391" s="1" t="str">
        <f>"F10"</f>
        <v>F10</v>
      </c>
      <c r="AJ1391" s="1" t="str">
        <f>"KID"</f>
        <v>KID</v>
      </c>
      <c r="AK1391" s="1" t="str">
        <f t="shared" si="881"/>
        <v>PA</v>
      </c>
      <c r="AP1391" s="1" t="str">
        <f t="shared" si="882"/>
        <v>False</v>
      </c>
      <c r="AR1391" s="1" t="str">
        <f>"EBONY"</f>
        <v>EBONY</v>
      </c>
      <c r="AY1391" s="1" t="str">
        <f t="shared" si="884"/>
        <v>PF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 t="str">
        <f>"A EVA TOMAIA SYNTHETIC GLITTER"</f>
        <v>A EVA TOMAIA SYNTHETIC GLITTER</v>
      </c>
      <c r="BF1391" s="1" t="str">
        <f t="shared" si="885"/>
        <v>Bonis SpA</v>
      </c>
    </row>
    <row r="1392" spans="2:58" x14ac:dyDescent="0.25">
      <c r="B1392" s="1">
        <v>2500</v>
      </c>
      <c r="C1392" s="1" t="str">
        <f>"VAIAK4119S7/G1"</f>
        <v>VAIAK4119S7/G1</v>
      </c>
      <c r="E1392" s="1" t="str">
        <f>"36"</f>
        <v>36</v>
      </c>
      <c r="F1392" s="1" t="str">
        <f t="shared" si="872"/>
        <v>BONIS SPA</v>
      </c>
      <c r="G1392" s="1" t="str">
        <f t="shared" ref="G1392:G1455" si="894">"STOCK SCAFFALE MP"</f>
        <v>STOCK SCAFFALE MP</v>
      </c>
      <c r="H1392" s="1" t="str">
        <f>"RED"</f>
        <v>RED</v>
      </c>
      <c r="K1392" s="1">
        <v>1</v>
      </c>
      <c r="L1392" s="1" t="str">
        <f t="shared" si="873"/>
        <v>01</v>
      </c>
      <c r="M1392" s="1" t="str">
        <f t="shared" ref="M1392:M1397" si="895">"408"</f>
        <v>408</v>
      </c>
      <c r="N1392" s="1" t="str">
        <f>"015"</f>
        <v>015</v>
      </c>
      <c r="O1392" s="1" t="str">
        <f t="shared" si="874"/>
        <v>00</v>
      </c>
      <c r="P1392" s="1" t="str">
        <f t="shared" si="875"/>
        <v>S</v>
      </c>
      <c r="Q1392" s="1" t="str">
        <f t="shared" si="876"/>
        <v>P</v>
      </c>
      <c r="R1392" s="1" t="str">
        <f t="shared" si="877"/>
        <v>01</v>
      </c>
      <c r="S1392" s="1" t="str">
        <f t="shared" ref="S1392:S1455" si="896">"04"</f>
        <v>04</v>
      </c>
      <c r="T1392" s="1" t="str">
        <f t="shared" si="878"/>
        <v>False</v>
      </c>
      <c r="U1392" s="1" t="str">
        <f t="shared" si="879"/>
        <v>True</v>
      </c>
      <c r="V1392" s="1" t="str">
        <f>"U0027857"</f>
        <v>U0027857</v>
      </c>
      <c r="W1392" s="1">
        <v>1</v>
      </c>
      <c r="Y1392" s="1">
        <v>0</v>
      </c>
      <c r="Z1392" s="1">
        <v>0</v>
      </c>
      <c r="AI1392" s="1" t="str">
        <f t="shared" ref="AI1392:AI1397" si="897">"nicola.toscan"</f>
        <v>nicola.toscan</v>
      </c>
      <c r="AJ1392" s="1" t="str">
        <f>"KID"</f>
        <v>KID</v>
      </c>
      <c r="AK1392" s="1" t="str">
        <f t="shared" si="881"/>
        <v>PA</v>
      </c>
      <c r="AP1392" s="1" t="str">
        <f t="shared" si="882"/>
        <v>False</v>
      </c>
      <c r="AR1392" s="1" t="str">
        <f>"VAIAK"</f>
        <v>VAIAK</v>
      </c>
      <c r="AY1392" s="1" t="str">
        <f t="shared" si="884"/>
        <v>PF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 t="str">
        <f>"TOMAIA GOMMA"</f>
        <v>TOMAIA GOMMA</v>
      </c>
      <c r="BF1392" s="1" t="str">
        <f t="shared" si="885"/>
        <v>Bonis SpA</v>
      </c>
    </row>
    <row r="1393" spans="2:58" x14ac:dyDescent="0.25">
      <c r="B1393" s="1">
        <v>2500</v>
      </c>
      <c r="C1393" s="1" t="str">
        <f>"EGLE4009S7/NH1"</f>
        <v>EGLE4009S7/NH1</v>
      </c>
      <c r="E1393" s="1" t="str">
        <f>"40"</f>
        <v>40</v>
      </c>
      <c r="F1393" s="1" t="str">
        <f t="shared" si="872"/>
        <v>BONIS SPA</v>
      </c>
      <c r="G1393" s="1" t="str">
        <f t="shared" si="894"/>
        <v>STOCK SCAFFALE MP</v>
      </c>
      <c r="H1393" s="1" t="str">
        <f>"MILG"</f>
        <v>MILG</v>
      </c>
      <c r="K1393" s="1">
        <v>1</v>
      </c>
      <c r="L1393" s="1" t="str">
        <f t="shared" si="873"/>
        <v>01</v>
      </c>
      <c r="M1393" s="1" t="str">
        <f t="shared" si="895"/>
        <v>408</v>
      </c>
      <c r="N1393" s="1" t="str">
        <f>"015"</f>
        <v>015</v>
      </c>
      <c r="O1393" s="1" t="str">
        <f t="shared" si="874"/>
        <v>00</v>
      </c>
      <c r="P1393" s="1" t="str">
        <f t="shared" si="875"/>
        <v>S</v>
      </c>
      <c r="Q1393" s="1" t="str">
        <f t="shared" si="876"/>
        <v>P</v>
      </c>
      <c r="R1393" s="1" t="str">
        <f t="shared" si="877"/>
        <v>01</v>
      </c>
      <c r="S1393" s="1" t="str">
        <f t="shared" si="896"/>
        <v>04</v>
      </c>
      <c r="T1393" s="1" t="str">
        <f t="shared" si="878"/>
        <v>False</v>
      </c>
      <c r="U1393" s="1" t="str">
        <f t="shared" si="879"/>
        <v>True</v>
      </c>
      <c r="V1393" s="1" t="str">
        <f>"U0027922"</f>
        <v>U0027922</v>
      </c>
      <c r="W1393" s="1">
        <v>1</v>
      </c>
      <c r="Y1393" s="1">
        <v>0</v>
      </c>
      <c r="Z1393" s="1">
        <v>0</v>
      </c>
      <c r="AI1393" s="1" t="str">
        <f t="shared" si="897"/>
        <v>nicola.toscan</v>
      </c>
      <c r="AJ1393" s="1" t="str">
        <f>"WOMAN"</f>
        <v>WOMAN</v>
      </c>
      <c r="AK1393" s="1" t="str">
        <f t="shared" si="881"/>
        <v>PA</v>
      </c>
      <c r="AP1393" s="1" t="str">
        <f t="shared" si="882"/>
        <v>False</v>
      </c>
      <c r="AR1393" s="1" t="str">
        <f>"EGLE"</f>
        <v>EGLE</v>
      </c>
      <c r="AY1393" s="1" t="str">
        <f t="shared" si="884"/>
        <v>PF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 t="str">
        <f>"ER-EVA NYLON + MICROSUEDE"</f>
        <v>ER-EVA NYLON + MICROSUEDE</v>
      </c>
      <c r="BF1393" s="1" t="str">
        <f t="shared" si="885"/>
        <v>Bonis SpA</v>
      </c>
    </row>
    <row r="1394" spans="2:58" x14ac:dyDescent="0.25">
      <c r="B1394" s="1">
        <v>2500</v>
      </c>
      <c r="C1394" s="1" t="str">
        <f>"NOBIL4090S7/NH1"</f>
        <v>NOBIL4090S7/NH1</v>
      </c>
      <c r="E1394" s="1" t="str">
        <f>"43"</f>
        <v>43</v>
      </c>
      <c r="F1394" s="1" t="str">
        <f t="shared" si="872"/>
        <v>BONIS SPA</v>
      </c>
      <c r="G1394" s="1" t="str">
        <f t="shared" si="894"/>
        <v>STOCK SCAFFALE MP</v>
      </c>
      <c r="H1394" s="1" t="str">
        <f>"BLK"</f>
        <v>BLK</v>
      </c>
      <c r="K1394" s="1">
        <v>1</v>
      </c>
      <c r="L1394" s="1" t="str">
        <f t="shared" si="873"/>
        <v>01</v>
      </c>
      <c r="M1394" s="1" t="str">
        <f t="shared" si="895"/>
        <v>408</v>
      </c>
      <c r="N1394" s="1" t="str">
        <f>"015"</f>
        <v>015</v>
      </c>
      <c r="O1394" s="1" t="str">
        <f t="shared" si="874"/>
        <v>00</v>
      </c>
      <c r="P1394" s="1" t="str">
        <f t="shared" si="875"/>
        <v>S</v>
      </c>
      <c r="Q1394" s="1" t="str">
        <f t="shared" si="876"/>
        <v>P</v>
      </c>
      <c r="R1394" s="1" t="str">
        <f t="shared" si="877"/>
        <v>01</v>
      </c>
      <c r="S1394" s="1" t="str">
        <f t="shared" si="896"/>
        <v>04</v>
      </c>
      <c r="T1394" s="1" t="str">
        <f t="shared" si="878"/>
        <v>False</v>
      </c>
      <c r="U1394" s="1" t="str">
        <f t="shared" si="879"/>
        <v>True</v>
      </c>
      <c r="V1394" s="1" t="str">
        <f>"U0027806"</f>
        <v>U0027806</v>
      </c>
      <c r="W1394" s="1">
        <v>1</v>
      </c>
      <c r="Y1394" s="1">
        <v>0</v>
      </c>
      <c r="Z1394" s="1">
        <v>0</v>
      </c>
      <c r="AI1394" s="1" t="str">
        <f t="shared" si="897"/>
        <v>nicola.toscan</v>
      </c>
      <c r="AJ1394" s="1" t="str">
        <f>"MAN"</f>
        <v>MAN</v>
      </c>
      <c r="AK1394" s="1" t="str">
        <f t="shared" si="881"/>
        <v>PA</v>
      </c>
      <c r="AP1394" s="1" t="str">
        <f t="shared" si="882"/>
        <v>False</v>
      </c>
      <c r="AR1394" s="1" t="str">
        <f>"NOBIL"</f>
        <v>NOBIL</v>
      </c>
      <c r="AY1394" s="1" t="str">
        <f t="shared" si="884"/>
        <v>PF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 t="str">
        <f>"BBER-EVA  NYLON+MICROSUE"</f>
        <v>BBER-EVA  NYLON+MICROSUE</v>
      </c>
      <c r="BF1394" s="1" t="str">
        <f t="shared" si="885"/>
        <v>Bonis SpA</v>
      </c>
    </row>
    <row r="1395" spans="2:58" x14ac:dyDescent="0.25">
      <c r="B1395" s="1">
        <v>2500</v>
      </c>
      <c r="C1395" s="1" t="str">
        <f>"ETTOR2166S7/G1"</f>
        <v>ETTOR2166S7/G1</v>
      </c>
      <c r="E1395" s="1" t="str">
        <f>"44"</f>
        <v>44</v>
      </c>
      <c r="F1395" s="1" t="str">
        <f t="shared" si="872"/>
        <v>BONIS SPA</v>
      </c>
      <c r="G1395" s="1" t="str">
        <f t="shared" si="894"/>
        <v>STOCK SCAFFALE MP</v>
      </c>
      <c r="H1395" s="1" t="str">
        <f>"WHI"</f>
        <v>WHI</v>
      </c>
      <c r="K1395" s="1">
        <v>2</v>
      </c>
      <c r="L1395" s="1" t="str">
        <f t="shared" si="873"/>
        <v>01</v>
      </c>
      <c r="M1395" s="1" t="str">
        <f t="shared" si="895"/>
        <v>408</v>
      </c>
      <c r="N1395" s="1" t="str">
        <f>"015"</f>
        <v>015</v>
      </c>
      <c r="O1395" s="1" t="str">
        <f t="shared" si="874"/>
        <v>00</v>
      </c>
      <c r="P1395" s="1" t="str">
        <f t="shared" si="875"/>
        <v>S</v>
      </c>
      <c r="Q1395" s="1" t="str">
        <f t="shared" si="876"/>
        <v>P</v>
      </c>
      <c r="R1395" s="1" t="str">
        <f t="shared" si="877"/>
        <v>01</v>
      </c>
      <c r="S1395" s="1" t="str">
        <f t="shared" si="896"/>
        <v>04</v>
      </c>
      <c r="T1395" s="1" t="str">
        <f t="shared" si="878"/>
        <v>False</v>
      </c>
      <c r="U1395" s="1" t="str">
        <f t="shared" si="879"/>
        <v>True</v>
      </c>
      <c r="V1395" s="1" t="str">
        <f>"U0027806"</f>
        <v>U0027806</v>
      </c>
      <c r="W1395" s="1">
        <v>1</v>
      </c>
      <c r="Y1395" s="1">
        <v>0</v>
      </c>
      <c r="Z1395" s="1">
        <v>0</v>
      </c>
      <c r="AI1395" s="1" t="str">
        <f t="shared" si="897"/>
        <v>nicola.toscan</v>
      </c>
      <c r="AJ1395" s="1" t="str">
        <f>"UNISEX"</f>
        <v>UNISEX</v>
      </c>
      <c r="AK1395" s="1" t="str">
        <f t="shared" si="881"/>
        <v>PA</v>
      </c>
      <c r="AP1395" s="1" t="str">
        <f t="shared" si="882"/>
        <v>False</v>
      </c>
      <c r="AR1395" s="1" t="str">
        <f>"ETTOR"</f>
        <v>ETTOR</v>
      </c>
      <c r="AY1395" s="1" t="str">
        <f t="shared" si="884"/>
        <v>PF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 t="str">
        <f>"VA ESPANS"</f>
        <v>VA ESPANS</v>
      </c>
      <c r="BF1395" s="1" t="str">
        <f t="shared" si="885"/>
        <v>Bonis SpA</v>
      </c>
    </row>
    <row r="1396" spans="2:58" x14ac:dyDescent="0.25">
      <c r="B1396" s="1">
        <v>2500</v>
      </c>
      <c r="C1396" s="1" t="str">
        <f>"ETTOR2166S7/G1"</f>
        <v>ETTOR2166S7/G1</v>
      </c>
      <c r="E1396" s="1" t="str">
        <f>"45"</f>
        <v>45</v>
      </c>
      <c r="F1396" s="1" t="str">
        <f t="shared" si="872"/>
        <v>BONIS SPA</v>
      </c>
      <c r="G1396" s="1" t="str">
        <f t="shared" si="894"/>
        <v>STOCK SCAFFALE MP</v>
      </c>
      <c r="H1396" s="1" t="str">
        <f>"WHI"</f>
        <v>WHI</v>
      </c>
      <c r="K1396" s="1">
        <v>1</v>
      </c>
      <c r="L1396" s="1" t="str">
        <f t="shared" si="873"/>
        <v>01</v>
      </c>
      <c r="M1396" s="1" t="str">
        <f t="shared" si="895"/>
        <v>408</v>
      </c>
      <c r="N1396" s="1" t="str">
        <f>"015"</f>
        <v>015</v>
      </c>
      <c r="O1396" s="1" t="str">
        <f t="shared" si="874"/>
        <v>00</v>
      </c>
      <c r="P1396" s="1" t="str">
        <f t="shared" si="875"/>
        <v>S</v>
      </c>
      <c r="Q1396" s="1" t="str">
        <f t="shared" si="876"/>
        <v>P</v>
      </c>
      <c r="R1396" s="1" t="str">
        <f t="shared" si="877"/>
        <v>01</v>
      </c>
      <c r="S1396" s="1" t="str">
        <f t="shared" si="896"/>
        <v>04</v>
      </c>
      <c r="T1396" s="1" t="str">
        <f t="shared" si="878"/>
        <v>False</v>
      </c>
      <c r="U1396" s="1" t="str">
        <f t="shared" si="879"/>
        <v>True</v>
      </c>
      <c r="V1396" s="1" t="str">
        <f>"U0027806"</f>
        <v>U0027806</v>
      </c>
      <c r="W1396" s="1">
        <v>1</v>
      </c>
      <c r="Y1396" s="1">
        <v>0</v>
      </c>
      <c r="Z1396" s="1">
        <v>0</v>
      </c>
      <c r="AI1396" s="1" t="str">
        <f t="shared" si="897"/>
        <v>nicola.toscan</v>
      </c>
      <c r="AJ1396" s="1" t="str">
        <f>"UNISEX"</f>
        <v>UNISEX</v>
      </c>
      <c r="AK1396" s="1" t="str">
        <f t="shared" si="881"/>
        <v>PA</v>
      </c>
      <c r="AP1396" s="1" t="str">
        <f t="shared" si="882"/>
        <v>False</v>
      </c>
      <c r="AR1396" s="1" t="str">
        <f>"ETTOR"</f>
        <v>ETTOR</v>
      </c>
      <c r="AY1396" s="1" t="str">
        <f t="shared" si="884"/>
        <v>PF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 t="str">
        <f>"VA ESPANS"</f>
        <v>VA ESPANS</v>
      </c>
      <c r="BF1396" s="1" t="str">
        <f t="shared" si="885"/>
        <v>Bonis SpA</v>
      </c>
    </row>
    <row r="1397" spans="2:58" x14ac:dyDescent="0.25">
      <c r="B1397" s="1">
        <v>2509</v>
      </c>
      <c r="C1397" s="1" t="str">
        <f>"EGLE4009S7/NH1"</f>
        <v>EGLE4009S7/NH1</v>
      </c>
      <c r="E1397" s="1" t="str">
        <f>"37"</f>
        <v>37</v>
      </c>
      <c r="F1397" s="1" t="str">
        <f t="shared" si="872"/>
        <v>BONIS SPA</v>
      </c>
      <c r="G1397" s="1" t="str">
        <f t="shared" si="894"/>
        <v>STOCK SCAFFALE MP</v>
      </c>
      <c r="H1397" s="1" t="str">
        <f>"MILG"</f>
        <v>MILG</v>
      </c>
      <c r="K1397" s="1">
        <v>1</v>
      </c>
      <c r="L1397" s="1" t="str">
        <f t="shared" si="873"/>
        <v>01</v>
      </c>
      <c r="M1397" s="1" t="str">
        <f t="shared" si="895"/>
        <v>408</v>
      </c>
      <c r="N1397" s="1" t="str">
        <f t="shared" ref="N1397:N1415" si="898">"018"</f>
        <v>018</v>
      </c>
      <c r="O1397" s="1" t="str">
        <f t="shared" si="874"/>
        <v>00</v>
      </c>
      <c r="P1397" s="1" t="str">
        <f t="shared" si="875"/>
        <v>S</v>
      </c>
      <c r="Q1397" s="1" t="str">
        <f t="shared" si="876"/>
        <v>P</v>
      </c>
      <c r="R1397" s="1" t="str">
        <f t="shared" si="877"/>
        <v>01</v>
      </c>
      <c r="S1397" s="1" t="str">
        <f t="shared" si="896"/>
        <v>04</v>
      </c>
      <c r="T1397" s="1" t="str">
        <f t="shared" si="878"/>
        <v>False</v>
      </c>
      <c r="U1397" s="1" t="str">
        <f t="shared" si="879"/>
        <v>True</v>
      </c>
      <c r="V1397" s="1" t="str">
        <f>"U0027842"</f>
        <v>U0027842</v>
      </c>
      <c r="W1397" s="1">
        <v>1</v>
      </c>
      <c r="Y1397" s="1">
        <v>0</v>
      </c>
      <c r="Z1397" s="1">
        <v>0</v>
      </c>
      <c r="AI1397" s="1" t="str">
        <f t="shared" si="897"/>
        <v>nicola.toscan</v>
      </c>
      <c r="AJ1397" s="1" t="str">
        <f t="shared" ref="AJ1397:AJ1408" si="899">"WOMAN"</f>
        <v>WOMAN</v>
      </c>
      <c r="AK1397" s="1" t="str">
        <f t="shared" si="881"/>
        <v>PA</v>
      </c>
      <c r="AP1397" s="1" t="str">
        <f t="shared" si="882"/>
        <v>False</v>
      </c>
      <c r="AR1397" s="1" t="str">
        <f>"EGLE"</f>
        <v>EGLE</v>
      </c>
      <c r="AY1397" s="1" t="str">
        <f t="shared" si="884"/>
        <v>PF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 t="str">
        <f>"ER-EVA NYLON + MICROSUEDE"</f>
        <v>ER-EVA NYLON + MICROSUEDE</v>
      </c>
      <c r="BF1397" s="1" t="str">
        <f t="shared" si="885"/>
        <v>Bonis SpA</v>
      </c>
    </row>
    <row r="1398" spans="2:58" x14ac:dyDescent="0.25">
      <c r="B1398" s="1">
        <v>2572</v>
      </c>
      <c r="C1398" s="1" t="str">
        <f t="shared" ref="C1398:C1404" si="900">"DYON4190S7/C1"</f>
        <v>DYON4190S7/C1</v>
      </c>
      <c r="E1398" s="1" t="str">
        <f>"40"</f>
        <v>40</v>
      </c>
      <c r="F1398" s="1" t="str">
        <f t="shared" si="872"/>
        <v>BONIS SPA</v>
      </c>
      <c r="G1398" s="1" t="str">
        <f t="shared" si="894"/>
        <v>STOCK SCAFFALE MP</v>
      </c>
      <c r="H1398" s="1" t="str">
        <f t="shared" ref="H1398:H1404" si="901">"WHI"</f>
        <v>WHI</v>
      </c>
      <c r="K1398" s="1">
        <v>2</v>
      </c>
      <c r="L1398" s="1" t="str">
        <f t="shared" si="873"/>
        <v>01</v>
      </c>
      <c r="M1398" s="1" t="str">
        <f t="shared" ref="M1398:M1461" si="902">"409"</f>
        <v>409</v>
      </c>
      <c r="N1398" s="1" t="str">
        <f t="shared" si="898"/>
        <v>018</v>
      </c>
      <c r="O1398" s="1" t="str">
        <f t="shared" si="874"/>
        <v>00</v>
      </c>
      <c r="P1398" s="1" t="str">
        <f t="shared" si="875"/>
        <v>S</v>
      </c>
      <c r="Q1398" s="1" t="str">
        <f t="shared" si="876"/>
        <v>P</v>
      </c>
      <c r="R1398" s="1" t="str">
        <f t="shared" si="877"/>
        <v>01</v>
      </c>
      <c r="S1398" s="1" t="str">
        <f t="shared" si="896"/>
        <v>04</v>
      </c>
      <c r="T1398" s="1" t="str">
        <f t="shared" si="878"/>
        <v>False</v>
      </c>
      <c r="U1398" s="1" t="str">
        <f t="shared" si="879"/>
        <v>True</v>
      </c>
      <c r="V1398" s="1" t="str">
        <f>"U0028362"</f>
        <v>U0028362</v>
      </c>
      <c r="W1398" s="1">
        <v>1</v>
      </c>
      <c r="Y1398" s="1">
        <v>0</v>
      </c>
      <c r="Z1398" s="1">
        <v>0</v>
      </c>
      <c r="AB1398" s="1" t="str">
        <f t="shared" ref="AB1398:AB1461" si="903">"SMU"</f>
        <v>SMU</v>
      </c>
      <c r="AI1398" s="1" t="str">
        <f>"F11"</f>
        <v>F11</v>
      </c>
      <c r="AJ1398" s="1" t="str">
        <f t="shared" si="899"/>
        <v>WOMAN</v>
      </c>
      <c r="AK1398" s="1" t="str">
        <f t="shared" si="881"/>
        <v>PA</v>
      </c>
      <c r="AP1398" s="1" t="str">
        <f t="shared" si="882"/>
        <v>False</v>
      </c>
      <c r="AR1398" s="1" t="str">
        <f t="shared" ref="AR1398:AR1404" si="904">"DYON"</f>
        <v>DYON</v>
      </c>
      <c r="AY1398" s="1" t="str">
        <f t="shared" si="884"/>
        <v>PF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 t="str">
        <f t="shared" ref="BE1398:BE1404" si="905">"ION GOMMA TWILL CANVAS"</f>
        <v>ION GOMMA TWILL CANVAS</v>
      </c>
      <c r="BF1398" s="1" t="str">
        <f t="shared" si="885"/>
        <v>Bonis SpA</v>
      </c>
    </row>
    <row r="1399" spans="2:58" x14ac:dyDescent="0.25">
      <c r="B1399" s="1">
        <v>2572</v>
      </c>
      <c r="C1399" s="1" t="str">
        <f t="shared" si="900"/>
        <v>DYON4190S7/C1</v>
      </c>
      <c r="E1399" s="1" t="str">
        <f>"39"</f>
        <v>39</v>
      </c>
      <c r="F1399" s="1" t="str">
        <f t="shared" si="872"/>
        <v>BONIS SPA</v>
      </c>
      <c r="G1399" s="1" t="str">
        <f t="shared" si="894"/>
        <v>STOCK SCAFFALE MP</v>
      </c>
      <c r="H1399" s="1" t="str">
        <f t="shared" si="901"/>
        <v>WHI</v>
      </c>
      <c r="K1399" s="1">
        <v>3</v>
      </c>
      <c r="L1399" s="1" t="str">
        <f t="shared" si="873"/>
        <v>01</v>
      </c>
      <c r="M1399" s="1" t="str">
        <f t="shared" si="902"/>
        <v>409</v>
      </c>
      <c r="N1399" s="1" t="str">
        <f t="shared" si="898"/>
        <v>018</v>
      </c>
      <c r="O1399" s="1" t="str">
        <f t="shared" si="874"/>
        <v>00</v>
      </c>
      <c r="P1399" s="1" t="str">
        <f t="shared" si="875"/>
        <v>S</v>
      </c>
      <c r="Q1399" s="1" t="str">
        <f t="shared" si="876"/>
        <v>P</v>
      </c>
      <c r="R1399" s="1" t="str">
        <f t="shared" si="877"/>
        <v>01</v>
      </c>
      <c r="S1399" s="1" t="str">
        <f t="shared" si="896"/>
        <v>04</v>
      </c>
      <c r="T1399" s="1" t="str">
        <f t="shared" si="878"/>
        <v>False</v>
      </c>
      <c r="U1399" s="1" t="str">
        <f t="shared" si="879"/>
        <v>True</v>
      </c>
      <c r="V1399" s="1" t="str">
        <f>"U0028362"</f>
        <v>U0028362</v>
      </c>
      <c r="W1399" s="1">
        <v>1</v>
      </c>
      <c r="Y1399" s="1">
        <v>0</v>
      </c>
      <c r="Z1399" s="1">
        <v>0</v>
      </c>
      <c r="AB1399" s="1" t="str">
        <f t="shared" si="903"/>
        <v>SMU</v>
      </c>
      <c r="AI1399" s="1" t="str">
        <f>"F11"</f>
        <v>F11</v>
      </c>
      <c r="AJ1399" s="1" t="str">
        <f t="shared" si="899"/>
        <v>WOMAN</v>
      </c>
      <c r="AK1399" s="1" t="str">
        <f t="shared" si="881"/>
        <v>PA</v>
      </c>
      <c r="AP1399" s="1" t="str">
        <f t="shared" si="882"/>
        <v>False</v>
      </c>
      <c r="AR1399" s="1" t="str">
        <f t="shared" si="904"/>
        <v>DYON</v>
      </c>
      <c r="AY1399" s="1" t="str">
        <f t="shared" si="884"/>
        <v>PF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 t="str">
        <f t="shared" si="905"/>
        <v>ION GOMMA TWILL CANVAS</v>
      </c>
      <c r="BF1399" s="1" t="str">
        <f t="shared" si="885"/>
        <v>Bonis SpA</v>
      </c>
    </row>
    <row r="1400" spans="2:58" x14ac:dyDescent="0.25">
      <c r="B1400" s="1">
        <v>2572</v>
      </c>
      <c r="C1400" s="1" t="str">
        <f t="shared" si="900"/>
        <v>DYON4190S7/C1</v>
      </c>
      <c r="E1400" s="1" t="str">
        <f>"38"</f>
        <v>38</v>
      </c>
      <c r="F1400" s="1" t="str">
        <f t="shared" si="872"/>
        <v>BONIS SPA</v>
      </c>
      <c r="G1400" s="1" t="str">
        <f t="shared" si="894"/>
        <v>STOCK SCAFFALE MP</v>
      </c>
      <c r="H1400" s="1" t="str">
        <f t="shared" si="901"/>
        <v>WHI</v>
      </c>
      <c r="K1400" s="1">
        <v>4</v>
      </c>
      <c r="L1400" s="1" t="str">
        <f t="shared" si="873"/>
        <v>01</v>
      </c>
      <c r="M1400" s="1" t="str">
        <f t="shared" si="902"/>
        <v>409</v>
      </c>
      <c r="N1400" s="1" t="str">
        <f t="shared" si="898"/>
        <v>018</v>
      </c>
      <c r="O1400" s="1" t="str">
        <f t="shared" si="874"/>
        <v>00</v>
      </c>
      <c r="P1400" s="1" t="str">
        <f t="shared" si="875"/>
        <v>S</v>
      </c>
      <c r="Q1400" s="1" t="str">
        <f t="shared" si="876"/>
        <v>P</v>
      </c>
      <c r="R1400" s="1" t="str">
        <f t="shared" si="877"/>
        <v>01</v>
      </c>
      <c r="S1400" s="1" t="str">
        <f t="shared" si="896"/>
        <v>04</v>
      </c>
      <c r="T1400" s="1" t="str">
        <f t="shared" si="878"/>
        <v>False</v>
      </c>
      <c r="U1400" s="1" t="str">
        <f t="shared" si="879"/>
        <v>True</v>
      </c>
      <c r="V1400" s="1" t="str">
        <f>"U0028362"</f>
        <v>U0028362</v>
      </c>
      <c r="W1400" s="1">
        <v>1</v>
      </c>
      <c r="Y1400" s="1">
        <v>0</v>
      </c>
      <c r="Z1400" s="1">
        <v>0</v>
      </c>
      <c r="AB1400" s="1" t="str">
        <f t="shared" si="903"/>
        <v>SMU</v>
      </c>
      <c r="AI1400" s="1" t="str">
        <f>"106"</f>
        <v>106</v>
      </c>
      <c r="AJ1400" s="1" t="str">
        <f t="shared" si="899"/>
        <v>WOMAN</v>
      </c>
      <c r="AK1400" s="1" t="str">
        <f t="shared" si="881"/>
        <v>PA</v>
      </c>
      <c r="AP1400" s="1" t="str">
        <f t="shared" si="882"/>
        <v>False</v>
      </c>
      <c r="AR1400" s="1" t="str">
        <f t="shared" si="904"/>
        <v>DYON</v>
      </c>
      <c r="AY1400" s="1" t="str">
        <f t="shared" si="884"/>
        <v>PF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 t="str">
        <f t="shared" si="905"/>
        <v>ION GOMMA TWILL CANVAS</v>
      </c>
      <c r="BF1400" s="1" t="str">
        <f t="shared" si="885"/>
        <v>Bonis SpA</v>
      </c>
    </row>
    <row r="1401" spans="2:58" x14ac:dyDescent="0.25">
      <c r="B1401" s="1">
        <v>2572</v>
      </c>
      <c r="C1401" s="1" t="str">
        <f t="shared" si="900"/>
        <v>DYON4190S7/C1</v>
      </c>
      <c r="E1401" s="1" t="str">
        <f>"36"</f>
        <v>36</v>
      </c>
      <c r="F1401" s="1" t="str">
        <f t="shared" si="872"/>
        <v>BONIS SPA</v>
      </c>
      <c r="G1401" s="1" t="str">
        <f t="shared" si="894"/>
        <v>STOCK SCAFFALE MP</v>
      </c>
      <c r="H1401" s="1" t="str">
        <f t="shared" si="901"/>
        <v>WHI</v>
      </c>
      <c r="K1401" s="1">
        <v>1</v>
      </c>
      <c r="L1401" s="1" t="str">
        <f t="shared" si="873"/>
        <v>01</v>
      </c>
      <c r="M1401" s="1" t="str">
        <f t="shared" si="902"/>
        <v>409</v>
      </c>
      <c r="N1401" s="1" t="str">
        <f t="shared" si="898"/>
        <v>018</v>
      </c>
      <c r="O1401" s="1" t="str">
        <f t="shared" si="874"/>
        <v>00</v>
      </c>
      <c r="P1401" s="1" t="str">
        <f t="shared" si="875"/>
        <v>S</v>
      </c>
      <c r="Q1401" s="1" t="str">
        <f t="shared" si="876"/>
        <v>P</v>
      </c>
      <c r="R1401" s="1" t="str">
        <f t="shared" si="877"/>
        <v>01</v>
      </c>
      <c r="S1401" s="1" t="str">
        <f t="shared" si="896"/>
        <v>04</v>
      </c>
      <c r="T1401" s="1" t="str">
        <f t="shared" si="878"/>
        <v>False</v>
      </c>
      <c r="U1401" s="1" t="str">
        <f t="shared" si="879"/>
        <v>True</v>
      </c>
      <c r="V1401" s="1" t="str">
        <f>"U0028362"</f>
        <v>U0028362</v>
      </c>
      <c r="W1401" s="1">
        <v>1</v>
      </c>
      <c r="Y1401" s="1">
        <v>0</v>
      </c>
      <c r="Z1401" s="1">
        <v>0</v>
      </c>
      <c r="AB1401" s="1" t="str">
        <f t="shared" si="903"/>
        <v>SMU</v>
      </c>
      <c r="AI1401" s="1" t="str">
        <f>"F11"</f>
        <v>F11</v>
      </c>
      <c r="AJ1401" s="1" t="str">
        <f t="shared" si="899"/>
        <v>WOMAN</v>
      </c>
      <c r="AK1401" s="1" t="str">
        <f t="shared" si="881"/>
        <v>PA</v>
      </c>
      <c r="AP1401" s="1" t="str">
        <f t="shared" si="882"/>
        <v>False</v>
      </c>
      <c r="AR1401" s="1" t="str">
        <f t="shared" si="904"/>
        <v>DYON</v>
      </c>
      <c r="AY1401" s="1" t="str">
        <f t="shared" si="884"/>
        <v>PF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 t="str">
        <f t="shared" si="905"/>
        <v>ION GOMMA TWILL CANVAS</v>
      </c>
      <c r="BF1401" s="1" t="str">
        <f t="shared" si="885"/>
        <v>Bonis SpA</v>
      </c>
    </row>
    <row r="1402" spans="2:58" x14ac:dyDescent="0.25">
      <c r="B1402" s="1">
        <v>2572</v>
      </c>
      <c r="C1402" s="1" t="str">
        <f t="shared" si="900"/>
        <v>DYON4190S7/C1</v>
      </c>
      <c r="E1402" s="1" t="str">
        <f>"39"</f>
        <v>39</v>
      </c>
      <c r="F1402" s="1" t="str">
        <f t="shared" si="872"/>
        <v>BONIS SPA</v>
      </c>
      <c r="G1402" s="1" t="str">
        <f t="shared" si="894"/>
        <v>STOCK SCAFFALE MP</v>
      </c>
      <c r="H1402" s="1" t="str">
        <f t="shared" si="901"/>
        <v>WHI</v>
      </c>
      <c r="K1402" s="1">
        <v>1</v>
      </c>
      <c r="L1402" s="1" t="str">
        <f t="shared" si="873"/>
        <v>01</v>
      </c>
      <c r="M1402" s="1" t="str">
        <f t="shared" si="902"/>
        <v>409</v>
      </c>
      <c r="N1402" s="1" t="str">
        <f t="shared" si="898"/>
        <v>018</v>
      </c>
      <c r="O1402" s="1" t="str">
        <f t="shared" si="874"/>
        <v>00</v>
      </c>
      <c r="P1402" s="1" t="str">
        <f t="shared" si="875"/>
        <v>S</v>
      </c>
      <c r="Q1402" s="1" t="str">
        <f t="shared" si="876"/>
        <v>P</v>
      </c>
      <c r="R1402" s="1" t="str">
        <f t="shared" si="877"/>
        <v>01</v>
      </c>
      <c r="S1402" s="1" t="str">
        <f t="shared" si="896"/>
        <v>04</v>
      </c>
      <c r="T1402" s="1" t="str">
        <f t="shared" si="878"/>
        <v>False</v>
      </c>
      <c r="U1402" s="1" t="str">
        <f t="shared" si="879"/>
        <v>True</v>
      </c>
      <c r="V1402" s="1" t="str">
        <f>"U0028285"</f>
        <v>U0028285</v>
      </c>
      <c r="W1402" s="1">
        <v>1</v>
      </c>
      <c r="Y1402" s="1">
        <v>0</v>
      </c>
      <c r="Z1402" s="1">
        <v>0</v>
      </c>
      <c r="AB1402" s="1" t="str">
        <f t="shared" si="903"/>
        <v>SMU</v>
      </c>
      <c r="AI1402" s="1" t="str">
        <f t="shared" ref="AI1402:AI1408" si="906">"106"</f>
        <v>106</v>
      </c>
      <c r="AJ1402" s="1" t="str">
        <f t="shared" si="899"/>
        <v>WOMAN</v>
      </c>
      <c r="AK1402" s="1" t="str">
        <f t="shared" si="881"/>
        <v>PA</v>
      </c>
      <c r="AP1402" s="1" t="str">
        <f t="shared" si="882"/>
        <v>False</v>
      </c>
      <c r="AR1402" s="1" t="str">
        <f t="shared" si="904"/>
        <v>DYON</v>
      </c>
      <c r="AY1402" s="1" t="str">
        <f t="shared" si="884"/>
        <v>PF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 t="str">
        <f t="shared" si="905"/>
        <v>ION GOMMA TWILL CANVAS</v>
      </c>
      <c r="BF1402" s="1" t="str">
        <f t="shared" si="885"/>
        <v>Bonis SpA</v>
      </c>
    </row>
    <row r="1403" spans="2:58" x14ac:dyDescent="0.25">
      <c r="B1403" s="1">
        <v>2572</v>
      </c>
      <c r="C1403" s="1" t="str">
        <f t="shared" si="900"/>
        <v>DYON4190S7/C1</v>
      </c>
      <c r="E1403" s="1" t="str">
        <f>"40"</f>
        <v>40</v>
      </c>
      <c r="F1403" s="1" t="str">
        <f t="shared" si="872"/>
        <v>BONIS SPA</v>
      </c>
      <c r="G1403" s="1" t="str">
        <f t="shared" si="894"/>
        <v>STOCK SCAFFALE MP</v>
      </c>
      <c r="H1403" s="1" t="str">
        <f t="shared" si="901"/>
        <v>WHI</v>
      </c>
      <c r="K1403" s="1">
        <v>2</v>
      </c>
      <c r="L1403" s="1" t="str">
        <f t="shared" si="873"/>
        <v>01</v>
      </c>
      <c r="M1403" s="1" t="str">
        <f t="shared" si="902"/>
        <v>409</v>
      </c>
      <c r="N1403" s="1" t="str">
        <f t="shared" si="898"/>
        <v>018</v>
      </c>
      <c r="O1403" s="1" t="str">
        <f t="shared" si="874"/>
        <v>00</v>
      </c>
      <c r="P1403" s="1" t="str">
        <f t="shared" si="875"/>
        <v>S</v>
      </c>
      <c r="Q1403" s="1" t="str">
        <f t="shared" si="876"/>
        <v>P</v>
      </c>
      <c r="R1403" s="1" t="str">
        <f t="shared" si="877"/>
        <v>01</v>
      </c>
      <c r="S1403" s="1" t="str">
        <f t="shared" si="896"/>
        <v>04</v>
      </c>
      <c r="T1403" s="1" t="str">
        <f t="shared" si="878"/>
        <v>False</v>
      </c>
      <c r="U1403" s="1" t="str">
        <f t="shared" si="879"/>
        <v>True</v>
      </c>
      <c r="V1403" s="1" t="str">
        <f>"U0028285"</f>
        <v>U0028285</v>
      </c>
      <c r="W1403" s="1">
        <v>1</v>
      </c>
      <c r="Y1403" s="1">
        <v>0</v>
      </c>
      <c r="Z1403" s="1">
        <v>0</v>
      </c>
      <c r="AB1403" s="1" t="str">
        <f t="shared" si="903"/>
        <v>SMU</v>
      </c>
      <c r="AI1403" s="1" t="str">
        <f t="shared" si="906"/>
        <v>106</v>
      </c>
      <c r="AJ1403" s="1" t="str">
        <f t="shared" si="899"/>
        <v>WOMAN</v>
      </c>
      <c r="AK1403" s="1" t="str">
        <f t="shared" si="881"/>
        <v>PA</v>
      </c>
      <c r="AP1403" s="1" t="str">
        <f t="shared" si="882"/>
        <v>False</v>
      </c>
      <c r="AR1403" s="1" t="str">
        <f t="shared" si="904"/>
        <v>DYON</v>
      </c>
      <c r="AY1403" s="1" t="str">
        <f t="shared" si="884"/>
        <v>PF</v>
      </c>
      <c r="AZ1403" s="1">
        <v>0</v>
      </c>
      <c r="BA1403" s="1">
        <v>0</v>
      </c>
      <c r="BB1403" s="1">
        <v>0</v>
      </c>
      <c r="BC1403" s="1">
        <v>0</v>
      </c>
      <c r="BD1403" s="1">
        <v>0</v>
      </c>
      <c r="BE1403" s="1" t="str">
        <f t="shared" si="905"/>
        <v>ION GOMMA TWILL CANVAS</v>
      </c>
      <c r="BF1403" s="1" t="str">
        <f t="shared" si="885"/>
        <v>Bonis SpA</v>
      </c>
    </row>
    <row r="1404" spans="2:58" x14ac:dyDescent="0.25">
      <c r="B1404" s="1">
        <v>2572</v>
      </c>
      <c r="C1404" s="1" t="str">
        <f t="shared" si="900"/>
        <v>DYON4190S7/C1</v>
      </c>
      <c r="E1404" s="1" t="str">
        <f>"36"</f>
        <v>36</v>
      </c>
      <c r="F1404" s="1" t="str">
        <f t="shared" si="872"/>
        <v>BONIS SPA</v>
      </c>
      <c r="G1404" s="1" t="str">
        <f t="shared" si="894"/>
        <v>STOCK SCAFFALE MP</v>
      </c>
      <c r="H1404" s="1" t="str">
        <f t="shared" si="901"/>
        <v>WHI</v>
      </c>
      <c r="K1404" s="1">
        <v>1</v>
      </c>
      <c r="L1404" s="1" t="str">
        <f t="shared" si="873"/>
        <v>01</v>
      </c>
      <c r="M1404" s="1" t="str">
        <f t="shared" si="902"/>
        <v>409</v>
      </c>
      <c r="N1404" s="1" t="str">
        <f t="shared" si="898"/>
        <v>018</v>
      </c>
      <c r="O1404" s="1" t="str">
        <f t="shared" si="874"/>
        <v>00</v>
      </c>
      <c r="P1404" s="1" t="str">
        <f t="shared" si="875"/>
        <v>S</v>
      </c>
      <c r="Q1404" s="1" t="str">
        <f t="shared" si="876"/>
        <v>P</v>
      </c>
      <c r="R1404" s="1" t="str">
        <f t="shared" si="877"/>
        <v>01</v>
      </c>
      <c r="S1404" s="1" t="str">
        <f t="shared" si="896"/>
        <v>04</v>
      </c>
      <c r="T1404" s="1" t="str">
        <f t="shared" si="878"/>
        <v>False</v>
      </c>
      <c r="U1404" s="1" t="str">
        <f t="shared" si="879"/>
        <v>True</v>
      </c>
      <c r="V1404" s="1" t="str">
        <f>"U0028285"</f>
        <v>U0028285</v>
      </c>
      <c r="W1404" s="1">
        <v>1</v>
      </c>
      <c r="Y1404" s="1">
        <v>0</v>
      </c>
      <c r="Z1404" s="1">
        <v>0</v>
      </c>
      <c r="AB1404" s="1" t="str">
        <f t="shared" si="903"/>
        <v>SMU</v>
      </c>
      <c r="AI1404" s="1" t="str">
        <f t="shared" si="906"/>
        <v>106</v>
      </c>
      <c r="AJ1404" s="1" t="str">
        <f t="shared" si="899"/>
        <v>WOMAN</v>
      </c>
      <c r="AK1404" s="1" t="str">
        <f t="shared" si="881"/>
        <v>PA</v>
      </c>
      <c r="AP1404" s="1" t="str">
        <f t="shared" si="882"/>
        <v>False</v>
      </c>
      <c r="AR1404" s="1" t="str">
        <f t="shared" si="904"/>
        <v>DYON</v>
      </c>
      <c r="AY1404" s="1" t="str">
        <f t="shared" si="884"/>
        <v>PF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 t="str">
        <f t="shared" si="905"/>
        <v>ION GOMMA TWILL CANVAS</v>
      </c>
      <c r="BF1404" s="1" t="str">
        <f t="shared" si="885"/>
        <v>Bonis SpA</v>
      </c>
    </row>
    <row r="1405" spans="2:58" x14ac:dyDescent="0.25">
      <c r="B1405" s="1">
        <v>2572</v>
      </c>
      <c r="C1405" s="1" t="str">
        <f>"NOBIW4193S7/CH1"</f>
        <v>NOBIW4193S7/CH1</v>
      </c>
      <c r="E1405" s="1" t="str">
        <f>"40"</f>
        <v>40</v>
      </c>
      <c r="F1405" s="1" t="str">
        <f t="shared" si="872"/>
        <v>BONIS SPA</v>
      </c>
      <c r="G1405" s="1" t="str">
        <f t="shared" si="894"/>
        <v>STOCK SCAFFALE MP</v>
      </c>
      <c r="H1405" s="1" t="str">
        <f>"AVIO"</f>
        <v>AVIO</v>
      </c>
      <c r="K1405" s="1">
        <v>2</v>
      </c>
      <c r="L1405" s="1" t="str">
        <f t="shared" si="873"/>
        <v>01</v>
      </c>
      <c r="M1405" s="1" t="str">
        <f t="shared" si="902"/>
        <v>409</v>
      </c>
      <c r="N1405" s="1" t="str">
        <f t="shared" si="898"/>
        <v>018</v>
      </c>
      <c r="O1405" s="1" t="str">
        <f t="shared" si="874"/>
        <v>00</v>
      </c>
      <c r="P1405" s="1" t="str">
        <f t="shared" si="875"/>
        <v>S</v>
      </c>
      <c r="Q1405" s="1" t="str">
        <f t="shared" si="876"/>
        <v>P</v>
      </c>
      <c r="R1405" s="1" t="str">
        <f t="shared" si="877"/>
        <v>01</v>
      </c>
      <c r="S1405" s="1" t="str">
        <f t="shared" si="896"/>
        <v>04</v>
      </c>
      <c r="T1405" s="1" t="str">
        <f t="shared" si="878"/>
        <v>False</v>
      </c>
      <c r="U1405" s="1" t="str">
        <f t="shared" si="879"/>
        <v>True</v>
      </c>
      <c r="V1405" s="1" t="str">
        <f>"U0028367"</f>
        <v>U0028367</v>
      </c>
      <c r="W1405" s="1">
        <v>1</v>
      </c>
      <c r="Y1405" s="1">
        <v>0</v>
      </c>
      <c r="Z1405" s="1">
        <v>0</v>
      </c>
      <c r="AB1405" s="1" t="str">
        <f t="shared" si="903"/>
        <v>SMU</v>
      </c>
      <c r="AI1405" s="1" t="str">
        <f t="shared" si="906"/>
        <v>106</v>
      </c>
      <c r="AJ1405" s="1" t="str">
        <f t="shared" si="899"/>
        <v>WOMAN</v>
      </c>
      <c r="AK1405" s="1" t="str">
        <f t="shared" si="881"/>
        <v>PA</v>
      </c>
      <c r="AP1405" s="1" t="str">
        <f t="shared" si="882"/>
        <v>False</v>
      </c>
      <c r="AR1405" s="1" t="str">
        <f>"NOBIW"</f>
        <v>NOBIW</v>
      </c>
      <c r="AY1405" s="1" t="str">
        <f t="shared" si="884"/>
        <v>PF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 t="str">
        <f>"UBBER FLAT MOL.CANVAS+MICROSUE"</f>
        <v>UBBER FLAT MOL.CANVAS+MICROSUE</v>
      </c>
      <c r="BF1405" s="1" t="str">
        <f t="shared" si="885"/>
        <v>Bonis SpA</v>
      </c>
    </row>
    <row r="1406" spans="2:58" x14ac:dyDescent="0.25">
      <c r="B1406" s="1">
        <v>2572</v>
      </c>
      <c r="C1406" s="1" t="str">
        <f>"NOBIW4193S7/CH1"</f>
        <v>NOBIW4193S7/CH1</v>
      </c>
      <c r="E1406" s="1" t="str">
        <f>"39"</f>
        <v>39</v>
      </c>
      <c r="F1406" s="1" t="str">
        <f t="shared" si="872"/>
        <v>BONIS SPA</v>
      </c>
      <c r="G1406" s="1" t="str">
        <f t="shared" si="894"/>
        <v>STOCK SCAFFALE MP</v>
      </c>
      <c r="H1406" s="1" t="str">
        <f>"AVIO"</f>
        <v>AVIO</v>
      </c>
      <c r="K1406" s="1">
        <v>3</v>
      </c>
      <c r="L1406" s="1" t="str">
        <f t="shared" si="873"/>
        <v>01</v>
      </c>
      <c r="M1406" s="1" t="str">
        <f t="shared" si="902"/>
        <v>409</v>
      </c>
      <c r="N1406" s="1" t="str">
        <f t="shared" si="898"/>
        <v>018</v>
      </c>
      <c r="O1406" s="1" t="str">
        <f t="shared" si="874"/>
        <v>00</v>
      </c>
      <c r="P1406" s="1" t="str">
        <f t="shared" si="875"/>
        <v>S</v>
      </c>
      <c r="Q1406" s="1" t="str">
        <f t="shared" si="876"/>
        <v>P</v>
      </c>
      <c r="R1406" s="1" t="str">
        <f t="shared" si="877"/>
        <v>01</v>
      </c>
      <c r="S1406" s="1" t="str">
        <f t="shared" si="896"/>
        <v>04</v>
      </c>
      <c r="T1406" s="1" t="str">
        <f t="shared" si="878"/>
        <v>False</v>
      </c>
      <c r="U1406" s="1" t="str">
        <f t="shared" si="879"/>
        <v>True</v>
      </c>
      <c r="V1406" s="1" t="str">
        <f>"U0028284"</f>
        <v>U0028284</v>
      </c>
      <c r="W1406" s="1">
        <v>1</v>
      </c>
      <c r="Y1406" s="1">
        <v>0</v>
      </c>
      <c r="Z1406" s="1">
        <v>0</v>
      </c>
      <c r="AB1406" s="1" t="str">
        <f t="shared" si="903"/>
        <v>SMU</v>
      </c>
      <c r="AI1406" s="1" t="str">
        <f t="shared" si="906"/>
        <v>106</v>
      </c>
      <c r="AJ1406" s="1" t="str">
        <f t="shared" si="899"/>
        <v>WOMAN</v>
      </c>
      <c r="AK1406" s="1" t="str">
        <f t="shared" si="881"/>
        <v>PA</v>
      </c>
      <c r="AP1406" s="1" t="str">
        <f t="shared" si="882"/>
        <v>False</v>
      </c>
      <c r="AR1406" s="1" t="str">
        <f>"NOBIW"</f>
        <v>NOBIW</v>
      </c>
      <c r="AY1406" s="1" t="str">
        <f t="shared" si="884"/>
        <v>PF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 t="str">
        <f>"UBBER FLAT MOL.CANVAS+MICROSUE"</f>
        <v>UBBER FLAT MOL.CANVAS+MICROSUE</v>
      </c>
      <c r="BF1406" s="1" t="str">
        <f t="shared" si="885"/>
        <v>Bonis SpA</v>
      </c>
    </row>
    <row r="1407" spans="2:58" x14ac:dyDescent="0.25">
      <c r="B1407" s="1">
        <v>2572</v>
      </c>
      <c r="C1407" s="1" t="str">
        <f>"NOBIW4193S7/CH1"</f>
        <v>NOBIW4193S7/CH1</v>
      </c>
      <c r="E1407" s="1" t="str">
        <f>"37"</f>
        <v>37</v>
      </c>
      <c r="F1407" s="1" t="str">
        <f t="shared" si="872"/>
        <v>BONIS SPA</v>
      </c>
      <c r="G1407" s="1" t="str">
        <f t="shared" si="894"/>
        <v>STOCK SCAFFALE MP</v>
      </c>
      <c r="H1407" s="1" t="str">
        <f>"AVIO"</f>
        <v>AVIO</v>
      </c>
      <c r="K1407" s="1">
        <v>1</v>
      </c>
      <c r="L1407" s="1" t="str">
        <f t="shared" si="873"/>
        <v>01</v>
      </c>
      <c r="M1407" s="1" t="str">
        <f t="shared" si="902"/>
        <v>409</v>
      </c>
      <c r="N1407" s="1" t="str">
        <f t="shared" si="898"/>
        <v>018</v>
      </c>
      <c r="O1407" s="1" t="str">
        <f t="shared" si="874"/>
        <v>00</v>
      </c>
      <c r="P1407" s="1" t="str">
        <f t="shared" si="875"/>
        <v>S</v>
      </c>
      <c r="Q1407" s="1" t="str">
        <f t="shared" si="876"/>
        <v>P</v>
      </c>
      <c r="R1407" s="1" t="str">
        <f t="shared" si="877"/>
        <v>01</v>
      </c>
      <c r="S1407" s="1" t="str">
        <f t="shared" si="896"/>
        <v>04</v>
      </c>
      <c r="T1407" s="1" t="str">
        <f t="shared" si="878"/>
        <v>False</v>
      </c>
      <c r="U1407" s="1" t="str">
        <f t="shared" si="879"/>
        <v>True</v>
      </c>
      <c r="V1407" s="1" t="str">
        <f t="shared" ref="V1407:V1412" si="907">"U0028367"</f>
        <v>U0028367</v>
      </c>
      <c r="W1407" s="1">
        <v>1</v>
      </c>
      <c r="Y1407" s="1">
        <v>0</v>
      </c>
      <c r="Z1407" s="1">
        <v>0</v>
      </c>
      <c r="AB1407" s="1" t="str">
        <f t="shared" si="903"/>
        <v>SMU</v>
      </c>
      <c r="AI1407" s="1" t="str">
        <f t="shared" si="906"/>
        <v>106</v>
      </c>
      <c r="AJ1407" s="1" t="str">
        <f t="shared" si="899"/>
        <v>WOMAN</v>
      </c>
      <c r="AK1407" s="1" t="str">
        <f t="shared" si="881"/>
        <v>PA</v>
      </c>
      <c r="AP1407" s="1" t="str">
        <f t="shared" si="882"/>
        <v>False</v>
      </c>
      <c r="AR1407" s="1" t="str">
        <f>"NOBIW"</f>
        <v>NOBIW</v>
      </c>
      <c r="AY1407" s="1" t="str">
        <f t="shared" si="884"/>
        <v>PF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 t="str">
        <f>"UBBER FLAT MOL.CANVAS+MICROSUE"</f>
        <v>UBBER FLAT MOL.CANVAS+MICROSUE</v>
      </c>
      <c r="BF1407" s="1" t="str">
        <f t="shared" si="885"/>
        <v>Bonis SpA</v>
      </c>
    </row>
    <row r="1408" spans="2:58" x14ac:dyDescent="0.25">
      <c r="B1408" s="1">
        <v>2572</v>
      </c>
      <c r="C1408" s="1" t="str">
        <f>"NOBIW4193S7/CH1"</f>
        <v>NOBIW4193S7/CH1</v>
      </c>
      <c r="E1408" s="1" t="str">
        <f>"38"</f>
        <v>38</v>
      </c>
      <c r="F1408" s="1" t="str">
        <f t="shared" si="872"/>
        <v>BONIS SPA</v>
      </c>
      <c r="G1408" s="1" t="str">
        <f t="shared" si="894"/>
        <v>STOCK SCAFFALE MP</v>
      </c>
      <c r="H1408" s="1" t="str">
        <f>"AVIO"</f>
        <v>AVIO</v>
      </c>
      <c r="K1408" s="1">
        <v>2</v>
      </c>
      <c r="L1408" s="1" t="str">
        <f t="shared" si="873"/>
        <v>01</v>
      </c>
      <c r="M1408" s="1" t="str">
        <f t="shared" si="902"/>
        <v>409</v>
      </c>
      <c r="N1408" s="1" t="str">
        <f t="shared" si="898"/>
        <v>018</v>
      </c>
      <c r="O1408" s="1" t="str">
        <f t="shared" si="874"/>
        <v>00</v>
      </c>
      <c r="P1408" s="1" t="str">
        <f t="shared" si="875"/>
        <v>S</v>
      </c>
      <c r="Q1408" s="1" t="str">
        <f t="shared" si="876"/>
        <v>P</v>
      </c>
      <c r="R1408" s="1" t="str">
        <f t="shared" si="877"/>
        <v>01</v>
      </c>
      <c r="S1408" s="1" t="str">
        <f t="shared" si="896"/>
        <v>04</v>
      </c>
      <c r="T1408" s="1" t="str">
        <f t="shared" si="878"/>
        <v>False</v>
      </c>
      <c r="U1408" s="1" t="str">
        <f t="shared" si="879"/>
        <v>True</v>
      </c>
      <c r="V1408" s="1" t="str">
        <f t="shared" si="907"/>
        <v>U0028367</v>
      </c>
      <c r="W1408" s="1">
        <v>1</v>
      </c>
      <c r="Y1408" s="1">
        <v>0</v>
      </c>
      <c r="Z1408" s="1">
        <v>0</v>
      </c>
      <c r="AB1408" s="1" t="str">
        <f t="shared" si="903"/>
        <v>SMU</v>
      </c>
      <c r="AI1408" s="1" t="str">
        <f t="shared" si="906"/>
        <v>106</v>
      </c>
      <c r="AJ1408" s="1" t="str">
        <f t="shared" si="899"/>
        <v>WOMAN</v>
      </c>
      <c r="AK1408" s="1" t="str">
        <f t="shared" si="881"/>
        <v>PA</v>
      </c>
      <c r="AP1408" s="1" t="str">
        <f t="shared" si="882"/>
        <v>False</v>
      </c>
      <c r="AR1408" s="1" t="str">
        <f>"NOBIW"</f>
        <v>NOBIW</v>
      </c>
      <c r="AY1408" s="1" t="str">
        <f t="shared" si="884"/>
        <v>PF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 t="str">
        <f>"UBBER FLAT MOL.CANVAS+MICROSUE"</f>
        <v>UBBER FLAT MOL.CANVAS+MICROSUE</v>
      </c>
      <c r="BF1408" s="1" t="str">
        <f t="shared" si="885"/>
        <v>Bonis SpA</v>
      </c>
    </row>
    <row r="1409" spans="2:58" x14ac:dyDescent="0.25">
      <c r="B1409" s="1">
        <v>2572</v>
      </c>
      <c r="C1409" s="1" t="str">
        <f>"NOBIL4192S7/CH1"</f>
        <v>NOBIL4192S7/CH1</v>
      </c>
      <c r="E1409" s="1" t="str">
        <f>"41"</f>
        <v>41</v>
      </c>
      <c r="F1409" s="1" t="str">
        <f t="shared" si="872"/>
        <v>BONIS SPA</v>
      </c>
      <c r="G1409" s="1" t="str">
        <f t="shared" si="894"/>
        <v>STOCK SCAFFALE MP</v>
      </c>
      <c r="H1409" s="1" t="str">
        <f>"AVIO"</f>
        <v>AVIO</v>
      </c>
      <c r="K1409" s="1">
        <v>2</v>
      </c>
      <c r="L1409" s="1" t="str">
        <f t="shared" si="873"/>
        <v>01</v>
      </c>
      <c r="M1409" s="1" t="str">
        <f t="shared" si="902"/>
        <v>409</v>
      </c>
      <c r="N1409" s="1" t="str">
        <f t="shared" si="898"/>
        <v>018</v>
      </c>
      <c r="O1409" s="1" t="str">
        <f t="shared" si="874"/>
        <v>00</v>
      </c>
      <c r="P1409" s="1" t="str">
        <f t="shared" si="875"/>
        <v>S</v>
      </c>
      <c r="Q1409" s="1" t="str">
        <f t="shared" si="876"/>
        <v>P</v>
      </c>
      <c r="R1409" s="1" t="str">
        <f t="shared" si="877"/>
        <v>01</v>
      </c>
      <c r="S1409" s="1" t="str">
        <f t="shared" si="896"/>
        <v>04</v>
      </c>
      <c r="T1409" s="1" t="str">
        <f t="shared" si="878"/>
        <v>False</v>
      </c>
      <c r="U1409" s="1" t="str">
        <f t="shared" si="879"/>
        <v>True</v>
      </c>
      <c r="V1409" s="1" t="str">
        <f t="shared" si="907"/>
        <v>U0028367</v>
      </c>
      <c r="W1409" s="1">
        <v>1</v>
      </c>
      <c r="Y1409" s="1">
        <v>0</v>
      </c>
      <c r="Z1409" s="1">
        <v>0</v>
      </c>
      <c r="AB1409" s="1" t="str">
        <f t="shared" si="903"/>
        <v>SMU</v>
      </c>
      <c r="AI1409" s="1" t="str">
        <f>"F11"</f>
        <v>F11</v>
      </c>
      <c r="AJ1409" s="1" t="str">
        <f>"MAN"</f>
        <v>MAN</v>
      </c>
      <c r="AK1409" s="1" t="str">
        <f t="shared" si="881"/>
        <v>PA</v>
      </c>
      <c r="AP1409" s="1" t="str">
        <f t="shared" si="882"/>
        <v>False</v>
      </c>
      <c r="AR1409" s="1" t="str">
        <f>"NOBIL"</f>
        <v>NOBIL</v>
      </c>
      <c r="AY1409" s="1" t="str">
        <f t="shared" si="884"/>
        <v>PF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 t="str">
        <f>"BBER FLAT MOL.TW CANVAS+MICROS"</f>
        <v>BBER FLAT MOL.TW CANVAS+MICROS</v>
      </c>
      <c r="BF1409" s="1" t="str">
        <f t="shared" si="885"/>
        <v>Bonis SpA</v>
      </c>
    </row>
    <row r="1410" spans="2:58" x14ac:dyDescent="0.25">
      <c r="B1410" s="1">
        <v>2572</v>
      </c>
      <c r="C1410" s="1" t="str">
        <f>"NOBIL4192S7/CH1"</f>
        <v>NOBIL4192S7/CH1</v>
      </c>
      <c r="E1410" s="1" t="str">
        <f>"41"</f>
        <v>41</v>
      </c>
      <c r="F1410" s="1" t="str">
        <f t="shared" ref="F1410:F1473" si="908">"BONIS SPA"</f>
        <v>BONIS SPA</v>
      </c>
      <c r="G1410" s="1" t="str">
        <f t="shared" si="894"/>
        <v>STOCK SCAFFALE MP</v>
      </c>
      <c r="H1410" s="1" t="str">
        <f>"DKBL"</f>
        <v>DKBL</v>
      </c>
      <c r="K1410" s="1">
        <v>2</v>
      </c>
      <c r="L1410" s="1" t="str">
        <f t="shared" ref="L1410:L1473" si="909">"01"</f>
        <v>01</v>
      </c>
      <c r="M1410" s="1" t="str">
        <f t="shared" si="902"/>
        <v>409</v>
      </c>
      <c r="N1410" s="1" t="str">
        <f t="shared" si="898"/>
        <v>018</v>
      </c>
      <c r="O1410" s="1" t="str">
        <f t="shared" ref="O1410:O1473" si="910">"00"</f>
        <v>00</v>
      </c>
      <c r="P1410" s="1" t="str">
        <f t="shared" ref="P1410:P1473" si="911">"S"</f>
        <v>S</v>
      </c>
      <c r="Q1410" s="1" t="str">
        <f t="shared" ref="Q1410:Q1473" si="912">"P"</f>
        <v>P</v>
      </c>
      <c r="R1410" s="1" t="str">
        <f t="shared" ref="R1410:R1473" si="913">"01"</f>
        <v>01</v>
      </c>
      <c r="S1410" s="1" t="str">
        <f t="shared" si="896"/>
        <v>04</v>
      </c>
      <c r="T1410" s="1" t="str">
        <f t="shared" ref="T1410:T1473" si="914">"False"</f>
        <v>False</v>
      </c>
      <c r="U1410" s="1" t="str">
        <f t="shared" ref="U1410:U1473" si="915">"True"</f>
        <v>True</v>
      </c>
      <c r="V1410" s="1" t="str">
        <f t="shared" si="907"/>
        <v>U0028367</v>
      </c>
      <c r="W1410" s="1">
        <v>1</v>
      </c>
      <c r="Y1410" s="1">
        <v>0</v>
      </c>
      <c r="Z1410" s="1">
        <v>0</v>
      </c>
      <c r="AB1410" s="1" t="str">
        <f t="shared" si="903"/>
        <v>SMU</v>
      </c>
      <c r="AI1410" s="1" t="str">
        <f t="shared" ref="AI1410:AI1415" si="916">"106"</f>
        <v>106</v>
      </c>
      <c r="AJ1410" s="1" t="str">
        <f>"MAN"</f>
        <v>MAN</v>
      </c>
      <c r="AK1410" s="1" t="str">
        <f t="shared" ref="AK1410:AK1473" si="917">"PA"</f>
        <v>PA</v>
      </c>
      <c r="AP1410" s="1" t="str">
        <f t="shared" ref="AP1410:AP1473" si="918">"False"</f>
        <v>False</v>
      </c>
      <c r="AR1410" s="1" t="str">
        <f>"NOBIL"</f>
        <v>NOBIL</v>
      </c>
      <c r="AY1410" s="1" t="str">
        <f t="shared" ref="AY1410:AY1473" si="919">"PF"</f>
        <v>PF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 t="str">
        <f>"BBER FLAT MOL.TW CANVAS+MICROS"</f>
        <v>BBER FLAT MOL.TW CANVAS+MICROS</v>
      </c>
      <c r="BF1410" s="1" t="str">
        <f t="shared" ref="BF1410:BF1473" si="920">"Bonis SpA"</f>
        <v>Bonis SpA</v>
      </c>
    </row>
    <row r="1411" spans="2:58" x14ac:dyDescent="0.25">
      <c r="B1411" s="1">
        <v>2572</v>
      </c>
      <c r="C1411" s="1" t="str">
        <f>"NOBIL4192S7/CH1"</f>
        <v>NOBIL4192S7/CH1</v>
      </c>
      <c r="E1411" s="1" t="str">
        <f>"42"</f>
        <v>42</v>
      </c>
      <c r="F1411" s="1" t="str">
        <f t="shared" si="908"/>
        <v>BONIS SPA</v>
      </c>
      <c r="G1411" s="1" t="str">
        <f t="shared" si="894"/>
        <v>STOCK SCAFFALE MP</v>
      </c>
      <c r="H1411" s="1" t="str">
        <f>"DKBL"</f>
        <v>DKBL</v>
      </c>
      <c r="K1411" s="1">
        <v>1</v>
      </c>
      <c r="L1411" s="1" t="str">
        <f t="shared" si="909"/>
        <v>01</v>
      </c>
      <c r="M1411" s="1" t="str">
        <f t="shared" si="902"/>
        <v>409</v>
      </c>
      <c r="N1411" s="1" t="str">
        <f t="shared" si="898"/>
        <v>018</v>
      </c>
      <c r="O1411" s="1" t="str">
        <f t="shared" si="910"/>
        <v>00</v>
      </c>
      <c r="P1411" s="1" t="str">
        <f t="shared" si="911"/>
        <v>S</v>
      </c>
      <c r="Q1411" s="1" t="str">
        <f t="shared" si="912"/>
        <v>P</v>
      </c>
      <c r="R1411" s="1" t="str">
        <f t="shared" si="913"/>
        <v>01</v>
      </c>
      <c r="S1411" s="1" t="str">
        <f t="shared" si="896"/>
        <v>04</v>
      </c>
      <c r="T1411" s="1" t="str">
        <f t="shared" si="914"/>
        <v>False</v>
      </c>
      <c r="U1411" s="1" t="str">
        <f t="shared" si="915"/>
        <v>True</v>
      </c>
      <c r="V1411" s="1" t="str">
        <f t="shared" si="907"/>
        <v>U0028367</v>
      </c>
      <c r="W1411" s="1">
        <v>1</v>
      </c>
      <c r="Y1411" s="1">
        <v>0</v>
      </c>
      <c r="Z1411" s="1">
        <v>0</v>
      </c>
      <c r="AB1411" s="1" t="str">
        <f t="shared" si="903"/>
        <v>SMU</v>
      </c>
      <c r="AI1411" s="1" t="str">
        <f t="shared" si="916"/>
        <v>106</v>
      </c>
      <c r="AJ1411" s="1" t="str">
        <f>"MAN"</f>
        <v>MAN</v>
      </c>
      <c r="AK1411" s="1" t="str">
        <f t="shared" si="917"/>
        <v>PA</v>
      </c>
      <c r="AP1411" s="1" t="str">
        <f t="shared" si="918"/>
        <v>False</v>
      </c>
      <c r="AR1411" s="1" t="str">
        <f>"NOBIL"</f>
        <v>NOBIL</v>
      </c>
      <c r="AY1411" s="1" t="str">
        <f t="shared" si="919"/>
        <v>PF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 t="str">
        <f>"BBER FLAT MOL.TW CANVAS+MICROS"</f>
        <v>BBER FLAT MOL.TW CANVAS+MICROS</v>
      </c>
      <c r="BF1411" s="1" t="str">
        <f t="shared" si="920"/>
        <v>Bonis SpA</v>
      </c>
    </row>
    <row r="1412" spans="2:58" x14ac:dyDescent="0.25">
      <c r="B1412" s="1">
        <v>2572</v>
      </c>
      <c r="C1412" s="1" t="str">
        <f>"NOBIL4192S7/CH1"</f>
        <v>NOBIL4192S7/CH1</v>
      </c>
      <c r="E1412" s="1" t="str">
        <f>"40"</f>
        <v>40</v>
      </c>
      <c r="F1412" s="1" t="str">
        <f t="shared" si="908"/>
        <v>BONIS SPA</v>
      </c>
      <c r="G1412" s="1" t="str">
        <f t="shared" si="894"/>
        <v>STOCK SCAFFALE MP</v>
      </c>
      <c r="H1412" s="1" t="str">
        <f>"DKBL"</f>
        <v>DKBL</v>
      </c>
      <c r="K1412" s="1">
        <v>2</v>
      </c>
      <c r="L1412" s="1" t="str">
        <f t="shared" si="909"/>
        <v>01</v>
      </c>
      <c r="M1412" s="1" t="str">
        <f t="shared" si="902"/>
        <v>409</v>
      </c>
      <c r="N1412" s="1" t="str">
        <f t="shared" si="898"/>
        <v>018</v>
      </c>
      <c r="O1412" s="1" t="str">
        <f t="shared" si="910"/>
        <v>00</v>
      </c>
      <c r="P1412" s="1" t="str">
        <f t="shared" si="911"/>
        <v>S</v>
      </c>
      <c r="Q1412" s="1" t="str">
        <f t="shared" si="912"/>
        <v>P</v>
      </c>
      <c r="R1412" s="1" t="str">
        <f t="shared" si="913"/>
        <v>01</v>
      </c>
      <c r="S1412" s="1" t="str">
        <f t="shared" si="896"/>
        <v>04</v>
      </c>
      <c r="T1412" s="1" t="str">
        <f t="shared" si="914"/>
        <v>False</v>
      </c>
      <c r="U1412" s="1" t="str">
        <f t="shared" si="915"/>
        <v>True</v>
      </c>
      <c r="V1412" s="1" t="str">
        <f t="shared" si="907"/>
        <v>U0028367</v>
      </c>
      <c r="W1412" s="1">
        <v>1</v>
      </c>
      <c r="Y1412" s="1">
        <v>0</v>
      </c>
      <c r="Z1412" s="1">
        <v>0</v>
      </c>
      <c r="AB1412" s="1" t="str">
        <f t="shared" si="903"/>
        <v>SMU</v>
      </c>
      <c r="AI1412" s="1" t="str">
        <f t="shared" si="916"/>
        <v>106</v>
      </c>
      <c r="AJ1412" s="1" t="str">
        <f>"MAN"</f>
        <v>MAN</v>
      </c>
      <c r="AK1412" s="1" t="str">
        <f t="shared" si="917"/>
        <v>PA</v>
      </c>
      <c r="AP1412" s="1" t="str">
        <f t="shared" si="918"/>
        <v>False</v>
      </c>
      <c r="AR1412" s="1" t="str">
        <f>"NOBIL"</f>
        <v>NOBIL</v>
      </c>
      <c r="AY1412" s="1" t="str">
        <f t="shared" si="919"/>
        <v>PF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 t="str">
        <f>"BBER FLAT MOL.TW CANVAS+MICROS"</f>
        <v>BBER FLAT MOL.TW CANVAS+MICROS</v>
      </c>
      <c r="BF1412" s="1" t="str">
        <f t="shared" si="920"/>
        <v>Bonis SpA</v>
      </c>
    </row>
    <row r="1413" spans="2:58" x14ac:dyDescent="0.25">
      <c r="B1413" s="1">
        <v>2572</v>
      </c>
      <c r="C1413" s="1" t="str">
        <f>"DYON4191S7/C1"</f>
        <v>DYON4191S7/C1</v>
      </c>
      <c r="E1413" s="1" t="str">
        <f>"40"</f>
        <v>40</v>
      </c>
      <c r="F1413" s="1" t="str">
        <f t="shared" si="908"/>
        <v>BONIS SPA</v>
      </c>
      <c r="G1413" s="1" t="str">
        <f t="shared" si="894"/>
        <v>STOCK SCAFFALE MP</v>
      </c>
      <c r="H1413" s="1" t="str">
        <f>"WHI"</f>
        <v>WHI</v>
      </c>
      <c r="K1413" s="1">
        <v>1</v>
      </c>
      <c r="L1413" s="1" t="str">
        <f t="shared" si="909"/>
        <v>01</v>
      </c>
      <c r="M1413" s="1" t="str">
        <f t="shared" si="902"/>
        <v>409</v>
      </c>
      <c r="N1413" s="1" t="str">
        <f t="shared" si="898"/>
        <v>018</v>
      </c>
      <c r="O1413" s="1" t="str">
        <f t="shared" si="910"/>
        <v>00</v>
      </c>
      <c r="P1413" s="1" t="str">
        <f t="shared" si="911"/>
        <v>S</v>
      </c>
      <c r="Q1413" s="1" t="str">
        <f t="shared" si="912"/>
        <v>P</v>
      </c>
      <c r="R1413" s="1" t="str">
        <f t="shared" si="913"/>
        <v>01</v>
      </c>
      <c r="S1413" s="1" t="str">
        <f t="shared" si="896"/>
        <v>04</v>
      </c>
      <c r="T1413" s="1" t="str">
        <f t="shared" si="914"/>
        <v>False</v>
      </c>
      <c r="U1413" s="1" t="str">
        <f t="shared" si="915"/>
        <v>True</v>
      </c>
      <c r="V1413" s="1" t="str">
        <f>"U0028288"</f>
        <v>U0028288</v>
      </c>
      <c r="W1413" s="1">
        <v>1</v>
      </c>
      <c r="Y1413" s="1">
        <v>0</v>
      </c>
      <c r="Z1413" s="1">
        <v>0</v>
      </c>
      <c r="AB1413" s="1" t="str">
        <f t="shared" si="903"/>
        <v>SMU</v>
      </c>
      <c r="AI1413" s="1" t="str">
        <f t="shared" si="916"/>
        <v>106</v>
      </c>
      <c r="AJ1413" s="1" t="str">
        <f>"WOMAN"</f>
        <v>WOMAN</v>
      </c>
      <c r="AK1413" s="1" t="str">
        <f t="shared" si="917"/>
        <v>PA</v>
      </c>
      <c r="AP1413" s="1" t="str">
        <f t="shared" si="918"/>
        <v>False</v>
      </c>
      <c r="AR1413" s="1" t="str">
        <f>"DYON"</f>
        <v>DYON</v>
      </c>
      <c r="AY1413" s="1" t="str">
        <f t="shared" si="919"/>
        <v>PF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 t="str">
        <f>"YON GOMMA TWILL CANVAS"</f>
        <v>YON GOMMA TWILL CANVAS</v>
      </c>
      <c r="BF1413" s="1" t="str">
        <f t="shared" si="920"/>
        <v>Bonis SpA</v>
      </c>
    </row>
    <row r="1414" spans="2:58" x14ac:dyDescent="0.25">
      <c r="B1414" s="1">
        <v>2572</v>
      </c>
      <c r="C1414" s="1" t="str">
        <f>"DYON4191S7/C1"</f>
        <v>DYON4191S7/C1</v>
      </c>
      <c r="E1414" s="1" t="str">
        <f>"40"</f>
        <v>40</v>
      </c>
      <c r="F1414" s="1" t="str">
        <f t="shared" si="908"/>
        <v>BONIS SPA</v>
      </c>
      <c r="G1414" s="1" t="str">
        <f t="shared" si="894"/>
        <v>STOCK SCAFFALE MP</v>
      </c>
      <c r="H1414" s="1" t="str">
        <f>"WHI"</f>
        <v>WHI</v>
      </c>
      <c r="K1414" s="1">
        <v>1</v>
      </c>
      <c r="L1414" s="1" t="str">
        <f t="shared" si="909"/>
        <v>01</v>
      </c>
      <c r="M1414" s="1" t="str">
        <f t="shared" si="902"/>
        <v>409</v>
      </c>
      <c r="N1414" s="1" t="str">
        <f t="shared" si="898"/>
        <v>018</v>
      </c>
      <c r="O1414" s="1" t="str">
        <f t="shared" si="910"/>
        <v>00</v>
      </c>
      <c r="P1414" s="1" t="str">
        <f t="shared" si="911"/>
        <v>S</v>
      </c>
      <c r="Q1414" s="1" t="str">
        <f t="shared" si="912"/>
        <v>P</v>
      </c>
      <c r="R1414" s="1" t="str">
        <f t="shared" si="913"/>
        <v>01</v>
      </c>
      <c r="S1414" s="1" t="str">
        <f t="shared" si="896"/>
        <v>04</v>
      </c>
      <c r="T1414" s="1" t="str">
        <f t="shared" si="914"/>
        <v>False</v>
      </c>
      <c r="U1414" s="1" t="str">
        <f t="shared" si="915"/>
        <v>True</v>
      </c>
      <c r="V1414" s="1" t="str">
        <f>"U0028362"</f>
        <v>U0028362</v>
      </c>
      <c r="W1414" s="1">
        <v>1</v>
      </c>
      <c r="Y1414" s="1">
        <v>0</v>
      </c>
      <c r="Z1414" s="1">
        <v>0</v>
      </c>
      <c r="AB1414" s="1" t="str">
        <f t="shared" si="903"/>
        <v>SMU</v>
      </c>
      <c r="AI1414" s="1" t="str">
        <f t="shared" si="916"/>
        <v>106</v>
      </c>
      <c r="AJ1414" s="1" t="str">
        <f>"WOMAN"</f>
        <v>WOMAN</v>
      </c>
      <c r="AK1414" s="1" t="str">
        <f t="shared" si="917"/>
        <v>PA</v>
      </c>
      <c r="AP1414" s="1" t="str">
        <f t="shared" si="918"/>
        <v>False</v>
      </c>
      <c r="AR1414" s="1" t="str">
        <f>"DYON"</f>
        <v>DYON</v>
      </c>
      <c r="AY1414" s="1" t="str">
        <f t="shared" si="919"/>
        <v>PF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 t="str">
        <f>"YON GOMMA TWILL CANVAS"</f>
        <v>YON GOMMA TWILL CANVAS</v>
      </c>
      <c r="BF1414" s="1" t="str">
        <f t="shared" si="920"/>
        <v>Bonis SpA</v>
      </c>
    </row>
    <row r="1415" spans="2:58" x14ac:dyDescent="0.25">
      <c r="B1415" s="1">
        <v>2572</v>
      </c>
      <c r="C1415" s="1" t="str">
        <f>"DYON4191S7/C1"</f>
        <v>DYON4191S7/C1</v>
      </c>
      <c r="E1415" s="1" t="str">
        <f>"39"</f>
        <v>39</v>
      </c>
      <c r="F1415" s="1" t="str">
        <f t="shared" si="908"/>
        <v>BONIS SPA</v>
      </c>
      <c r="G1415" s="1" t="str">
        <f t="shared" si="894"/>
        <v>STOCK SCAFFALE MP</v>
      </c>
      <c r="H1415" s="1" t="str">
        <f>"WHI"</f>
        <v>WHI</v>
      </c>
      <c r="K1415" s="1">
        <v>1</v>
      </c>
      <c r="L1415" s="1" t="str">
        <f t="shared" si="909"/>
        <v>01</v>
      </c>
      <c r="M1415" s="1" t="str">
        <f t="shared" si="902"/>
        <v>409</v>
      </c>
      <c r="N1415" s="1" t="str">
        <f t="shared" si="898"/>
        <v>018</v>
      </c>
      <c r="O1415" s="1" t="str">
        <f t="shared" si="910"/>
        <v>00</v>
      </c>
      <c r="P1415" s="1" t="str">
        <f t="shared" si="911"/>
        <v>S</v>
      </c>
      <c r="Q1415" s="1" t="str">
        <f t="shared" si="912"/>
        <v>P</v>
      </c>
      <c r="R1415" s="1" t="str">
        <f t="shared" si="913"/>
        <v>01</v>
      </c>
      <c r="S1415" s="1" t="str">
        <f t="shared" si="896"/>
        <v>04</v>
      </c>
      <c r="T1415" s="1" t="str">
        <f t="shared" si="914"/>
        <v>False</v>
      </c>
      <c r="U1415" s="1" t="str">
        <f t="shared" si="915"/>
        <v>True</v>
      </c>
      <c r="V1415" s="1" t="str">
        <f>"U0028362"</f>
        <v>U0028362</v>
      </c>
      <c r="W1415" s="1">
        <v>1</v>
      </c>
      <c r="Y1415" s="1">
        <v>0</v>
      </c>
      <c r="Z1415" s="1">
        <v>0</v>
      </c>
      <c r="AB1415" s="1" t="str">
        <f t="shared" si="903"/>
        <v>SMU</v>
      </c>
      <c r="AI1415" s="1" t="str">
        <f t="shared" si="916"/>
        <v>106</v>
      </c>
      <c r="AJ1415" s="1" t="str">
        <f>"WOMAN"</f>
        <v>WOMAN</v>
      </c>
      <c r="AK1415" s="1" t="str">
        <f t="shared" si="917"/>
        <v>PA</v>
      </c>
      <c r="AP1415" s="1" t="str">
        <f t="shared" si="918"/>
        <v>False</v>
      </c>
      <c r="AR1415" s="1" t="str">
        <f>"DYON"</f>
        <v>DYON</v>
      </c>
      <c r="AY1415" s="1" t="str">
        <f t="shared" si="919"/>
        <v>PF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 t="str">
        <f>"YON GOMMA TWILL CANVAS"</f>
        <v>YON GOMMA TWILL CANVAS</v>
      </c>
      <c r="BF1415" s="1" t="str">
        <f t="shared" si="920"/>
        <v>Bonis SpA</v>
      </c>
    </row>
    <row r="1416" spans="2:58" x14ac:dyDescent="0.25">
      <c r="B1416" s="1">
        <v>2566</v>
      </c>
      <c r="C1416" s="1" t="str">
        <f t="shared" ref="C1416:C1421" si="921">"GALAN4182S7/CY1"</f>
        <v>GALAN4182S7/CY1</v>
      </c>
      <c r="E1416" s="1" t="str">
        <f>"45"</f>
        <v>45</v>
      </c>
      <c r="F1416" s="1" t="str">
        <f t="shared" si="908"/>
        <v>BONIS SPA</v>
      </c>
      <c r="G1416" s="1" t="str">
        <f t="shared" si="894"/>
        <v>STOCK SCAFFALE MP</v>
      </c>
      <c r="H1416" s="1" t="str">
        <f t="shared" ref="H1416:H1421" si="922">"BEI"</f>
        <v>BEI</v>
      </c>
      <c r="K1416" s="1">
        <v>1</v>
      </c>
      <c r="L1416" s="1" t="str">
        <f t="shared" si="909"/>
        <v>01</v>
      </c>
      <c r="M1416" s="1" t="str">
        <f t="shared" si="902"/>
        <v>409</v>
      </c>
      <c r="N1416" s="1" t="str">
        <f t="shared" ref="N1416:N1447" si="923">"016"</f>
        <v>016</v>
      </c>
      <c r="O1416" s="1" t="str">
        <f t="shared" si="910"/>
        <v>00</v>
      </c>
      <c r="P1416" s="1" t="str">
        <f t="shared" si="911"/>
        <v>S</v>
      </c>
      <c r="Q1416" s="1" t="str">
        <f t="shared" si="912"/>
        <v>P</v>
      </c>
      <c r="R1416" s="1" t="str">
        <f t="shared" si="913"/>
        <v>01</v>
      </c>
      <c r="S1416" s="1" t="str">
        <f t="shared" si="896"/>
        <v>04</v>
      </c>
      <c r="T1416" s="1" t="str">
        <f t="shared" si="914"/>
        <v>False</v>
      </c>
      <c r="U1416" s="1" t="str">
        <f t="shared" si="915"/>
        <v>True</v>
      </c>
      <c r="V1416" s="1" t="str">
        <f t="shared" ref="V1416:V1421" si="924">"U0028379"</f>
        <v>U0028379</v>
      </c>
      <c r="W1416" s="1">
        <v>1</v>
      </c>
      <c r="Y1416" s="1">
        <v>0</v>
      </c>
      <c r="Z1416" s="1">
        <v>0</v>
      </c>
      <c r="AB1416" s="1" t="str">
        <f t="shared" si="903"/>
        <v>SMU</v>
      </c>
      <c r="AI1416" s="1" t="str">
        <f t="shared" ref="AI1416:AI1421" si="925">"F11"</f>
        <v>F11</v>
      </c>
      <c r="AJ1416" s="1" t="str">
        <f t="shared" ref="AJ1416:AJ1421" si="926">"MAN"</f>
        <v>MAN</v>
      </c>
      <c r="AK1416" s="1" t="str">
        <f t="shared" si="917"/>
        <v>PA</v>
      </c>
      <c r="AP1416" s="1" t="str">
        <f t="shared" si="918"/>
        <v>False</v>
      </c>
      <c r="AR1416" s="1" t="str">
        <f t="shared" ref="AR1416:AR1421" si="927">"GALAN"</f>
        <v>GALAN</v>
      </c>
      <c r="AY1416" s="1" t="str">
        <f t="shared" si="919"/>
        <v>PF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 t="str">
        <f t="shared" ref="BE1416:BE1421" si="928">"LAN+TWILL CANVAS + SIN.LEATHER"</f>
        <v>LAN+TWILL CANVAS + SIN.LEATHER</v>
      </c>
      <c r="BF1416" s="1" t="str">
        <f t="shared" si="920"/>
        <v>Bonis SpA</v>
      </c>
    </row>
    <row r="1417" spans="2:58" x14ac:dyDescent="0.25">
      <c r="B1417" s="1">
        <v>2566</v>
      </c>
      <c r="C1417" s="1" t="str">
        <f t="shared" si="921"/>
        <v>GALAN4182S7/CY1</v>
      </c>
      <c r="E1417" s="1" t="str">
        <f>"44"</f>
        <v>44</v>
      </c>
      <c r="F1417" s="1" t="str">
        <f t="shared" si="908"/>
        <v>BONIS SPA</v>
      </c>
      <c r="G1417" s="1" t="str">
        <f t="shared" si="894"/>
        <v>STOCK SCAFFALE MP</v>
      </c>
      <c r="H1417" s="1" t="str">
        <f t="shared" si="922"/>
        <v>BEI</v>
      </c>
      <c r="K1417" s="1">
        <v>2</v>
      </c>
      <c r="L1417" s="1" t="str">
        <f t="shared" si="909"/>
        <v>01</v>
      </c>
      <c r="M1417" s="1" t="str">
        <f t="shared" si="902"/>
        <v>409</v>
      </c>
      <c r="N1417" s="1" t="str">
        <f t="shared" si="923"/>
        <v>016</v>
      </c>
      <c r="O1417" s="1" t="str">
        <f t="shared" si="910"/>
        <v>00</v>
      </c>
      <c r="P1417" s="1" t="str">
        <f t="shared" si="911"/>
        <v>S</v>
      </c>
      <c r="Q1417" s="1" t="str">
        <f t="shared" si="912"/>
        <v>P</v>
      </c>
      <c r="R1417" s="1" t="str">
        <f t="shared" si="913"/>
        <v>01</v>
      </c>
      <c r="S1417" s="1" t="str">
        <f t="shared" si="896"/>
        <v>04</v>
      </c>
      <c r="T1417" s="1" t="str">
        <f t="shared" si="914"/>
        <v>False</v>
      </c>
      <c r="U1417" s="1" t="str">
        <f t="shared" si="915"/>
        <v>True</v>
      </c>
      <c r="V1417" s="1" t="str">
        <f t="shared" si="924"/>
        <v>U0028379</v>
      </c>
      <c r="W1417" s="1">
        <v>1</v>
      </c>
      <c r="Y1417" s="1">
        <v>0</v>
      </c>
      <c r="Z1417" s="1">
        <v>0</v>
      </c>
      <c r="AB1417" s="1" t="str">
        <f t="shared" si="903"/>
        <v>SMU</v>
      </c>
      <c r="AI1417" s="1" t="str">
        <f t="shared" si="925"/>
        <v>F11</v>
      </c>
      <c r="AJ1417" s="1" t="str">
        <f t="shared" si="926"/>
        <v>MAN</v>
      </c>
      <c r="AK1417" s="1" t="str">
        <f t="shared" si="917"/>
        <v>PA</v>
      </c>
      <c r="AP1417" s="1" t="str">
        <f t="shared" si="918"/>
        <v>False</v>
      </c>
      <c r="AR1417" s="1" t="str">
        <f t="shared" si="927"/>
        <v>GALAN</v>
      </c>
      <c r="AY1417" s="1" t="str">
        <f t="shared" si="919"/>
        <v>PF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 t="str">
        <f t="shared" si="928"/>
        <v>LAN+TWILL CANVAS + SIN.LEATHER</v>
      </c>
      <c r="BF1417" s="1" t="str">
        <f t="shared" si="920"/>
        <v>Bonis SpA</v>
      </c>
    </row>
    <row r="1418" spans="2:58" x14ac:dyDescent="0.25">
      <c r="B1418" s="1">
        <v>2566</v>
      </c>
      <c r="C1418" s="1" t="str">
        <f t="shared" si="921"/>
        <v>GALAN4182S7/CY1</v>
      </c>
      <c r="E1418" s="1" t="str">
        <f>"43"</f>
        <v>43</v>
      </c>
      <c r="F1418" s="1" t="str">
        <f t="shared" si="908"/>
        <v>BONIS SPA</v>
      </c>
      <c r="G1418" s="1" t="str">
        <f t="shared" si="894"/>
        <v>STOCK SCAFFALE MP</v>
      </c>
      <c r="H1418" s="1" t="str">
        <f t="shared" si="922"/>
        <v>BEI</v>
      </c>
      <c r="K1418" s="1">
        <v>2</v>
      </c>
      <c r="L1418" s="1" t="str">
        <f t="shared" si="909"/>
        <v>01</v>
      </c>
      <c r="M1418" s="1" t="str">
        <f t="shared" si="902"/>
        <v>409</v>
      </c>
      <c r="N1418" s="1" t="str">
        <f t="shared" si="923"/>
        <v>016</v>
      </c>
      <c r="O1418" s="1" t="str">
        <f t="shared" si="910"/>
        <v>00</v>
      </c>
      <c r="P1418" s="1" t="str">
        <f t="shared" si="911"/>
        <v>S</v>
      </c>
      <c r="Q1418" s="1" t="str">
        <f t="shared" si="912"/>
        <v>P</v>
      </c>
      <c r="R1418" s="1" t="str">
        <f t="shared" si="913"/>
        <v>01</v>
      </c>
      <c r="S1418" s="1" t="str">
        <f t="shared" si="896"/>
        <v>04</v>
      </c>
      <c r="T1418" s="1" t="str">
        <f t="shared" si="914"/>
        <v>False</v>
      </c>
      <c r="U1418" s="1" t="str">
        <f t="shared" si="915"/>
        <v>True</v>
      </c>
      <c r="V1418" s="1" t="str">
        <f t="shared" si="924"/>
        <v>U0028379</v>
      </c>
      <c r="W1418" s="1">
        <v>1</v>
      </c>
      <c r="Y1418" s="1">
        <v>0</v>
      </c>
      <c r="Z1418" s="1">
        <v>0</v>
      </c>
      <c r="AB1418" s="1" t="str">
        <f t="shared" si="903"/>
        <v>SMU</v>
      </c>
      <c r="AI1418" s="1" t="str">
        <f t="shared" si="925"/>
        <v>F11</v>
      </c>
      <c r="AJ1418" s="1" t="str">
        <f t="shared" si="926"/>
        <v>MAN</v>
      </c>
      <c r="AK1418" s="1" t="str">
        <f t="shared" si="917"/>
        <v>PA</v>
      </c>
      <c r="AP1418" s="1" t="str">
        <f t="shared" si="918"/>
        <v>False</v>
      </c>
      <c r="AR1418" s="1" t="str">
        <f t="shared" si="927"/>
        <v>GALAN</v>
      </c>
      <c r="AY1418" s="1" t="str">
        <f t="shared" si="919"/>
        <v>PF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 t="str">
        <f t="shared" si="928"/>
        <v>LAN+TWILL CANVAS + SIN.LEATHER</v>
      </c>
      <c r="BF1418" s="1" t="str">
        <f t="shared" si="920"/>
        <v>Bonis SpA</v>
      </c>
    </row>
    <row r="1419" spans="2:58" x14ac:dyDescent="0.25">
      <c r="B1419" s="1">
        <v>2566</v>
      </c>
      <c r="C1419" s="1" t="str">
        <f t="shared" si="921"/>
        <v>GALAN4182S7/CY1</v>
      </c>
      <c r="E1419" s="1" t="str">
        <f>"42"</f>
        <v>42</v>
      </c>
      <c r="F1419" s="1" t="str">
        <f t="shared" si="908"/>
        <v>BONIS SPA</v>
      </c>
      <c r="G1419" s="1" t="str">
        <f t="shared" si="894"/>
        <v>STOCK SCAFFALE MP</v>
      </c>
      <c r="H1419" s="1" t="str">
        <f t="shared" si="922"/>
        <v>BEI</v>
      </c>
      <c r="K1419" s="1">
        <v>3</v>
      </c>
      <c r="L1419" s="1" t="str">
        <f t="shared" si="909"/>
        <v>01</v>
      </c>
      <c r="M1419" s="1" t="str">
        <f t="shared" si="902"/>
        <v>409</v>
      </c>
      <c r="N1419" s="1" t="str">
        <f t="shared" si="923"/>
        <v>016</v>
      </c>
      <c r="O1419" s="1" t="str">
        <f t="shared" si="910"/>
        <v>00</v>
      </c>
      <c r="P1419" s="1" t="str">
        <f t="shared" si="911"/>
        <v>S</v>
      </c>
      <c r="Q1419" s="1" t="str">
        <f t="shared" si="912"/>
        <v>P</v>
      </c>
      <c r="R1419" s="1" t="str">
        <f t="shared" si="913"/>
        <v>01</v>
      </c>
      <c r="S1419" s="1" t="str">
        <f t="shared" si="896"/>
        <v>04</v>
      </c>
      <c r="T1419" s="1" t="str">
        <f t="shared" si="914"/>
        <v>False</v>
      </c>
      <c r="U1419" s="1" t="str">
        <f t="shared" si="915"/>
        <v>True</v>
      </c>
      <c r="V1419" s="1" t="str">
        <f t="shared" si="924"/>
        <v>U0028379</v>
      </c>
      <c r="W1419" s="1">
        <v>1</v>
      </c>
      <c r="Y1419" s="1">
        <v>0</v>
      </c>
      <c r="Z1419" s="1">
        <v>0</v>
      </c>
      <c r="AB1419" s="1" t="str">
        <f t="shared" si="903"/>
        <v>SMU</v>
      </c>
      <c r="AI1419" s="1" t="str">
        <f t="shared" si="925"/>
        <v>F11</v>
      </c>
      <c r="AJ1419" s="1" t="str">
        <f t="shared" si="926"/>
        <v>MAN</v>
      </c>
      <c r="AK1419" s="1" t="str">
        <f t="shared" si="917"/>
        <v>PA</v>
      </c>
      <c r="AP1419" s="1" t="str">
        <f t="shared" si="918"/>
        <v>False</v>
      </c>
      <c r="AR1419" s="1" t="str">
        <f t="shared" si="927"/>
        <v>GALAN</v>
      </c>
      <c r="AY1419" s="1" t="str">
        <f t="shared" si="919"/>
        <v>PF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 t="str">
        <f t="shared" si="928"/>
        <v>LAN+TWILL CANVAS + SIN.LEATHER</v>
      </c>
      <c r="BF1419" s="1" t="str">
        <f t="shared" si="920"/>
        <v>Bonis SpA</v>
      </c>
    </row>
    <row r="1420" spans="2:58" x14ac:dyDescent="0.25">
      <c r="B1420" s="1">
        <v>2566</v>
      </c>
      <c r="C1420" s="1" t="str">
        <f t="shared" si="921"/>
        <v>GALAN4182S7/CY1</v>
      </c>
      <c r="E1420" s="1" t="str">
        <f>"40"</f>
        <v>40</v>
      </c>
      <c r="F1420" s="1" t="str">
        <f t="shared" si="908"/>
        <v>BONIS SPA</v>
      </c>
      <c r="G1420" s="1" t="str">
        <f t="shared" si="894"/>
        <v>STOCK SCAFFALE MP</v>
      </c>
      <c r="H1420" s="1" t="str">
        <f t="shared" si="922"/>
        <v>BEI</v>
      </c>
      <c r="K1420" s="1">
        <v>1</v>
      </c>
      <c r="L1420" s="1" t="str">
        <f t="shared" si="909"/>
        <v>01</v>
      </c>
      <c r="M1420" s="1" t="str">
        <f t="shared" si="902"/>
        <v>409</v>
      </c>
      <c r="N1420" s="1" t="str">
        <f t="shared" si="923"/>
        <v>016</v>
      </c>
      <c r="O1420" s="1" t="str">
        <f t="shared" si="910"/>
        <v>00</v>
      </c>
      <c r="P1420" s="1" t="str">
        <f t="shared" si="911"/>
        <v>S</v>
      </c>
      <c r="Q1420" s="1" t="str">
        <f t="shared" si="912"/>
        <v>P</v>
      </c>
      <c r="R1420" s="1" t="str">
        <f t="shared" si="913"/>
        <v>01</v>
      </c>
      <c r="S1420" s="1" t="str">
        <f t="shared" si="896"/>
        <v>04</v>
      </c>
      <c r="T1420" s="1" t="str">
        <f t="shared" si="914"/>
        <v>False</v>
      </c>
      <c r="U1420" s="1" t="str">
        <f t="shared" si="915"/>
        <v>True</v>
      </c>
      <c r="V1420" s="1" t="str">
        <f t="shared" si="924"/>
        <v>U0028379</v>
      </c>
      <c r="W1420" s="1">
        <v>1</v>
      </c>
      <c r="Y1420" s="1">
        <v>0</v>
      </c>
      <c r="Z1420" s="1">
        <v>0</v>
      </c>
      <c r="AB1420" s="1" t="str">
        <f t="shared" si="903"/>
        <v>SMU</v>
      </c>
      <c r="AI1420" s="1" t="str">
        <f t="shared" si="925"/>
        <v>F11</v>
      </c>
      <c r="AJ1420" s="1" t="str">
        <f t="shared" si="926"/>
        <v>MAN</v>
      </c>
      <c r="AK1420" s="1" t="str">
        <f t="shared" si="917"/>
        <v>PA</v>
      </c>
      <c r="AP1420" s="1" t="str">
        <f t="shared" si="918"/>
        <v>False</v>
      </c>
      <c r="AR1420" s="1" t="str">
        <f t="shared" si="927"/>
        <v>GALAN</v>
      </c>
      <c r="AY1420" s="1" t="str">
        <f t="shared" si="919"/>
        <v>PF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 t="str">
        <f t="shared" si="928"/>
        <v>LAN+TWILL CANVAS + SIN.LEATHER</v>
      </c>
      <c r="BF1420" s="1" t="str">
        <f t="shared" si="920"/>
        <v>Bonis SpA</v>
      </c>
    </row>
    <row r="1421" spans="2:58" x14ac:dyDescent="0.25">
      <c r="B1421" s="1">
        <v>2566</v>
      </c>
      <c r="C1421" s="1" t="str">
        <f t="shared" si="921"/>
        <v>GALAN4182S7/CY1</v>
      </c>
      <c r="E1421" s="1" t="str">
        <f>"41"</f>
        <v>41</v>
      </c>
      <c r="F1421" s="1" t="str">
        <f t="shared" si="908"/>
        <v>BONIS SPA</v>
      </c>
      <c r="G1421" s="1" t="str">
        <f t="shared" si="894"/>
        <v>STOCK SCAFFALE MP</v>
      </c>
      <c r="H1421" s="1" t="str">
        <f t="shared" si="922"/>
        <v>BEI</v>
      </c>
      <c r="K1421" s="1">
        <v>2</v>
      </c>
      <c r="L1421" s="1" t="str">
        <f t="shared" si="909"/>
        <v>01</v>
      </c>
      <c r="M1421" s="1" t="str">
        <f t="shared" si="902"/>
        <v>409</v>
      </c>
      <c r="N1421" s="1" t="str">
        <f t="shared" si="923"/>
        <v>016</v>
      </c>
      <c r="O1421" s="1" t="str">
        <f t="shared" si="910"/>
        <v>00</v>
      </c>
      <c r="P1421" s="1" t="str">
        <f t="shared" si="911"/>
        <v>S</v>
      </c>
      <c r="Q1421" s="1" t="str">
        <f t="shared" si="912"/>
        <v>P</v>
      </c>
      <c r="R1421" s="1" t="str">
        <f t="shared" si="913"/>
        <v>01</v>
      </c>
      <c r="S1421" s="1" t="str">
        <f t="shared" si="896"/>
        <v>04</v>
      </c>
      <c r="T1421" s="1" t="str">
        <f t="shared" si="914"/>
        <v>False</v>
      </c>
      <c r="U1421" s="1" t="str">
        <f t="shared" si="915"/>
        <v>True</v>
      </c>
      <c r="V1421" s="1" t="str">
        <f t="shared" si="924"/>
        <v>U0028379</v>
      </c>
      <c r="W1421" s="1">
        <v>1</v>
      </c>
      <c r="Y1421" s="1">
        <v>0</v>
      </c>
      <c r="Z1421" s="1">
        <v>0</v>
      </c>
      <c r="AB1421" s="1" t="str">
        <f t="shared" si="903"/>
        <v>SMU</v>
      </c>
      <c r="AI1421" s="1" t="str">
        <f t="shared" si="925"/>
        <v>F11</v>
      </c>
      <c r="AJ1421" s="1" t="str">
        <f t="shared" si="926"/>
        <v>MAN</v>
      </c>
      <c r="AK1421" s="1" t="str">
        <f t="shared" si="917"/>
        <v>PA</v>
      </c>
      <c r="AP1421" s="1" t="str">
        <f t="shared" si="918"/>
        <v>False</v>
      </c>
      <c r="AR1421" s="1" t="str">
        <f t="shared" si="927"/>
        <v>GALAN</v>
      </c>
      <c r="AY1421" s="1" t="str">
        <f t="shared" si="919"/>
        <v>PF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 t="str">
        <f t="shared" si="928"/>
        <v>LAN+TWILL CANVAS + SIN.LEATHER</v>
      </c>
      <c r="BF1421" s="1" t="str">
        <f t="shared" si="920"/>
        <v>Bonis SpA</v>
      </c>
    </row>
    <row r="1422" spans="2:58" x14ac:dyDescent="0.25">
      <c r="B1422" s="1">
        <v>2566</v>
      </c>
      <c r="C1422" s="1" t="str">
        <f>"GALAD4184S7/CY1"</f>
        <v>GALAD4184S7/CY1</v>
      </c>
      <c r="E1422" s="1" t="str">
        <f>"36"</f>
        <v>36</v>
      </c>
      <c r="F1422" s="1" t="str">
        <f t="shared" si="908"/>
        <v>BONIS SPA</v>
      </c>
      <c r="G1422" s="1" t="str">
        <f t="shared" si="894"/>
        <v>STOCK SCAFFALE MP</v>
      </c>
      <c r="H1422" s="1" t="str">
        <f t="shared" ref="H1422:H1430" si="929">"WHI"</f>
        <v>WHI</v>
      </c>
      <c r="K1422" s="1">
        <v>1</v>
      </c>
      <c r="L1422" s="1" t="str">
        <f t="shared" si="909"/>
        <v>01</v>
      </c>
      <c r="M1422" s="1" t="str">
        <f t="shared" si="902"/>
        <v>409</v>
      </c>
      <c r="N1422" s="1" t="str">
        <f t="shared" si="923"/>
        <v>016</v>
      </c>
      <c r="O1422" s="1" t="str">
        <f t="shared" si="910"/>
        <v>00</v>
      </c>
      <c r="P1422" s="1" t="str">
        <f t="shared" si="911"/>
        <v>S</v>
      </c>
      <c r="Q1422" s="1" t="str">
        <f t="shared" si="912"/>
        <v>P</v>
      </c>
      <c r="R1422" s="1" t="str">
        <f t="shared" si="913"/>
        <v>01</v>
      </c>
      <c r="S1422" s="1" t="str">
        <f t="shared" si="896"/>
        <v>04</v>
      </c>
      <c r="T1422" s="1" t="str">
        <f t="shared" si="914"/>
        <v>False</v>
      </c>
      <c r="U1422" s="1" t="str">
        <f t="shared" si="915"/>
        <v>True</v>
      </c>
      <c r="V1422" s="1" t="str">
        <f>"U0028385"</f>
        <v>U0028385</v>
      </c>
      <c r="W1422" s="1">
        <v>1</v>
      </c>
      <c r="Y1422" s="1">
        <v>0</v>
      </c>
      <c r="Z1422" s="1">
        <v>0</v>
      </c>
      <c r="AB1422" s="1" t="str">
        <f t="shared" si="903"/>
        <v>SMU</v>
      </c>
      <c r="AI1422" s="1" t="str">
        <f>"106"</f>
        <v>106</v>
      </c>
      <c r="AJ1422" s="1" t="str">
        <f>"WOMAN"</f>
        <v>WOMAN</v>
      </c>
      <c r="AK1422" s="1" t="str">
        <f t="shared" si="917"/>
        <v>PA</v>
      </c>
      <c r="AP1422" s="1" t="str">
        <f t="shared" si="918"/>
        <v>False</v>
      </c>
      <c r="AR1422" s="1" t="str">
        <f>"GALAD"</f>
        <v>GALAD</v>
      </c>
      <c r="AY1422" s="1" t="str">
        <f t="shared" si="919"/>
        <v>PF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 t="str">
        <f>"D GOMMA D.H.TWILL CANVAS+SINT."</f>
        <v>D GOMMA D.H.TWILL CANVAS+SINT.</v>
      </c>
      <c r="BF1422" s="1" t="str">
        <f t="shared" si="920"/>
        <v>Bonis SpA</v>
      </c>
    </row>
    <row r="1423" spans="2:58" x14ac:dyDescent="0.25">
      <c r="B1423" s="1">
        <v>2566</v>
      </c>
      <c r="C1423" s="1" t="str">
        <f>"GALAD4184S7/CY1"</f>
        <v>GALAD4184S7/CY1</v>
      </c>
      <c r="E1423" s="1" t="str">
        <f>"39"</f>
        <v>39</v>
      </c>
      <c r="F1423" s="1" t="str">
        <f t="shared" si="908"/>
        <v>BONIS SPA</v>
      </c>
      <c r="G1423" s="1" t="str">
        <f t="shared" si="894"/>
        <v>STOCK SCAFFALE MP</v>
      </c>
      <c r="H1423" s="1" t="str">
        <f t="shared" si="929"/>
        <v>WHI</v>
      </c>
      <c r="K1423" s="1">
        <v>2</v>
      </c>
      <c r="L1423" s="1" t="str">
        <f t="shared" si="909"/>
        <v>01</v>
      </c>
      <c r="M1423" s="1" t="str">
        <f t="shared" si="902"/>
        <v>409</v>
      </c>
      <c r="N1423" s="1" t="str">
        <f t="shared" si="923"/>
        <v>016</v>
      </c>
      <c r="O1423" s="1" t="str">
        <f t="shared" si="910"/>
        <v>00</v>
      </c>
      <c r="P1423" s="1" t="str">
        <f t="shared" si="911"/>
        <v>S</v>
      </c>
      <c r="Q1423" s="1" t="str">
        <f t="shared" si="912"/>
        <v>P</v>
      </c>
      <c r="R1423" s="1" t="str">
        <f t="shared" si="913"/>
        <v>01</v>
      </c>
      <c r="S1423" s="1" t="str">
        <f t="shared" si="896"/>
        <v>04</v>
      </c>
      <c r="T1423" s="1" t="str">
        <f t="shared" si="914"/>
        <v>False</v>
      </c>
      <c r="U1423" s="1" t="str">
        <f t="shared" si="915"/>
        <v>True</v>
      </c>
      <c r="V1423" s="1" t="str">
        <f>"U0028280"</f>
        <v>U0028280</v>
      </c>
      <c r="W1423" s="1">
        <v>1</v>
      </c>
      <c r="Y1423" s="1">
        <v>0</v>
      </c>
      <c r="Z1423" s="1">
        <v>0</v>
      </c>
      <c r="AB1423" s="1" t="str">
        <f t="shared" si="903"/>
        <v>SMU</v>
      </c>
      <c r="AI1423" s="1" t="str">
        <f>"106"</f>
        <v>106</v>
      </c>
      <c r="AJ1423" s="1" t="str">
        <f>"WOMAN"</f>
        <v>WOMAN</v>
      </c>
      <c r="AK1423" s="1" t="str">
        <f t="shared" si="917"/>
        <v>PA</v>
      </c>
      <c r="AP1423" s="1" t="str">
        <f t="shared" si="918"/>
        <v>False</v>
      </c>
      <c r="AR1423" s="1" t="str">
        <f>"GALAD"</f>
        <v>GALAD</v>
      </c>
      <c r="AY1423" s="1" t="str">
        <f t="shared" si="919"/>
        <v>PF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 t="str">
        <f>"D GOMMA D.H.TWILL CANVAS+SINT."</f>
        <v>D GOMMA D.H.TWILL CANVAS+SINT.</v>
      </c>
      <c r="BF1423" s="1" t="str">
        <f t="shared" si="920"/>
        <v>Bonis SpA</v>
      </c>
    </row>
    <row r="1424" spans="2:58" x14ac:dyDescent="0.25">
      <c r="B1424" s="1">
        <v>2566</v>
      </c>
      <c r="C1424" s="1" t="str">
        <f>"RUMBO4186S7/C1"</f>
        <v>RUMBO4186S7/C1</v>
      </c>
      <c r="E1424" s="1" t="str">
        <f>"40"</f>
        <v>40</v>
      </c>
      <c r="F1424" s="1" t="str">
        <f t="shared" si="908"/>
        <v>BONIS SPA</v>
      </c>
      <c r="G1424" s="1" t="str">
        <f t="shared" si="894"/>
        <v>STOCK SCAFFALE MP</v>
      </c>
      <c r="H1424" s="1" t="str">
        <f t="shared" si="929"/>
        <v>WHI</v>
      </c>
      <c r="K1424" s="1">
        <v>1</v>
      </c>
      <c r="L1424" s="1" t="str">
        <f t="shared" si="909"/>
        <v>01</v>
      </c>
      <c r="M1424" s="1" t="str">
        <f t="shared" si="902"/>
        <v>409</v>
      </c>
      <c r="N1424" s="1" t="str">
        <f t="shared" si="923"/>
        <v>016</v>
      </c>
      <c r="O1424" s="1" t="str">
        <f t="shared" si="910"/>
        <v>00</v>
      </c>
      <c r="P1424" s="1" t="str">
        <f t="shared" si="911"/>
        <v>S</v>
      </c>
      <c r="Q1424" s="1" t="str">
        <f t="shared" si="912"/>
        <v>P</v>
      </c>
      <c r="R1424" s="1" t="str">
        <f t="shared" si="913"/>
        <v>01</v>
      </c>
      <c r="S1424" s="1" t="str">
        <f t="shared" si="896"/>
        <v>04</v>
      </c>
      <c r="T1424" s="1" t="str">
        <f t="shared" si="914"/>
        <v>False</v>
      </c>
      <c r="U1424" s="1" t="str">
        <f t="shared" si="915"/>
        <v>True</v>
      </c>
      <c r="V1424" s="1" t="str">
        <f>"U0028381"</f>
        <v>U0028381</v>
      </c>
      <c r="W1424" s="1">
        <v>1</v>
      </c>
      <c r="Y1424" s="1">
        <v>0</v>
      </c>
      <c r="Z1424" s="1">
        <v>0</v>
      </c>
      <c r="AB1424" s="1" t="str">
        <f t="shared" si="903"/>
        <v>SMU</v>
      </c>
      <c r="AI1424" s="1" t="str">
        <f>"F11"</f>
        <v>F11</v>
      </c>
      <c r="AJ1424" s="1" t="str">
        <f>"MAN"</f>
        <v>MAN</v>
      </c>
      <c r="AK1424" s="1" t="str">
        <f t="shared" si="917"/>
        <v>PA</v>
      </c>
      <c r="AP1424" s="1" t="str">
        <f t="shared" si="918"/>
        <v>False</v>
      </c>
      <c r="AR1424" s="1" t="str">
        <f>"RUMBO"</f>
        <v>RUMBO</v>
      </c>
      <c r="AY1424" s="1" t="str">
        <f t="shared" si="919"/>
        <v>PF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 t="str">
        <f>"MBO TWILL CANVAS"</f>
        <v>MBO TWILL CANVAS</v>
      </c>
      <c r="BF1424" s="1" t="str">
        <f t="shared" si="920"/>
        <v>Bonis SpA</v>
      </c>
    </row>
    <row r="1425" spans="2:58" x14ac:dyDescent="0.25">
      <c r="B1425" s="1">
        <v>2566</v>
      </c>
      <c r="C1425" s="1" t="str">
        <f>"RUMBO4186S7/C1"</f>
        <v>RUMBO4186S7/C1</v>
      </c>
      <c r="E1425" s="1" t="str">
        <f>"41"</f>
        <v>41</v>
      </c>
      <c r="F1425" s="1" t="str">
        <f t="shared" si="908"/>
        <v>BONIS SPA</v>
      </c>
      <c r="G1425" s="1" t="str">
        <f t="shared" si="894"/>
        <v>STOCK SCAFFALE MP</v>
      </c>
      <c r="H1425" s="1" t="str">
        <f t="shared" si="929"/>
        <v>WHI</v>
      </c>
      <c r="K1425" s="1">
        <v>1</v>
      </c>
      <c r="L1425" s="1" t="str">
        <f t="shared" si="909"/>
        <v>01</v>
      </c>
      <c r="M1425" s="1" t="str">
        <f t="shared" si="902"/>
        <v>409</v>
      </c>
      <c r="N1425" s="1" t="str">
        <f t="shared" si="923"/>
        <v>016</v>
      </c>
      <c r="O1425" s="1" t="str">
        <f t="shared" si="910"/>
        <v>00</v>
      </c>
      <c r="P1425" s="1" t="str">
        <f t="shared" si="911"/>
        <v>S</v>
      </c>
      <c r="Q1425" s="1" t="str">
        <f t="shared" si="912"/>
        <v>P</v>
      </c>
      <c r="R1425" s="1" t="str">
        <f t="shared" si="913"/>
        <v>01</v>
      </c>
      <c r="S1425" s="1" t="str">
        <f t="shared" si="896"/>
        <v>04</v>
      </c>
      <c r="T1425" s="1" t="str">
        <f t="shared" si="914"/>
        <v>False</v>
      </c>
      <c r="U1425" s="1" t="str">
        <f t="shared" si="915"/>
        <v>True</v>
      </c>
      <c r="V1425" s="1" t="str">
        <f>"U0028381"</f>
        <v>U0028381</v>
      </c>
      <c r="W1425" s="1">
        <v>1</v>
      </c>
      <c r="Y1425" s="1">
        <v>0</v>
      </c>
      <c r="Z1425" s="1">
        <v>0</v>
      </c>
      <c r="AB1425" s="1" t="str">
        <f t="shared" si="903"/>
        <v>SMU</v>
      </c>
      <c r="AI1425" s="1" t="str">
        <f>"106"</f>
        <v>106</v>
      </c>
      <c r="AJ1425" s="1" t="str">
        <f>"MAN"</f>
        <v>MAN</v>
      </c>
      <c r="AK1425" s="1" t="str">
        <f t="shared" si="917"/>
        <v>PA</v>
      </c>
      <c r="AP1425" s="1" t="str">
        <f t="shared" si="918"/>
        <v>False</v>
      </c>
      <c r="AR1425" s="1" t="str">
        <f>"RUMBO"</f>
        <v>RUMBO</v>
      </c>
      <c r="AY1425" s="1" t="str">
        <f t="shared" si="919"/>
        <v>PF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 t="str">
        <f>"MBO TWILL CANVAS"</f>
        <v>MBO TWILL CANVAS</v>
      </c>
      <c r="BF1425" s="1" t="str">
        <f t="shared" si="920"/>
        <v>Bonis SpA</v>
      </c>
    </row>
    <row r="1426" spans="2:58" x14ac:dyDescent="0.25">
      <c r="B1426" s="1">
        <v>2566</v>
      </c>
      <c r="C1426" s="1" t="str">
        <f>"RUMBO4186S7/C1"</f>
        <v>RUMBO4186S7/C1</v>
      </c>
      <c r="E1426" s="1" t="str">
        <f>"41"</f>
        <v>41</v>
      </c>
      <c r="F1426" s="1" t="str">
        <f t="shared" si="908"/>
        <v>BONIS SPA</v>
      </c>
      <c r="G1426" s="1" t="str">
        <f t="shared" si="894"/>
        <v>STOCK SCAFFALE MP</v>
      </c>
      <c r="H1426" s="1" t="str">
        <f t="shared" si="929"/>
        <v>WHI</v>
      </c>
      <c r="K1426" s="1">
        <v>1</v>
      </c>
      <c r="L1426" s="1" t="str">
        <f t="shared" si="909"/>
        <v>01</v>
      </c>
      <c r="M1426" s="1" t="str">
        <f t="shared" si="902"/>
        <v>409</v>
      </c>
      <c r="N1426" s="1" t="str">
        <f t="shared" si="923"/>
        <v>016</v>
      </c>
      <c r="O1426" s="1" t="str">
        <f t="shared" si="910"/>
        <v>00</v>
      </c>
      <c r="P1426" s="1" t="str">
        <f t="shared" si="911"/>
        <v>S</v>
      </c>
      <c r="Q1426" s="1" t="str">
        <f t="shared" si="912"/>
        <v>P</v>
      </c>
      <c r="R1426" s="1" t="str">
        <f t="shared" si="913"/>
        <v>01</v>
      </c>
      <c r="S1426" s="1" t="str">
        <f t="shared" si="896"/>
        <v>04</v>
      </c>
      <c r="T1426" s="1" t="str">
        <f t="shared" si="914"/>
        <v>False</v>
      </c>
      <c r="U1426" s="1" t="str">
        <f t="shared" si="915"/>
        <v>True</v>
      </c>
      <c r="V1426" s="1" t="str">
        <f>"U0028386"</f>
        <v>U0028386</v>
      </c>
      <c r="W1426" s="1">
        <v>1</v>
      </c>
      <c r="Y1426" s="1">
        <v>0</v>
      </c>
      <c r="Z1426" s="1">
        <v>0</v>
      </c>
      <c r="AB1426" s="1" t="str">
        <f t="shared" si="903"/>
        <v>SMU</v>
      </c>
      <c r="AI1426" s="1" t="str">
        <f>"106"</f>
        <v>106</v>
      </c>
      <c r="AJ1426" s="1" t="str">
        <f>"MAN"</f>
        <v>MAN</v>
      </c>
      <c r="AK1426" s="1" t="str">
        <f t="shared" si="917"/>
        <v>PA</v>
      </c>
      <c r="AP1426" s="1" t="str">
        <f t="shared" si="918"/>
        <v>False</v>
      </c>
      <c r="AR1426" s="1" t="str">
        <f>"RUMBO"</f>
        <v>RUMBO</v>
      </c>
      <c r="AY1426" s="1" t="str">
        <f t="shared" si="919"/>
        <v>PF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 t="str">
        <f>"MBO TWILL CANVAS"</f>
        <v>MBO TWILL CANVAS</v>
      </c>
      <c r="BF1426" s="1" t="str">
        <f t="shared" si="920"/>
        <v>Bonis SpA</v>
      </c>
    </row>
    <row r="1427" spans="2:58" x14ac:dyDescent="0.25">
      <c r="B1427" s="1">
        <v>2566</v>
      </c>
      <c r="C1427" s="1" t="str">
        <f>"GALAD4184S7/CY1"</f>
        <v>GALAD4184S7/CY1</v>
      </c>
      <c r="E1427" s="1" t="str">
        <f>"41"</f>
        <v>41</v>
      </c>
      <c r="F1427" s="1" t="str">
        <f t="shared" si="908"/>
        <v>BONIS SPA</v>
      </c>
      <c r="G1427" s="1" t="str">
        <f t="shared" si="894"/>
        <v>STOCK SCAFFALE MP</v>
      </c>
      <c r="H1427" s="1" t="str">
        <f t="shared" si="929"/>
        <v>WHI</v>
      </c>
      <c r="K1427" s="1">
        <v>1</v>
      </c>
      <c r="L1427" s="1" t="str">
        <f t="shared" si="909"/>
        <v>01</v>
      </c>
      <c r="M1427" s="1" t="str">
        <f t="shared" si="902"/>
        <v>409</v>
      </c>
      <c r="N1427" s="1" t="str">
        <f t="shared" si="923"/>
        <v>016</v>
      </c>
      <c r="O1427" s="1" t="str">
        <f t="shared" si="910"/>
        <v>00</v>
      </c>
      <c r="P1427" s="1" t="str">
        <f t="shared" si="911"/>
        <v>S</v>
      </c>
      <c r="Q1427" s="1" t="str">
        <f t="shared" si="912"/>
        <v>P</v>
      </c>
      <c r="R1427" s="1" t="str">
        <f t="shared" si="913"/>
        <v>01</v>
      </c>
      <c r="S1427" s="1" t="str">
        <f t="shared" si="896"/>
        <v>04</v>
      </c>
      <c r="T1427" s="1" t="str">
        <f t="shared" si="914"/>
        <v>False</v>
      </c>
      <c r="U1427" s="1" t="str">
        <f t="shared" si="915"/>
        <v>True</v>
      </c>
      <c r="V1427" s="1" t="str">
        <f>"U0028271"</f>
        <v>U0028271</v>
      </c>
      <c r="W1427" s="1">
        <v>1</v>
      </c>
      <c r="Y1427" s="1">
        <v>0</v>
      </c>
      <c r="Z1427" s="1">
        <v>0</v>
      </c>
      <c r="AB1427" s="1" t="str">
        <f t="shared" si="903"/>
        <v>SMU</v>
      </c>
      <c r="AI1427" s="1" t="str">
        <f>"106"</f>
        <v>106</v>
      </c>
      <c r="AJ1427" s="1" t="str">
        <f>"WOMAN"</f>
        <v>WOMAN</v>
      </c>
      <c r="AK1427" s="1" t="str">
        <f t="shared" si="917"/>
        <v>PA</v>
      </c>
      <c r="AP1427" s="1" t="str">
        <f t="shared" si="918"/>
        <v>False</v>
      </c>
      <c r="AR1427" s="1" t="str">
        <f>"GALAD"</f>
        <v>GALAD</v>
      </c>
      <c r="AY1427" s="1" t="str">
        <f t="shared" si="919"/>
        <v>PF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 t="str">
        <f>"D GOMMA D.H.TWILL CANVAS+SINT."</f>
        <v>D GOMMA D.H.TWILL CANVAS+SINT.</v>
      </c>
      <c r="BF1427" s="1" t="str">
        <f t="shared" si="920"/>
        <v>Bonis SpA</v>
      </c>
    </row>
    <row r="1428" spans="2:58" x14ac:dyDescent="0.25">
      <c r="B1428" s="1">
        <v>2566</v>
      </c>
      <c r="C1428" s="1" t="str">
        <f>"GALAD4184S7/CY1"</f>
        <v>GALAD4184S7/CY1</v>
      </c>
      <c r="E1428" s="1" t="str">
        <f>"40"</f>
        <v>40</v>
      </c>
      <c r="F1428" s="1" t="str">
        <f t="shared" si="908"/>
        <v>BONIS SPA</v>
      </c>
      <c r="G1428" s="1" t="str">
        <f t="shared" si="894"/>
        <v>STOCK SCAFFALE MP</v>
      </c>
      <c r="H1428" s="1" t="str">
        <f t="shared" si="929"/>
        <v>WHI</v>
      </c>
      <c r="K1428" s="1">
        <v>1</v>
      </c>
      <c r="L1428" s="1" t="str">
        <f t="shared" si="909"/>
        <v>01</v>
      </c>
      <c r="M1428" s="1" t="str">
        <f t="shared" si="902"/>
        <v>409</v>
      </c>
      <c r="N1428" s="1" t="str">
        <f t="shared" si="923"/>
        <v>016</v>
      </c>
      <c r="O1428" s="1" t="str">
        <f t="shared" si="910"/>
        <v>00</v>
      </c>
      <c r="P1428" s="1" t="str">
        <f t="shared" si="911"/>
        <v>S</v>
      </c>
      <c r="Q1428" s="1" t="str">
        <f t="shared" si="912"/>
        <v>P</v>
      </c>
      <c r="R1428" s="1" t="str">
        <f t="shared" si="913"/>
        <v>01</v>
      </c>
      <c r="S1428" s="1" t="str">
        <f t="shared" si="896"/>
        <v>04</v>
      </c>
      <c r="T1428" s="1" t="str">
        <f t="shared" si="914"/>
        <v>False</v>
      </c>
      <c r="U1428" s="1" t="str">
        <f t="shared" si="915"/>
        <v>True</v>
      </c>
      <c r="V1428" s="1" t="str">
        <f>"U0028271"</f>
        <v>U0028271</v>
      </c>
      <c r="W1428" s="1">
        <v>1</v>
      </c>
      <c r="Y1428" s="1">
        <v>0</v>
      </c>
      <c r="Z1428" s="1">
        <v>0</v>
      </c>
      <c r="AB1428" s="1" t="str">
        <f t="shared" si="903"/>
        <v>SMU</v>
      </c>
      <c r="AI1428" s="1" t="str">
        <f>"106"</f>
        <v>106</v>
      </c>
      <c r="AJ1428" s="1" t="str">
        <f>"WOMAN"</f>
        <v>WOMAN</v>
      </c>
      <c r="AK1428" s="1" t="str">
        <f t="shared" si="917"/>
        <v>PA</v>
      </c>
      <c r="AP1428" s="1" t="str">
        <f t="shared" si="918"/>
        <v>False</v>
      </c>
      <c r="AR1428" s="1" t="str">
        <f>"GALAD"</f>
        <v>GALAD</v>
      </c>
      <c r="AY1428" s="1" t="str">
        <f t="shared" si="919"/>
        <v>PF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 t="str">
        <f>"D GOMMA D.H.TWILL CANVAS+SINT."</f>
        <v>D GOMMA D.H.TWILL CANVAS+SINT.</v>
      </c>
      <c r="BF1428" s="1" t="str">
        <f t="shared" si="920"/>
        <v>Bonis SpA</v>
      </c>
    </row>
    <row r="1429" spans="2:58" x14ac:dyDescent="0.25">
      <c r="B1429" s="1">
        <v>2566</v>
      </c>
      <c r="C1429" s="1" t="str">
        <f>"RUMBO4186S7/C1"</f>
        <v>RUMBO4186S7/C1</v>
      </c>
      <c r="E1429" s="1" t="str">
        <f>"44"</f>
        <v>44</v>
      </c>
      <c r="F1429" s="1" t="str">
        <f t="shared" si="908"/>
        <v>BONIS SPA</v>
      </c>
      <c r="G1429" s="1" t="str">
        <f t="shared" si="894"/>
        <v>STOCK SCAFFALE MP</v>
      </c>
      <c r="H1429" s="1" t="str">
        <f t="shared" si="929"/>
        <v>WHI</v>
      </c>
      <c r="K1429" s="1">
        <v>2</v>
      </c>
      <c r="L1429" s="1" t="str">
        <f t="shared" si="909"/>
        <v>01</v>
      </c>
      <c r="M1429" s="1" t="str">
        <f t="shared" si="902"/>
        <v>409</v>
      </c>
      <c r="N1429" s="1" t="str">
        <f t="shared" si="923"/>
        <v>016</v>
      </c>
      <c r="O1429" s="1" t="str">
        <f t="shared" si="910"/>
        <v>00</v>
      </c>
      <c r="P1429" s="1" t="str">
        <f t="shared" si="911"/>
        <v>S</v>
      </c>
      <c r="Q1429" s="1" t="str">
        <f t="shared" si="912"/>
        <v>P</v>
      </c>
      <c r="R1429" s="1" t="str">
        <f t="shared" si="913"/>
        <v>01</v>
      </c>
      <c r="S1429" s="1" t="str">
        <f t="shared" si="896"/>
        <v>04</v>
      </c>
      <c r="T1429" s="1" t="str">
        <f t="shared" si="914"/>
        <v>False</v>
      </c>
      <c r="U1429" s="1" t="str">
        <f t="shared" si="915"/>
        <v>True</v>
      </c>
      <c r="V1429" s="1" t="str">
        <f>"U0028269"</f>
        <v>U0028269</v>
      </c>
      <c r="W1429" s="1">
        <v>1</v>
      </c>
      <c r="Y1429" s="1">
        <v>0</v>
      </c>
      <c r="Z1429" s="1">
        <v>0</v>
      </c>
      <c r="AB1429" s="1" t="str">
        <f t="shared" si="903"/>
        <v>SMU</v>
      </c>
      <c r="AI1429" s="1" t="str">
        <f>"106"</f>
        <v>106</v>
      </c>
      <c r="AJ1429" s="1" t="str">
        <f>"MAN"</f>
        <v>MAN</v>
      </c>
      <c r="AK1429" s="1" t="str">
        <f t="shared" si="917"/>
        <v>PA</v>
      </c>
      <c r="AP1429" s="1" t="str">
        <f t="shared" si="918"/>
        <v>False</v>
      </c>
      <c r="AR1429" s="1" t="str">
        <f>"RUMBO"</f>
        <v>RUMBO</v>
      </c>
      <c r="AY1429" s="1" t="str">
        <f t="shared" si="919"/>
        <v>PF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 t="str">
        <f>"MBO TWILL CANVAS"</f>
        <v>MBO TWILL CANVAS</v>
      </c>
      <c r="BF1429" s="1" t="str">
        <f t="shared" si="920"/>
        <v>Bonis SpA</v>
      </c>
    </row>
    <row r="1430" spans="2:58" x14ac:dyDescent="0.25">
      <c r="B1430" s="1">
        <v>2566</v>
      </c>
      <c r="C1430" s="1" t="str">
        <f>"RUMBO4186S7/C1"</f>
        <v>RUMBO4186S7/C1</v>
      </c>
      <c r="E1430" s="1" t="str">
        <f>"45"</f>
        <v>45</v>
      </c>
      <c r="F1430" s="1" t="str">
        <f t="shared" si="908"/>
        <v>BONIS SPA</v>
      </c>
      <c r="G1430" s="1" t="str">
        <f t="shared" si="894"/>
        <v>STOCK SCAFFALE MP</v>
      </c>
      <c r="H1430" s="1" t="str">
        <f t="shared" si="929"/>
        <v>WHI</v>
      </c>
      <c r="K1430" s="1">
        <v>1</v>
      </c>
      <c r="L1430" s="1" t="str">
        <f t="shared" si="909"/>
        <v>01</v>
      </c>
      <c r="M1430" s="1" t="str">
        <f t="shared" si="902"/>
        <v>409</v>
      </c>
      <c r="N1430" s="1" t="str">
        <f t="shared" si="923"/>
        <v>016</v>
      </c>
      <c r="O1430" s="1" t="str">
        <f t="shared" si="910"/>
        <v>00</v>
      </c>
      <c r="P1430" s="1" t="str">
        <f t="shared" si="911"/>
        <v>S</v>
      </c>
      <c r="Q1430" s="1" t="str">
        <f t="shared" si="912"/>
        <v>P</v>
      </c>
      <c r="R1430" s="1" t="str">
        <f t="shared" si="913"/>
        <v>01</v>
      </c>
      <c r="S1430" s="1" t="str">
        <f t="shared" si="896"/>
        <v>04</v>
      </c>
      <c r="T1430" s="1" t="str">
        <f t="shared" si="914"/>
        <v>False</v>
      </c>
      <c r="U1430" s="1" t="str">
        <f t="shared" si="915"/>
        <v>True</v>
      </c>
      <c r="V1430" s="1" t="str">
        <f>"U0028381"</f>
        <v>U0028381</v>
      </c>
      <c r="W1430" s="1">
        <v>1</v>
      </c>
      <c r="Y1430" s="1">
        <v>0</v>
      </c>
      <c r="Z1430" s="1">
        <v>0</v>
      </c>
      <c r="AB1430" s="1" t="str">
        <f t="shared" si="903"/>
        <v>SMU</v>
      </c>
      <c r="AI1430" s="1" t="str">
        <f>"F11"</f>
        <v>F11</v>
      </c>
      <c r="AJ1430" s="1" t="str">
        <f>"MAN"</f>
        <v>MAN</v>
      </c>
      <c r="AK1430" s="1" t="str">
        <f t="shared" si="917"/>
        <v>PA</v>
      </c>
      <c r="AP1430" s="1" t="str">
        <f t="shared" si="918"/>
        <v>False</v>
      </c>
      <c r="AR1430" s="1" t="str">
        <f>"RUMBO"</f>
        <v>RUMBO</v>
      </c>
      <c r="AY1430" s="1" t="str">
        <f t="shared" si="919"/>
        <v>PF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 t="str">
        <f>"MBO TWILL CANVAS"</f>
        <v>MBO TWILL CANVAS</v>
      </c>
      <c r="BF1430" s="1" t="str">
        <f t="shared" si="920"/>
        <v>Bonis SpA</v>
      </c>
    </row>
    <row r="1431" spans="2:58" x14ac:dyDescent="0.25">
      <c r="B1431" s="1">
        <v>2566</v>
      </c>
      <c r="C1431" s="1" t="str">
        <f>"GALAD4184S7/CY1"</f>
        <v>GALAD4184S7/CY1</v>
      </c>
      <c r="E1431" s="1" t="str">
        <f>"38"</f>
        <v>38</v>
      </c>
      <c r="F1431" s="1" t="str">
        <f t="shared" si="908"/>
        <v>BONIS SPA</v>
      </c>
      <c r="G1431" s="1" t="str">
        <f t="shared" si="894"/>
        <v>STOCK SCAFFALE MP</v>
      </c>
      <c r="H1431" s="1" t="str">
        <f>"BLUE"</f>
        <v>BLUE</v>
      </c>
      <c r="K1431" s="1">
        <v>3</v>
      </c>
      <c r="L1431" s="1" t="str">
        <f t="shared" si="909"/>
        <v>01</v>
      </c>
      <c r="M1431" s="1" t="str">
        <f t="shared" si="902"/>
        <v>409</v>
      </c>
      <c r="N1431" s="1" t="str">
        <f t="shared" si="923"/>
        <v>016</v>
      </c>
      <c r="O1431" s="1" t="str">
        <f t="shared" si="910"/>
        <v>00</v>
      </c>
      <c r="P1431" s="1" t="str">
        <f t="shared" si="911"/>
        <v>S</v>
      </c>
      <c r="Q1431" s="1" t="str">
        <f t="shared" si="912"/>
        <v>P</v>
      </c>
      <c r="R1431" s="1" t="str">
        <f t="shared" si="913"/>
        <v>01</v>
      </c>
      <c r="S1431" s="1" t="str">
        <f t="shared" si="896"/>
        <v>04</v>
      </c>
      <c r="T1431" s="1" t="str">
        <f t="shared" si="914"/>
        <v>False</v>
      </c>
      <c r="U1431" s="1" t="str">
        <f t="shared" si="915"/>
        <v>True</v>
      </c>
      <c r="V1431" s="1" t="str">
        <f>"U0028382"</f>
        <v>U0028382</v>
      </c>
      <c r="W1431" s="1">
        <v>1</v>
      </c>
      <c r="Y1431" s="1">
        <v>0</v>
      </c>
      <c r="Z1431" s="1">
        <v>0</v>
      </c>
      <c r="AB1431" s="1" t="str">
        <f t="shared" si="903"/>
        <v>SMU</v>
      </c>
      <c r="AI1431" s="1" t="str">
        <f>"F11"</f>
        <v>F11</v>
      </c>
      <c r="AJ1431" s="1" t="str">
        <f>"WOMAN"</f>
        <v>WOMAN</v>
      </c>
      <c r="AK1431" s="1" t="str">
        <f t="shared" si="917"/>
        <v>PA</v>
      </c>
      <c r="AP1431" s="1" t="str">
        <f t="shared" si="918"/>
        <v>False</v>
      </c>
      <c r="AR1431" s="1" t="str">
        <f>"GALAD"</f>
        <v>GALAD</v>
      </c>
      <c r="AY1431" s="1" t="str">
        <f t="shared" si="919"/>
        <v>PF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 t="str">
        <f>"D GOMMA D.H.TWILL CANVAS+SINT."</f>
        <v>D GOMMA D.H.TWILL CANVAS+SINT.</v>
      </c>
      <c r="BF1431" s="1" t="str">
        <f t="shared" si="920"/>
        <v>Bonis SpA</v>
      </c>
    </row>
    <row r="1432" spans="2:58" x14ac:dyDescent="0.25">
      <c r="B1432" s="1">
        <v>2566</v>
      </c>
      <c r="C1432" s="1" t="str">
        <f>"GALAD4184S7/CY1"</f>
        <v>GALAD4184S7/CY1</v>
      </c>
      <c r="E1432" s="1" t="str">
        <f>"37"</f>
        <v>37</v>
      </c>
      <c r="F1432" s="1" t="str">
        <f t="shared" si="908"/>
        <v>BONIS SPA</v>
      </c>
      <c r="G1432" s="1" t="str">
        <f t="shared" si="894"/>
        <v>STOCK SCAFFALE MP</v>
      </c>
      <c r="H1432" s="1" t="str">
        <f>"BLUE"</f>
        <v>BLUE</v>
      </c>
      <c r="K1432" s="1">
        <v>2</v>
      </c>
      <c r="L1432" s="1" t="str">
        <f t="shared" si="909"/>
        <v>01</v>
      </c>
      <c r="M1432" s="1" t="str">
        <f t="shared" si="902"/>
        <v>409</v>
      </c>
      <c r="N1432" s="1" t="str">
        <f t="shared" si="923"/>
        <v>016</v>
      </c>
      <c r="O1432" s="1" t="str">
        <f t="shared" si="910"/>
        <v>00</v>
      </c>
      <c r="P1432" s="1" t="str">
        <f t="shared" si="911"/>
        <v>S</v>
      </c>
      <c r="Q1432" s="1" t="str">
        <f t="shared" si="912"/>
        <v>P</v>
      </c>
      <c r="R1432" s="1" t="str">
        <f t="shared" si="913"/>
        <v>01</v>
      </c>
      <c r="S1432" s="1" t="str">
        <f t="shared" si="896"/>
        <v>04</v>
      </c>
      <c r="T1432" s="1" t="str">
        <f t="shared" si="914"/>
        <v>False</v>
      </c>
      <c r="U1432" s="1" t="str">
        <f t="shared" si="915"/>
        <v>True</v>
      </c>
      <c r="V1432" s="1" t="str">
        <f>"U0028382"</f>
        <v>U0028382</v>
      </c>
      <c r="W1432" s="1">
        <v>1</v>
      </c>
      <c r="Y1432" s="1">
        <v>0</v>
      </c>
      <c r="Z1432" s="1">
        <v>0</v>
      </c>
      <c r="AB1432" s="1" t="str">
        <f t="shared" si="903"/>
        <v>SMU</v>
      </c>
      <c r="AI1432" s="1" t="str">
        <f>"F11"</f>
        <v>F11</v>
      </c>
      <c r="AJ1432" s="1" t="str">
        <f>"WOMAN"</f>
        <v>WOMAN</v>
      </c>
      <c r="AK1432" s="1" t="str">
        <f t="shared" si="917"/>
        <v>PA</v>
      </c>
      <c r="AP1432" s="1" t="str">
        <f t="shared" si="918"/>
        <v>False</v>
      </c>
      <c r="AR1432" s="1" t="str">
        <f>"GALAD"</f>
        <v>GALAD</v>
      </c>
      <c r="AY1432" s="1" t="str">
        <f t="shared" si="919"/>
        <v>PF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 t="str">
        <f>"D GOMMA D.H.TWILL CANVAS+SINT."</f>
        <v>D GOMMA D.H.TWILL CANVAS+SINT.</v>
      </c>
      <c r="BF1432" s="1" t="str">
        <f t="shared" si="920"/>
        <v>Bonis SpA</v>
      </c>
    </row>
    <row r="1433" spans="2:58" x14ac:dyDescent="0.25">
      <c r="B1433" s="1">
        <v>2566</v>
      </c>
      <c r="C1433" s="1" t="str">
        <f>"GALAD4184S7/CY1"</f>
        <v>GALAD4184S7/CY1</v>
      </c>
      <c r="E1433" s="1" t="str">
        <f>"39"</f>
        <v>39</v>
      </c>
      <c r="F1433" s="1" t="str">
        <f t="shared" si="908"/>
        <v>BONIS SPA</v>
      </c>
      <c r="G1433" s="1" t="str">
        <f t="shared" si="894"/>
        <v>STOCK SCAFFALE MP</v>
      </c>
      <c r="H1433" s="1" t="str">
        <f>"BLUE"</f>
        <v>BLUE</v>
      </c>
      <c r="K1433" s="1">
        <v>3</v>
      </c>
      <c r="L1433" s="1" t="str">
        <f t="shared" si="909"/>
        <v>01</v>
      </c>
      <c r="M1433" s="1" t="str">
        <f t="shared" si="902"/>
        <v>409</v>
      </c>
      <c r="N1433" s="1" t="str">
        <f t="shared" si="923"/>
        <v>016</v>
      </c>
      <c r="O1433" s="1" t="str">
        <f t="shared" si="910"/>
        <v>00</v>
      </c>
      <c r="P1433" s="1" t="str">
        <f t="shared" si="911"/>
        <v>S</v>
      </c>
      <c r="Q1433" s="1" t="str">
        <f t="shared" si="912"/>
        <v>P</v>
      </c>
      <c r="R1433" s="1" t="str">
        <f t="shared" si="913"/>
        <v>01</v>
      </c>
      <c r="S1433" s="1" t="str">
        <f t="shared" si="896"/>
        <v>04</v>
      </c>
      <c r="T1433" s="1" t="str">
        <f t="shared" si="914"/>
        <v>False</v>
      </c>
      <c r="U1433" s="1" t="str">
        <f t="shared" si="915"/>
        <v>True</v>
      </c>
      <c r="V1433" s="1" t="str">
        <f>"U0028382"</f>
        <v>U0028382</v>
      </c>
      <c r="W1433" s="1">
        <v>1</v>
      </c>
      <c r="Y1433" s="1">
        <v>0</v>
      </c>
      <c r="Z1433" s="1">
        <v>0</v>
      </c>
      <c r="AB1433" s="1" t="str">
        <f t="shared" si="903"/>
        <v>SMU</v>
      </c>
      <c r="AI1433" s="1" t="str">
        <f>"F11"</f>
        <v>F11</v>
      </c>
      <c r="AJ1433" s="1" t="str">
        <f>"WOMAN"</f>
        <v>WOMAN</v>
      </c>
      <c r="AK1433" s="1" t="str">
        <f t="shared" si="917"/>
        <v>PA</v>
      </c>
      <c r="AP1433" s="1" t="str">
        <f t="shared" si="918"/>
        <v>False</v>
      </c>
      <c r="AR1433" s="1" t="str">
        <f>"GALAD"</f>
        <v>GALAD</v>
      </c>
      <c r="AY1433" s="1" t="str">
        <f t="shared" si="919"/>
        <v>PF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 t="str">
        <f>"D GOMMA D.H.TWILL CANVAS+SINT."</f>
        <v>D GOMMA D.H.TWILL CANVAS+SINT.</v>
      </c>
      <c r="BF1433" s="1" t="str">
        <f t="shared" si="920"/>
        <v>Bonis SpA</v>
      </c>
    </row>
    <row r="1434" spans="2:58" x14ac:dyDescent="0.25">
      <c r="B1434" s="1">
        <v>2566</v>
      </c>
      <c r="C1434" s="1" t="str">
        <f>"RUMBO4186S7/C1"</f>
        <v>RUMBO4186S7/C1</v>
      </c>
      <c r="E1434" s="1" t="str">
        <f>"41"</f>
        <v>41</v>
      </c>
      <c r="F1434" s="1" t="str">
        <f t="shared" si="908"/>
        <v>BONIS SPA</v>
      </c>
      <c r="G1434" s="1" t="str">
        <f t="shared" si="894"/>
        <v>STOCK SCAFFALE MP</v>
      </c>
      <c r="H1434" s="1" t="str">
        <f>"WHI"</f>
        <v>WHI</v>
      </c>
      <c r="K1434" s="1">
        <v>1</v>
      </c>
      <c r="L1434" s="1" t="str">
        <f t="shared" si="909"/>
        <v>01</v>
      </c>
      <c r="M1434" s="1" t="str">
        <f t="shared" si="902"/>
        <v>409</v>
      </c>
      <c r="N1434" s="1" t="str">
        <f t="shared" si="923"/>
        <v>016</v>
      </c>
      <c r="O1434" s="1" t="str">
        <f t="shared" si="910"/>
        <v>00</v>
      </c>
      <c r="P1434" s="1" t="str">
        <f t="shared" si="911"/>
        <v>S</v>
      </c>
      <c r="Q1434" s="1" t="str">
        <f t="shared" si="912"/>
        <v>P</v>
      </c>
      <c r="R1434" s="1" t="str">
        <f t="shared" si="913"/>
        <v>01</v>
      </c>
      <c r="S1434" s="1" t="str">
        <f t="shared" si="896"/>
        <v>04</v>
      </c>
      <c r="T1434" s="1" t="str">
        <f t="shared" si="914"/>
        <v>False</v>
      </c>
      <c r="U1434" s="1" t="str">
        <f t="shared" si="915"/>
        <v>True</v>
      </c>
      <c r="V1434" s="1" t="str">
        <f>"U0028272"</f>
        <v>U0028272</v>
      </c>
      <c r="W1434" s="1">
        <v>1</v>
      </c>
      <c r="Y1434" s="1">
        <v>0</v>
      </c>
      <c r="Z1434" s="1">
        <v>0</v>
      </c>
      <c r="AB1434" s="1" t="str">
        <f t="shared" si="903"/>
        <v>SMU</v>
      </c>
      <c r="AI1434" s="1" t="str">
        <f>"106"</f>
        <v>106</v>
      </c>
      <c r="AJ1434" s="1" t="str">
        <f>"MAN"</f>
        <v>MAN</v>
      </c>
      <c r="AK1434" s="1" t="str">
        <f t="shared" si="917"/>
        <v>PA</v>
      </c>
      <c r="AP1434" s="1" t="str">
        <f t="shared" si="918"/>
        <v>False</v>
      </c>
      <c r="AR1434" s="1" t="str">
        <f>"RUMBO"</f>
        <v>RUMBO</v>
      </c>
      <c r="AY1434" s="1" t="str">
        <f t="shared" si="919"/>
        <v>PF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 t="str">
        <f>"MBO TWILL CANVAS"</f>
        <v>MBO TWILL CANVAS</v>
      </c>
      <c r="BF1434" s="1" t="str">
        <f t="shared" si="920"/>
        <v>Bonis SpA</v>
      </c>
    </row>
    <row r="1435" spans="2:58" x14ac:dyDescent="0.25">
      <c r="B1435" s="1">
        <v>2566</v>
      </c>
      <c r="C1435" s="1" t="str">
        <f>"GALAD4184S7/CY1"</f>
        <v>GALAD4184S7/CY1</v>
      </c>
      <c r="E1435" s="1" t="str">
        <f>"40"</f>
        <v>40</v>
      </c>
      <c r="F1435" s="1" t="str">
        <f t="shared" si="908"/>
        <v>BONIS SPA</v>
      </c>
      <c r="G1435" s="1" t="str">
        <f t="shared" si="894"/>
        <v>STOCK SCAFFALE MP</v>
      </c>
      <c r="H1435" s="1" t="str">
        <f>"BLUE"</f>
        <v>BLUE</v>
      </c>
      <c r="K1435" s="1">
        <v>2</v>
      </c>
      <c r="L1435" s="1" t="str">
        <f t="shared" si="909"/>
        <v>01</v>
      </c>
      <c r="M1435" s="1" t="str">
        <f t="shared" si="902"/>
        <v>409</v>
      </c>
      <c r="N1435" s="1" t="str">
        <f t="shared" si="923"/>
        <v>016</v>
      </c>
      <c r="O1435" s="1" t="str">
        <f t="shared" si="910"/>
        <v>00</v>
      </c>
      <c r="P1435" s="1" t="str">
        <f t="shared" si="911"/>
        <v>S</v>
      </c>
      <c r="Q1435" s="1" t="str">
        <f t="shared" si="912"/>
        <v>P</v>
      </c>
      <c r="R1435" s="1" t="str">
        <f t="shared" si="913"/>
        <v>01</v>
      </c>
      <c r="S1435" s="1" t="str">
        <f t="shared" si="896"/>
        <v>04</v>
      </c>
      <c r="T1435" s="1" t="str">
        <f t="shared" si="914"/>
        <v>False</v>
      </c>
      <c r="U1435" s="1" t="str">
        <f t="shared" si="915"/>
        <v>True</v>
      </c>
      <c r="V1435" s="1" t="str">
        <f>"U0028382"</f>
        <v>U0028382</v>
      </c>
      <c r="W1435" s="1">
        <v>1</v>
      </c>
      <c r="Y1435" s="1">
        <v>0</v>
      </c>
      <c r="Z1435" s="1">
        <v>0</v>
      </c>
      <c r="AB1435" s="1" t="str">
        <f t="shared" si="903"/>
        <v>SMU</v>
      </c>
      <c r="AI1435" s="1" t="str">
        <f>"F11"</f>
        <v>F11</v>
      </c>
      <c r="AJ1435" s="1" t="str">
        <f>"WOMAN"</f>
        <v>WOMAN</v>
      </c>
      <c r="AK1435" s="1" t="str">
        <f t="shared" si="917"/>
        <v>PA</v>
      </c>
      <c r="AP1435" s="1" t="str">
        <f t="shared" si="918"/>
        <v>False</v>
      </c>
      <c r="AR1435" s="1" t="str">
        <f>"GALAD"</f>
        <v>GALAD</v>
      </c>
      <c r="AY1435" s="1" t="str">
        <f t="shared" si="919"/>
        <v>PF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 t="str">
        <f>"D GOMMA D.H.TWILL CANVAS+SINT."</f>
        <v>D GOMMA D.H.TWILL CANVAS+SINT.</v>
      </c>
      <c r="BF1435" s="1" t="str">
        <f t="shared" si="920"/>
        <v>Bonis SpA</v>
      </c>
    </row>
    <row r="1436" spans="2:58" x14ac:dyDescent="0.25">
      <c r="B1436" s="1">
        <v>2566</v>
      </c>
      <c r="C1436" s="1" t="str">
        <f>"GALAD4184S7/CY1"</f>
        <v>GALAD4184S7/CY1</v>
      </c>
      <c r="E1436" s="1" t="str">
        <f>"41"</f>
        <v>41</v>
      </c>
      <c r="F1436" s="1" t="str">
        <f t="shared" si="908"/>
        <v>BONIS SPA</v>
      </c>
      <c r="G1436" s="1" t="str">
        <f t="shared" si="894"/>
        <v>STOCK SCAFFALE MP</v>
      </c>
      <c r="H1436" s="1" t="str">
        <f>"BLUE"</f>
        <v>BLUE</v>
      </c>
      <c r="K1436" s="1">
        <v>1</v>
      </c>
      <c r="L1436" s="1" t="str">
        <f t="shared" si="909"/>
        <v>01</v>
      </c>
      <c r="M1436" s="1" t="str">
        <f t="shared" si="902"/>
        <v>409</v>
      </c>
      <c r="N1436" s="1" t="str">
        <f t="shared" si="923"/>
        <v>016</v>
      </c>
      <c r="O1436" s="1" t="str">
        <f t="shared" si="910"/>
        <v>00</v>
      </c>
      <c r="P1436" s="1" t="str">
        <f t="shared" si="911"/>
        <v>S</v>
      </c>
      <c r="Q1436" s="1" t="str">
        <f t="shared" si="912"/>
        <v>P</v>
      </c>
      <c r="R1436" s="1" t="str">
        <f t="shared" si="913"/>
        <v>01</v>
      </c>
      <c r="S1436" s="1" t="str">
        <f t="shared" si="896"/>
        <v>04</v>
      </c>
      <c r="T1436" s="1" t="str">
        <f t="shared" si="914"/>
        <v>False</v>
      </c>
      <c r="U1436" s="1" t="str">
        <f t="shared" si="915"/>
        <v>True</v>
      </c>
      <c r="V1436" s="1" t="str">
        <f>"U0028382"</f>
        <v>U0028382</v>
      </c>
      <c r="W1436" s="1">
        <v>1</v>
      </c>
      <c r="Y1436" s="1">
        <v>0</v>
      </c>
      <c r="Z1436" s="1">
        <v>0</v>
      </c>
      <c r="AB1436" s="1" t="str">
        <f t="shared" si="903"/>
        <v>SMU</v>
      </c>
      <c r="AI1436" s="1" t="str">
        <f>"F11"</f>
        <v>F11</v>
      </c>
      <c r="AJ1436" s="1" t="str">
        <f>"WOMAN"</f>
        <v>WOMAN</v>
      </c>
      <c r="AK1436" s="1" t="str">
        <f t="shared" si="917"/>
        <v>PA</v>
      </c>
      <c r="AP1436" s="1" t="str">
        <f t="shared" si="918"/>
        <v>False</v>
      </c>
      <c r="AR1436" s="1" t="str">
        <f>"GALAD"</f>
        <v>GALAD</v>
      </c>
      <c r="AY1436" s="1" t="str">
        <f t="shared" si="919"/>
        <v>PF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 t="str">
        <f>"D GOMMA D.H.TWILL CANVAS+SINT."</f>
        <v>D GOMMA D.H.TWILL CANVAS+SINT.</v>
      </c>
      <c r="BF1436" s="1" t="str">
        <f t="shared" si="920"/>
        <v>Bonis SpA</v>
      </c>
    </row>
    <row r="1437" spans="2:58" x14ac:dyDescent="0.25">
      <c r="B1437" s="1">
        <v>2566</v>
      </c>
      <c r="C1437" s="1" t="str">
        <f>"RUMBO4186S7/C1"</f>
        <v>RUMBO4186S7/C1</v>
      </c>
      <c r="E1437" s="1" t="str">
        <f>"45"</f>
        <v>45</v>
      </c>
      <c r="F1437" s="1" t="str">
        <f t="shared" si="908"/>
        <v>BONIS SPA</v>
      </c>
      <c r="G1437" s="1" t="str">
        <f t="shared" si="894"/>
        <v>STOCK SCAFFALE MP</v>
      </c>
      <c r="H1437" s="1" t="str">
        <f>"WHI"</f>
        <v>WHI</v>
      </c>
      <c r="K1437" s="1">
        <v>1</v>
      </c>
      <c r="L1437" s="1" t="str">
        <f t="shared" si="909"/>
        <v>01</v>
      </c>
      <c r="M1437" s="1" t="str">
        <f t="shared" si="902"/>
        <v>409</v>
      </c>
      <c r="N1437" s="1" t="str">
        <f t="shared" si="923"/>
        <v>016</v>
      </c>
      <c r="O1437" s="1" t="str">
        <f t="shared" si="910"/>
        <v>00</v>
      </c>
      <c r="P1437" s="1" t="str">
        <f t="shared" si="911"/>
        <v>S</v>
      </c>
      <c r="Q1437" s="1" t="str">
        <f t="shared" si="912"/>
        <v>P</v>
      </c>
      <c r="R1437" s="1" t="str">
        <f t="shared" si="913"/>
        <v>01</v>
      </c>
      <c r="S1437" s="1" t="str">
        <f t="shared" si="896"/>
        <v>04</v>
      </c>
      <c r="T1437" s="1" t="str">
        <f t="shared" si="914"/>
        <v>False</v>
      </c>
      <c r="U1437" s="1" t="str">
        <f t="shared" si="915"/>
        <v>True</v>
      </c>
      <c r="V1437" s="1" t="str">
        <f>"U0028272"</f>
        <v>U0028272</v>
      </c>
      <c r="W1437" s="1">
        <v>1</v>
      </c>
      <c r="Y1437" s="1">
        <v>0</v>
      </c>
      <c r="Z1437" s="1">
        <v>0</v>
      </c>
      <c r="AB1437" s="1" t="str">
        <f t="shared" si="903"/>
        <v>SMU</v>
      </c>
      <c r="AI1437" s="1" t="str">
        <f>"106"</f>
        <v>106</v>
      </c>
      <c r="AJ1437" s="1" t="str">
        <f>"MAN"</f>
        <v>MAN</v>
      </c>
      <c r="AK1437" s="1" t="str">
        <f t="shared" si="917"/>
        <v>PA</v>
      </c>
      <c r="AP1437" s="1" t="str">
        <f t="shared" si="918"/>
        <v>False</v>
      </c>
      <c r="AR1437" s="1" t="str">
        <f>"RUMBO"</f>
        <v>RUMBO</v>
      </c>
      <c r="AY1437" s="1" t="str">
        <f t="shared" si="919"/>
        <v>PF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 t="str">
        <f>"MBO TWILL CANVAS"</f>
        <v>MBO TWILL CANVAS</v>
      </c>
      <c r="BF1437" s="1" t="str">
        <f t="shared" si="920"/>
        <v>Bonis SpA</v>
      </c>
    </row>
    <row r="1438" spans="2:58" x14ac:dyDescent="0.25">
      <c r="B1438" s="1">
        <v>2566</v>
      </c>
      <c r="C1438" s="1" t="str">
        <f>"GALAN4182S7/CY1"</f>
        <v>GALAN4182S7/CY1</v>
      </c>
      <c r="E1438" s="1" t="str">
        <f>"40"</f>
        <v>40</v>
      </c>
      <c r="F1438" s="1" t="str">
        <f t="shared" si="908"/>
        <v>BONIS SPA</v>
      </c>
      <c r="G1438" s="1" t="str">
        <f t="shared" si="894"/>
        <v>STOCK SCAFFALE MP</v>
      </c>
      <c r="H1438" s="1" t="str">
        <f>"BEI"</f>
        <v>BEI</v>
      </c>
      <c r="K1438" s="1">
        <v>1</v>
      </c>
      <c r="L1438" s="1" t="str">
        <f t="shared" si="909"/>
        <v>01</v>
      </c>
      <c r="M1438" s="1" t="str">
        <f t="shared" si="902"/>
        <v>409</v>
      </c>
      <c r="N1438" s="1" t="str">
        <f t="shared" si="923"/>
        <v>016</v>
      </c>
      <c r="O1438" s="1" t="str">
        <f t="shared" si="910"/>
        <v>00</v>
      </c>
      <c r="P1438" s="1" t="str">
        <f t="shared" si="911"/>
        <v>S</v>
      </c>
      <c r="Q1438" s="1" t="str">
        <f t="shared" si="912"/>
        <v>P</v>
      </c>
      <c r="R1438" s="1" t="str">
        <f t="shared" si="913"/>
        <v>01</v>
      </c>
      <c r="S1438" s="1" t="str">
        <f t="shared" si="896"/>
        <v>04</v>
      </c>
      <c r="T1438" s="1" t="str">
        <f t="shared" si="914"/>
        <v>False</v>
      </c>
      <c r="U1438" s="1" t="str">
        <f t="shared" si="915"/>
        <v>True</v>
      </c>
      <c r="V1438" s="1" t="str">
        <f>"U0028270"</f>
        <v>U0028270</v>
      </c>
      <c r="W1438" s="1">
        <v>1</v>
      </c>
      <c r="Y1438" s="1">
        <v>0</v>
      </c>
      <c r="Z1438" s="1">
        <v>0</v>
      </c>
      <c r="AB1438" s="1" t="str">
        <f t="shared" si="903"/>
        <v>SMU</v>
      </c>
      <c r="AI1438" s="1" t="str">
        <f>"106"</f>
        <v>106</v>
      </c>
      <c r="AJ1438" s="1" t="str">
        <f>"MAN"</f>
        <v>MAN</v>
      </c>
      <c r="AK1438" s="1" t="str">
        <f t="shared" si="917"/>
        <v>PA</v>
      </c>
      <c r="AP1438" s="1" t="str">
        <f t="shared" si="918"/>
        <v>False</v>
      </c>
      <c r="AR1438" s="1" t="str">
        <f>"GALAN"</f>
        <v>GALAN</v>
      </c>
      <c r="AY1438" s="1" t="str">
        <f t="shared" si="919"/>
        <v>PF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 t="str">
        <f>"LAN+TWILL CANVAS + SIN.LEATHER"</f>
        <v>LAN+TWILL CANVAS + SIN.LEATHER</v>
      </c>
      <c r="BF1438" s="1" t="str">
        <f t="shared" si="920"/>
        <v>Bonis SpA</v>
      </c>
    </row>
    <row r="1439" spans="2:58" x14ac:dyDescent="0.25">
      <c r="B1439" s="1">
        <v>2566</v>
      </c>
      <c r="C1439" s="1" t="str">
        <f>"GALAN4182S7/CY1"</f>
        <v>GALAN4182S7/CY1</v>
      </c>
      <c r="E1439" s="1" t="str">
        <f>"41"</f>
        <v>41</v>
      </c>
      <c r="F1439" s="1" t="str">
        <f t="shared" si="908"/>
        <v>BONIS SPA</v>
      </c>
      <c r="G1439" s="1" t="str">
        <f t="shared" si="894"/>
        <v>STOCK SCAFFALE MP</v>
      </c>
      <c r="H1439" s="1" t="str">
        <f>"BEI"</f>
        <v>BEI</v>
      </c>
      <c r="K1439" s="1">
        <v>2</v>
      </c>
      <c r="L1439" s="1" t="str">
        <f t="shared" si="909"/>
        <v>01</v>
      </c>
      <c r="M1439" s="1" t="str">
        <f t="shared" si="902"/>
        <v>409</v>
      </c>
      <c r="N1439" s="1" t="str">
        <f t="shared" si="923"/>
        <v>016</v>
      </c>
      <c r="O1439" s="1" t="str">
        <f t="shared" si="910"/>
        <v>00</v>
      </c>
      <c r="P1439" s="1" t="str">
        <f t="shared" si="911"/>
        <v>S</v>
      </c>
      <c r="Q1439" s="1" t="str">
        <f t="shared" si="912"/>
        <v>P</v>
      </c>
      <c r="R1439" s="1" t="str">
        <f t="shared" si="913"/>
        <v>01</v>
      </c>
      <c r="S1439" s="1" t="str">
        <f t="shared" si="896"/>
        <v>04</v>
      </c>
      <c r="T1439" s="1" t="str">
        <f t="shared" si="914"/>
        <v>False</v>
      </c>
      <c r="U1439" s="1" t="str">
        <f t="shared" si="915"/>
        <v>True</v>
      </c>
      <c r="V1439" s="1" t="str">
        <f>"U0028384"</f>
        <v>U0028384</v>
      </c>
      <c r="W1439" s="1">
        <v>1</v>
      </c>
      <c r="Y1439" s="1">
        <v>0</v>
      </c>
      <c r="Z1439" s="1">
        <v>0</v>
      </c>
      <c r="AB1439" s="1" t="str">
        <f t="shared" si="903"/>
        <v>SMU</v>
      </c>
      <c r="AI1439" s="1" t="str">
        <f t="shared" ref="AI1439:AI1456" si="930">"F11"</f>
        <v>F11</v>
      </c>
      <c r="AJ1439" s="1" t="str">
        <f>"MAN"</f>
        <v>MAN</v>
      </c>
      <c r="AK1439" s="1" t="str">
        <f t="shared" si="917"/>
        <v>PA</v>
      </c>
      <c r="AP1439" s="1" t="str">
        <f t="shared" si="918"/>
        <v>False</v>
      </c>
      <c r="AR1439" s="1" t="str">
        <f>"GALAN"</f>
        <v>GALAN</v>
      </c>
      <c r="AY1439" s="1" t="str">
        <f t="shared" si="919"/>
        <v>PF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 t="str">
        <f>"LAN+TWILL CANVAS + SIN.LEATHER"</f>
        <v>LAN+TWILL CANVAS + SIN.LEATHER</v>
      </c>
      <c r="BF1439" s="1" t="str">
        <f t="shared" si="920"/>
        <v>Bonis SpA</v>
      </c>
    </row>
    <row r="1440" spans="2:58" x14ac:dyDescent="0.25">
      <c r="B1440" s="1">
        <v>2566</v>
      </c>
      <c r="C1440" s="1" t="str">
        <f>"GALAN4182S7/CY1"</f>
        <v>GALAN4182S7/CY1</v>
      </c>
      <c r="E1440" s="1" t="str">
        <f>"42"</f>
        <v>42</v>
      </c>
      <c r="F1440" s="1" t="str">
        <f t="shared" si="908"/>
        <v>BONIS SPA</v>
      </c>
      <c r="G1440" s="1" t="str">
        <f t="shared" si="894"/>
        <v>STOCK SCAFFALE MP</v>
      </c>
      <c r="H1440" s="1" t="str">
        <f>"BEI"</f>
        <v>BEI</v>
      </c>
      <c r="K1440" s="1">
        <v>2</v>
      </c>
      <c r="L1440" s="1" t="str">
        <f t="shared" si="909"/>
        <v>01</v>
      </c>
      <c r="M1440" s="1" t="str">
        <f t="shared" si="902"/>
        <v>409</v>
      </c>
      <c r="N1440" s="1" t="str">
        <f t="shared" si="923"/>
        <v>016</v>
      </c>
      <c r="O1440" s="1" t="str">
        <f t="shared" si="910"/>
        <v>00</v>
      </c>
      <c r="P1440" s="1" t="str">
        <f t="shared" si="911"/>
        <v>S</v>
      </c>
      <c r="Q1440" s="1" t="str">
        <f t="shared" si="912"/>
        <v>P</v>
      </c>
      <c r="R1440" s="1" t="str">
        <f t="shared" si="913"/>
        <v>01</v>
      </c>
      <c r="S1440" s="1" t="str">
        <f t="shared" si="896"/>
        <v>04</v>
      </c>
      <c r="T1440" s="1" t="str">
        <f t="shared" si="914"/>
        <v>False</v>
      </c>
      <c r="U1440" s="1" t="str">
        <f t="shared" si="915"/>
        <v>True</v>
      </c>
      <c r="V1440" s="1" t="str">
        <f>"U0028384"</f>
        <v>U0028384</v>
      </c>
      <c r="W1440" s="1">
        <v>1</v>
      </c>
      <c r="Y1440" s="1">
        <v>0</v>
      </c>
      <c r="Z1440" s="1">
        <v>0</v>
      </c>
      <c r="AB1440" s="1" t="str">
        <f t="shared" si="903"/>
        <v>SMU</v>
      </c>
      <c r="AI1440" s="1" t="str">
        <f t="shared" si="930"/>
        <v>F11</v>
      </c>
      <c r="AJ1440" s="1" t="str">
        <f>"MAN"</f>
        <v>MAN</v>
      </c>
      <c r="AK1440" s="1" t="str">
        <f t="shared" si="917"/>
        <v>PA</v>
      </c>
      <c r="AP1440" s="1" t="str">
        <f t="shared" si="918"/>
        <v>False</v>
      </c>
      <c r="AR1440" s="1" t="str">
        <f>"GALAN"</f>
        <v>GALAN</v>
      </c>
      <c r="AY1440" s="1" t="str">
        <f t="shared" si="919"/>
        <v>PF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 t="str">
        <f>"LAN+TWILL CANVAS + SIN.LEATHER"</f>
        <v>LAN+TWILL CANVAS + SIN.LEATHER</v>
      </c>
      <c r="BF1440" s="1" t="str">
        <f t="shared" si="920"/>
        <v>Bonis SpA</v>
      </c>
    </row>
    <row r="1441" spans="2:58" x14ac:dyDescent="0.25">
      <c r="B1441" s="1">
        <v>2566</v>
      </c>
      <c r="C1441" s="1" t="str">
        <f>"GALAN4182S7/CY1"</f>
        <v>GALAN4182S7/CY1</v>
      </c>
      <c r="E1441" s="1" t="str">
        <f>"44"</f>
        <v>44</v>
      </c>
      <c r="F1441" s="1" t="str">
        <f t="shared" si="908"/>
        <v>BONIS SPA</v>
      </c>
      <c r="G1441" s="1" t="str">
        <f t="shared" si="894"/>
        <v>STOCK SCAFFALE MP</v>
      </c>
      <c r="H1441" s="1" t="str">
        <f>"BEI"</f>
        <v>BEI</v>
      </c>
      <c r="K1441" s="1">
        <v>2</v>
      </c>
      <c r="L1441" s="1" t="str">
        <f t="shared" si="909"/>
        <v>01</v>
      </c>
      <c r="M1441" s="1" t="str">
        <f t="shared" si="902"/>
        <v>409</v>
      </c>
      <c r="N1441" s="1" t="str">
        <f t="shared" si="923"/>
        <v>016</v>
      </c>
      <c r="O1441" s="1" t="str">
        <f t="shared" si="910"/>
        <v>00</v>
      </c>
      <c r="P1441" s="1" t="str">
        <f t="shared" si="911"/>
        <v>S</v>
      </c>
      <c r="Q1441" s="1" t="str">
        <f t="shared" si="912"/>
        <v>P</v>
      </c>
      <c r="R1441" s="1" t="str">
        <f t="shared" si="913"/>
        <v>01</v>
      </c>
      <c r="S1441" s="1" t="str">
        <f t="shared" si="896"/>
        <v>04</v>
      </c>
      <c r="T1441" s="1" t="str">
        <f t="shared" si="914"/>
        <v>False</v>
      </c>
      <c r="U1441" s="1" t="str">
        <f t="shared" si="915"/>
        <v>True</v>
      </c>
      <c r="V1441" s="1" t="str">
        <f>"U0028384"</f>
        <v>U0028384</v>
      </c>
      <c r="W1441" s="1">
        <v>1</v>
      </c>
      <c r="Y1441" s="1">
        <v>0</v>
      </c>
      <c r="Z1441" s="1">
        <v>0</v>
      </c>
      <c r="AB1441" s="1" t="str">
        <f t="shared" si="903"/>
        <v>SMU</v>
      </c>
      <c r="AI1441" s="1" t="str">
        <f t="shared" si="930"/>
        <v>F11</v>
      </c>
      <c r="AJ1441" s="1" t="str">
        <f>"MAN"</f>
        <v>MAN</v>
      </c>
      <c r="AK1441" s="1" t="str">
        <f t="shared" si="917"/>
        <v>PA</v>
      </c>
      <c r="AP1441" s="1" t="str">
        <f t="shared" si="918"/>
        <v>False</v>
      </c>
      <c r="AR1441" s="1" t="str">
        <f>"GALAN"</f>
        <v>GALAN</v>
      </c>
      <c r="AY1441" s="1" t="str">
        <f t="shared" si="919"/>
        <v>PF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 t="str">
        <f>"LAN+TWILL CANVAS + SIN.LEATHER"</f>
        <v>LAN+TWILL CANVAS + SIN.LEATHER</v>
      </c>
      <c r="BF1441" s="1" t="str">
        <f t="shared" si="920"/>
        <v>Bonis SpA</v>
      </c>
    </row>
    <row r="1442" spans="2:58" x14ac:dyDescent="0.25">
      <c r="B1442" s="1">
        <v>2566</v>
      </c>
      <c r="C1442" s="1" t="str">
        <f t="shared" ref="C1442:C1447" si="931">"GALAD4184S7/CY1"</f>
        <v>GALAD4184S7/CY1</v>
      </c>
      <c r="E1442" s="1" t="str">
        <f>"38"</f>
        <v>38</v>
      </c>
      <c r="F1442" s="1" t="str">
        <f t="shared" si="908"/>
        <v>BONIS SPA</v>
      </c>
      <c r="G1442" s="1" t="str">
        <f t="shared" si="894"/>
        <v>STOCK SCAFFALE MP</v>
      </c>
      <c r="H1442" s="1" t="str">
        <f t="shared" ref="H1442:H1447" si="932">"RED"</f>
        <v>RED</v>
      </c>
      <c r="K1442" s="1">
        <v>3</v>
      </c>
      <c r="L1442" s="1" t="str">
        <f t="shared" si="909"/>
        <v>01</v>
      </c>
      <c r="M1442" s="1" t="str">
        <f t="shared" si="902"/>
        <v>409</v>
      </c>
      <c r="N1442" s="1" t="str">
        <f t="shared" si="923"/>
        <v>016</v>
      </c>
      <c r="O1442" s="1" t="str">
        <f t="shared" si="910"/>
        <v>00</v>
      </c>
      <c r="P1442" s="1" t="str">
        <f t="shared" si="911"/>
        <v>S</v>
      </c>
      <c r="Q1442" s="1" t="str">
        <f t="shared" si="912"/>
        <v>P</v>
      </c>
      <c r="R1442" s="1" t="str">
        <f t="shared" si="913"/>
        <v>01</v>
      </c>
      <c r="S1442" s="1" t="str">
        <f t="shared" si="896"/>
        <v>04</v>
      </c>
      <c r="T1442" s="1" t="str">
        <f t="shared" si="914"/>
        <v>False</v>
      </c>
      <c r="U1442" s="1" t="str">
        <f t="shared" si="915"/>
        <v>True</v>
      </c>
      <c r="V1442" s="1" t="str">
        <f t="shared" ref="V1442:V1447" si="933">"U0028385"</f>
        <v>U0028385</v>
      </c>
      <c r="W1442" s="1">
        <v>1</v>
      </c>
      <c r="Y1442" s="1">
        <v>0</v>
      </c>
      <c r="Z1442" s="1">
        <v>0</v>
      </c>
      <c r="AB1442" s="1" t="str">
        <f t="shared" si="903"/>
        <v>SMU</v>
      </c>
      <c r="AI1442" s="1" t="str">
        <f t="shared" si="930"/>
        <v>F11</v>
      </c>
      <c r="AJ1442" s="1" t="str">
        <f t="shared" ref="AJ1442:AJ1447" si="934">"WOMAN"</f>
        <v>WOMAN</v>
      </c>
      <c r="AK1442" s="1" t="str">
        <f t="shared" si="917"/>
        <v>PA</v>
      </c>
      <c r="AP1442" s="1" t="str">
        <f t="shared" si="918"/>
        <v>False</v>
      </c>
      <c r="AR1442" s="1" t="str">
        <f t="shared" ref="AR1442:AR1447" si="935">"GALAD"</f>
        <v>GALAD</v>
      </c>
      <c r="AY1442" s="1" t="str">
        <f t="shared" si="919"/>
        <v>PF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 t="str">
        <f t="shared" ref="BE1442:BE1447" si="936">"D GOMMA D.H.TWILL CANVAS+SINT."</f>
        <v>D GOMMA D.H.TWILL CANVAS+SINT.</v>
      </c>
      <c r="BF1442" s="1" t="str">
        <f t="shared" si="920"/>
        <v>Bonis SpA</v>
      </c>
    </row>
    <row r="1443" spans="2:58" x14ac:dyDescent="0.25">
      <c r="B1443" s="1">
        <v>2566</v>
      </c>
      <c r="C1443" s="1" t="str">
        <f t="shared" si="931"/>
        <v>GALAD4184S7/CY1</v>
      </c>
      <c r="E1443" s="1" t="str">
        <f>"37"</f>
        <v>37</v>
      </c>
      <c r="F1443" s="1" t="str">
        <f t="shared" si="908"/>
        <v>BONIS SPA</v>
      </c>
      <c r="G1443" s="1" t="str">
        <f t="shared" si="894"/>
        <v>STOCK SCAFFALE MP</v>
      </c>
      <c r="H1443" s="1" t="str">
        <f t="shared" si="932"/>
        <v>RED</v>
      </c>
      <c r="K1443" s="1">
        <v>2</v>
      </c>
      <c r="L1443" s="1" t="str">
        <f t="shared" si="909"/>
        <v>01</v>
      </c>
      <c r="M1443" s="1" t="str">
        <f t="shared" si="902"/>
        <v>409</v>
      </c>
      <c r="N1443" s="1" t="str">
        <f t="shared" si="923"/>
        <v>016</v>
      </c>
      <c r="O1443" s="1" t="str">
        <f t="shared" si="910"/>
        <v>00</v>
      </c>
      <c r="P1443" s="1" t="str">
        <f t="shared" si="911"/>
        <v>S</v>
      </c>
      <c r="Q1443" s="1" t="str">
        <f t="shared" si="912"/>
        <v>P</v>
      </c>
      <c r="R1443" s="1" t="str">
        <f t="shared" si="913"/>
        <v>01</v>
      </c>
      <c r="S1443" s="1" t="str">
        <f t="shared" si="896"/>
        <v>04</v>
      </c>
      <c r="T1443" s="1" t="str">
        <f t="shared" si="914"/>
        <v>False</v>
      </c>
      <c r="U1443" s="1" t="str">
        <f t="shared" si="915"/>
        <v>True</v>
      </c>
      <c r="V1443" s="1" t="str">
        <f t="shared" si="933"/>
        <v>U0028385</v>
      </c>
      <c r="W1443" s="1">
        <v>1</v>
      </c>
      <c r="Y1443" s="1">
        <v>0</v>
      </c>
      <c r="Z1443" s="1">
        <v>0</v>
      </c>
      <c r="AB1443" s="1" t="str">
        <f t="shared" si="903"/>
        <v>SMU</v>
      </c>
      <c r="AI1443" s="1" t="str">
        <f t="shared" si="930"/>
        <v>F11</v>
      </c>
      <c r="AJ1443" s="1" t="str">
        <f t="shared" si="934"/>
        <v>WOMAN</v>
      </c>
      <c r="AK1443" s="1" t="str">
        <f t="shared" si="917"/>
        <v>PA</v>
      </c>
      <c r="AP1443" s="1" t="str">
        <f t="shared" si="918"/>
        <v>False</v>
      </c>
      <c r="AR1443" s="1" t="str">
        <f t="shared" si="935"/>
        <v>GALAD</v>
      </c>
      <c r="AY1443" s="1" t="str">
        <f t="shared" si="919"/>
        <v>PF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 t="str">
        <f t="shared" si="936"/>
        <v>D GOMMA D.H.TWILL CANVAS+SINT.</v>
      </c>
      <c r="BF1443" s="1" t="str">
        <f t="shared" si="920"/>
        <v>Bonis SpA</v>
      </c>
    </row>
    <row r="1444" spans="2:58" x14ac:dyDescent="0.25">
      <c r="B1444" s="1">
        <v>2566</v>
      </c>
      <c r="C1444" s="1" t="str">
        <f t="shared" si="931"/>
        <v>GALAD4184S7/CY1</v>
      </c>
      <c r="E1444" s="1" t="str">
        <f>"36"</f>
        <v>36</v>
      </c>
      <c r="F1444" s="1" t="str">
        <f t="shared" si="908"/>
        <v>BONIS SPA</v>
      </c>
      <c r="G1444" s="1" t="str">
        <f t="shared" si="894"/>
        <v>STOCK SCAFFALE MP</v>
      </c>
      <c r="H1444" s="1" t="str">
        <f t="shared" si="932"/>
        <v>RED</v>
      </c>
      <c r="K1444" s="1">
        <v>1</v>
      </c>
      <c r="L1444" s="1" t="str">
        <f t="shared" si="909"/>
        <v>01</v>
      </c>
      <c r="M1444" s="1" t="str">
        <f t="shared" si="902"/>
        <v>409</v>
      </c>
      <c r="N1444" s="1" t="str">
        <f t="shared" si="923"/>
        <v>016</v>
      </c>
      <c r="O1444" s="1" t="str">
        <f t="shared" si="910"/>
        <v>00</v>
      </c>
      <c r="P1444" s="1" t="str">
        <f t="shared" si="911"/>
        <v>S</v>
      </c>
      <c r="Q1444" s="1" t="str">
        <f t="shared" si="912"/>
        <v>P</v>
      </c>
      <c r="R1444" s="1" t="str">
        <f t="shared" si="913"/>
        <v>01</v>
      </c>
      <c r="S1444" s="1" t="str">
        <f t="shared" si="896"/>
        <v>04</v>
      </c>
      <c r="T1444" s="1" t="str">
        <f t="shared" si="914"/>
        <v>False</v>
      </c>
      <c r="U1444" s="1" t="str">
        <f t="shared" si="915"/>
        <v>True</v>
      </c>
      <c r="V1444" s="1" t="str">
        <f t="shared" si="933"/>
        <v>U0028385</v>
      </c>
      <c r="W1444" s="1">
        <v>1</v>
      </c>
      <c r="Y1444" s="1">
        <v>0</v>
      </c>
      <c r="Z1444" s="1">
        <v>0</v>
      </c>
      <c r="AB1444" s="1" t="str">
        <f t="shared" si="903"/>
        <v>SMU</v>
      </c>
      <c r="AI1444" s="1" t="str">
        <f t="shared" si="930"/>
        <v>F11</v>
      </c>
      <c r="AJ1444" s="1" t="str">
        <f t="shared" si="934"/>
        <v>WOMAN</v>
      </c>
      <c r="AK1444" s="1" t="str">
        <f t="shared" si="917"/>
        <v>PA</v>
      </c>
      <c r="AP1444" s="1" t="str">
        <f t="shared" si="918"/>
        <v>False</v>
      </c>
      <c r="AR1444" s="1" t="str">
        <f t="shared" si="935"/>
        <v>GALAD</v>
      </c>
      <c r="AY1444" s="1" t="str">
        <f t="shared" si="919"/>
        <v>PF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 t="str">
        <f t="shared" si="936"/>
        <v>D GOMMA D.H.TWILL CANVAS+SINT.</v>
      </c>
      <c r="BF1444" s="1" t="str">
        <f t="shared" si="920"/>
        <v>Bonis SpA</v>
      </c>
    </row>
    <row r="1445" spans="2:58" x14ac:dyDescent="0.25">
      <c r="B1445" s="1">
        <v>2566</v>
      </c>
      <c r="C1445" s="1" t="str">
        <f t="shared" si="931"/>
        <v>GALAD4184S7/CY1</v>
      </c>
      <c r="E1445" s="1" t="str">
        <f>"39"</f>
        <v>39</v>
      </c>
      <c r="F1445" s="1" t="str">
        <f t="shared" si="908"/>
        <v>BONIS SPA</v>
      </c>
      <c r="G1445" s="1" t="str">
        <f t="shared" si="894"/>
        <v>STOCK SCAFFALE MP</v>
      </c>
      <c r="H1445" s="1" t="str">
        <f t="shared" si="932"/>
        <v>RED</v>
      </c>
      <c r="K1445" s="1">
        <v>3</v>
      </c>
      <c r="L1445" s="1" t="str">
        <f t="shared" si="909"/>
        <v>01</v>
      </c>
      <c r="M1445" s="1" t="str">
        <f t="shared" si="902"/>
        <v>409</v>
      </c>
      <c r="N1445" s="1" t="str">
        <f t="shared" si="923"/>
        <v>016</v>
      </c>
      <c r="O1445" s="1" t="str">
        <f t="shared" si="910"/>
        <v>00</v>
      </c>
      <c r="P1445" s="1" t="str">
        <f t="shared" si="911"/>
        <v>S</v>
      </c>
      <c r="Q1445" s="1" t="str">
        <f t="shared" si="912"/>
        <v>P</v>
      </c>
      <c r="R1445" s="1" t="str">
        <f t="shared" si="913"/>
        <v>01</v>
      </c>
      <c r="S1445" s="1" t="str">
        <f t="shared" si="896"/>
        <v>04</v>
      </c>
      <c r="T1445" s="1" t="str">
        <f t="shared" si="914"/>
        <v>False</v>
      </c>
      <c r="U1445" s="1" t="str">
        <f t="shared" si="915"/>
        <v>True</v>
      </c>
      <c r="V1445" s="1" t="str">
        <f t="shared" si="933"/>
        <v>U0028385</v>
      </c>
      <c r="W1445" s="1">
        <v>1</v>
      </c>
      <c r="Y1445" s="1">
        <v>0</v>
      </c>
      <c r="Z1445" s="1">
        <v>0</v>
      </c>
      <c r="AB1445" s="1" t="str">
        <f t="shared" si="903"/>
        <v>SMU</v>
      </c>
      <c r="AI1445" s="1" t="str">
        <f t="shared" si="930"/>
        <v>F11</v>
      </c>
      <c r="AJ1445" s="1" t="str">
        <f t="shared" si="934"/>
        <v>WOMAN</v>
      </c>
      <c r="AK1445" s="1" t="str">
        <f t="shared" si="917"/>
        <v>PA</v>
      </c>
      <c r="AP1445" s="1" t="str">
        <f t="shared" si="918"/>
        <v>False</v>
      </c>
      <c r="AR1445" s="1" t="str">
        <f t="shared" si="935"/>
        <v>GALAD</v>
      </c>
      <c r="AY1445" s="1" t="str">
        <f t="shared" si="919"/>
        <v>PF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 t="str">
        <f t="shared" si="936"/>
        <v>D GOMMA D.H.TWILL CANVAS+SINT.</v>
      </c>
      <c r="BF1445" s="1" t="str">
        <f t="shared" si="920"/>
        <v>Bonis SpA</v>
      </c>
    </row>
    <row r="1446" spans="2:58" x14ac:dyDescent="0.25">
      <c r="B1446" s="1">
        <v>2566</v>
      </c>
      <c r="C1446" s="1" t="str">
        <f t="shared" si="931"/>
        <v>GALAD4184S7/CY1</v>
      </c>
      <c r="E1446" s="1" t="str">
        <f>"40"</f>
        <v>40</v>
      </c>
      <c r="F1446" s="1" t="str">
        <f t="shared" si="908"/>
        <v>BONIS SPA</v>
      </c>
      <c r="G1446" s="1" t="str">
        <f t="shared" si="894"/>
        <v>STOCK SCAFFALE MP</v>
      </c>
      <c r="H1446" s="1" t="str">
        <f t="shared" si="932"/>
        <v>RED</v>
      </c>
      <c r="K1446" s="1">
        <v>1</v>
      </c>
      <c r="L1446" s="1" t="str">
        <f t="shared" si="909"/>
        <v>01</v>
      </c>
      <c r="M1446" s="1" t="str">
        <f t="shared" si="902"/>
        <v>409</v>
      </c>
      <c r="N1446" s="1" t="str">
        <f t="shared" si="923"/>
        <v>016</v>
      </c>
      <c r="O1446" s="1" t="str">
        <f t="shared" si="910"/>
        <v>00</v>
      </c>
      <c r="P1446" s="1" t="str">
        <f t="shared" si="911"/>
        <v>S</v>
      </c>
      <c r="Q1446" s="1" t="str">
        <f t="shared" si="912"/>
        <v>P</v>
      </c>
      <c r="R1446" s="1" t="str">
        <f t="shared" si="913"/>
        <v>01</v>
      </c>
      <c r="S1446" s="1" t="str">
        <f t="shared" si="896"/>
        <v>04</v>
      </c>
      <c r="T1446" s="1" t="str">
        <f t="shared" si="914"/>
        <v>False</v>
      </c>
      <c r="U1446" s="1" t="str">
        <f t="shared" si="915"/>
        <v>True</v>
      </c>
      <c r="V1446" s="1" t="str">
        <f t="shared" si="933"/>
        <v>U0028385</v>
      </c>
      <c r="W1446" s="1">
        <v>1</v>
      </c>
      <c r="Y1446" s="1">
        <v>0</v>
      </c>
      <c r="Z1446" s="1">
        <v>0</v>
      </c>
      <c r="AB1446" s="1" t="str">
        <f t="shared" si="903"/>
        <v>SMU</v>
      </c>
      <c r="AI1446" s="1" t="str">
        <f t="shared" si="930"/>
        <v>F11</v>
      </c>
      <c r="AJ1446" s="1" t="str">
        <f t="shared" si="934"/>
        <v>WOMAN</v>
      </c>
      <c r="AK1446" s="1" t="str">
        <f t="shared" si="917"/>
        <v>PA</v>
      </c>
      <c r="AP1446" s="1" t="str">
        <f t="shared" si="918"/>
        <v>False</v>
      </c>
      <c r="AR1446" s="1" t="str">
        <f t="shared" si="935"/>
        <v>GALAD</v>
      </c>
      <c r="AY1446" s="1" t="str">
        <f t="shared" si="919"/>
        <v>PF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 t="str">
        <f t="shared" si="936"/>
        <v>D GOMMA D.H.TWILL CANVAS+SINT.</v>
      </c>
      <c r="BF1446" s="1" t="str">
        <f t="shared" si="920"/>
        <v>Bonis SpA</v>
      </c>
    </row>
    <row r="1447" spans="2:58" x14ac:dyDescent="0.25">
      <c r="B1447" s="1">
        <v>2566</v>
      </c>
      <c r="C1447" s="1" t="str">
        <f t="shared" si="931"/>
        <v>GALAD4184S7/CY1</v>
      </c>
      <c r="E1447" s="1" t="str">
        <f>"41"</f>
        <v>41</v>
      </c>
      <c r="F1447" s="1" t="str">
        <f t="shared" si="908"/>
        <v>BONIS SPA</v>
      </c>
      <c r="G1447" s="1" t="str">
        <f t="shared" si="894"/>
        <v>STOCK SCAFFALE MP</v>
      </c>
      <c r="H1447" s="1" t="str">
        <f t="shared" si="932"/>
        <v>RED</v>
      </c>
      <c r="K1447" s="1">
        <v>1</v>
      </c>
      <c r="L1447" s="1" t="str">
        <f t="shared" si="909"/>
        <v>01</v>
      </c>
      <c r="M1447" s="1" t="str">
        <f t="shared" si="902"/>
        <v>409</v>
      </c>
      <c r="N1447" s="1" t="str">
        <f t="shared" si="923"/>
        <v>016</v>
      </c>
      <c r="O1447" s="1" t="str">
        <f t="shared" si="910"/>
        <v>00</v>
      </c>
      <c r="P1447" s="1" t="str">
        <f t="shared" si="911"/>
        <v>S</v>
      </c>
      <c r="Q1447" s="1" t="str">
        <f t="shared" si="912"/>
        <v>P</v>
      </c>
      <c r="R1447" s="1" t="str">
        <f t="shared" si="913"/>
        <v>01</v>
      </c>
      <c r="S1447" s="1" t="str">
        <f t="shared" si="896"/>
        <v>04</v>
      </c>
      <c r="T1447" s="1" t="str">
        <f t="shared" si="914"/>
        <v>False</v>
      </c>
      <c r="U1447" s="1" t="str">
        <f t="shared" si="915"/>
        <v>True</v>
      </c>
      <c r="V1447" s="1" t="str">
        <f t="shared" si="933"/>
        <v>U0028385</v>
      </c>
      <c r="W1447" s="1">
        <v>1</v>
      </c>
      <c r="Y1447" s="1">
        <v>0</v>
      </c>
      <c r="Z1447" s="1">
        <v>0</v>
      </c>
      <c r="AB1447" s="1" t="str">
        <f t="shared" si="903"/>
        <v>SMU</v>
      </c>
      <c r="AI1447" s="1" t="str">
        <f t="shared" si="930"/>
        <v>F11</v>
      </c>
      <c r="AJ1447" s="1" t="str">
        <f t="shared" si="934"/>
        <v>WOMAN</v>
      </c>
      <c r="AK1447" s="1" t="str">
        <f t="shared" si="917"/>
        <v>PA</v>
      </c>
      <c r="AP1447" s="1" t="str">
        <f t="shared" si="918"/>
        <v>False</v>
      </c>
      <c r="AR1447" s="1" t="str">
        <f t="shared" si="935"/>
        <v>GALAD</v>
      </c>
      <c r="AY1447" s="1" t="str">
        <f t="shared" si="919"/>
        <v>PF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 t="str">
        <f t="shared" si="936"/>
        <v>D GOMMA D.H.TWILL CANVAS+SINT.</v>
      </c>
      <c r="BF1447" s="1" t="str">
        <f t="shared" si="920"/>
        <v>Bonis SpA</v>
      </c>
    </row>
    <row r="1448" spans="2:58" x14ac:dyDescent="0.25">
      <c r="B1448" s="1">
        <v>2566</v>
      </c>
      <c r="C1448" s="1" t="str">
        <f t="shared" ref="C1448:C1465" si="937">"SOLAN4189S7/C1"</f>
        <v>SOLAN4189S7/C1</v>
      </c>
      <c r="E1448" s="1" t="str">
        <f>"44"</f>
        <v>44</v>
      </c>
      <c r="F1448" s="1" t="str">
        <f t="shared" si="908"/>
        <v>BONIS SPA</v>
      </c>
      <c r="G1448" s="1" t="str">
        <f t="shared" si="894"/>
        <v>STOCK SCAFFALE MP</v>
      </c>
      <c r="H1448" s="1" t="str">
        <f t="shared" ref="H1448:H1456" si="938">"WHI"</f>
        <v>WHI</v>
      </c>
      <c r="K1448" s="1">
        <v>2</v>
      </c>
      <c r="L1448" s="1" t="str">
        <f t="shared" si="909"/>
        <v>01</v>
      </c>
      <c r="M1448" s="1" t="str">
        <f t="shared" si="902"/>
        <v>409</v>
      </c>
      <c r="N1448" s="1" t="str">
        <f t="shared" ref="N1448:N1473" si="939">"016"</f>
        <v>016</v>
      </c>
      <c r="O1448" s="1" t="str">
        <f t="shared" si="910"/>
        <v>00</v>
      </c>
      <c r="P1448" s="1" t="str">
        <f t="shared" si="911"/>
        <v>S</v>
      </c>
      <c r="Q1448" s="1" t="str">
        <f t="shared" si="912"/>
        <v>P</v>
      </c>
      <c r="R1448" s="1" t="str">
        <f t="shared" si="913"/>
        <v>01</v>
      </c>
      <c r="S1448" s="1" t="str">
        <f t="shared" si="896"/>
        <v>04</v>
      </c>
      <c r="T1448" s="1" t="str">
        <f t="shared" si="914"/>
        <v>False</v>
      </c>
      <c r="U1448" s="1" t="str">
        <f t="shared" si="915"/>
        <v>True</v>
      </c>
      <c r="V1448" s="1" t="str">
        <f>"U0028386"</f>
        <v>U0028386</v>
      </c>
      <c r="W1448" s="1">
        <v>1</v>
      </c>
      <c r="Y1448" s="1">
        <v>0</v>
      </c>
      <c r="Z1448" s="1">
        <v>0</v>
      </c>
      <c r="AB1448" s="1" t="str">
        <f t="shared" si="903"/>
        <v>SMU</v>
      </c>
      <c r="AI1448" s="1" t="str">
        <f t="shared" si="930"/>
        <v>F11</v>
      </c>
      <c r="AJ1448" s="1" t="str">
        <f t="shared" ref="AJ1448:AJ1473" si="940">"MAN"</f>
        <v>MAN</v>
      </c>
      <c r="AK1448" s="1" t="str">
        <f t="shared" si="917"/>
        <v>PA</v>
      </c>
      <c r="AP1448" s="1" t="str">
        <f t="shared" si="918"/>
        <v>False</v>
      </c>
      <c r="AR1448" s="1" t="str">
        <f t="shared" ref="AR1448:AR1465" si="941">"SOLAN"</f>
        <v>SOLAN</v>
      </c>
      <c r="AY1448" s="1" t="str">
        <f t="shared" si="919"/>
        <v>PF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 t="str">
        <f t="shared" ref="BE1448:BE1465" si="942">"S.CADET GOMMA  TWILL CANVAS"</f>
        <v>S.CADET GOMMA  TWILL CANVAS</v>
      </c>
      <c r="BF1448" s="1" t="str">
        <f t="shared" si="920"/>
        <v>Bonis SpA</v>
      </c>
    </row>
    <row r="1449" spans="2:58" x14ac:dyDescent="0.25">
      <c r="B1449" s="1">
        <v>2566</v>
      </c>
      <c r="C1449" s="1" t="str">
        <f t="shared" si="937"/>
        <v>SOLAN4189S7/C1</v>
      </c>
      <c r="E1449" s="1" t="str">
        <f>"43"</f>
        <v>43</v>
      </c>
      <c r="F1449" s="1" t="str">
        <f t="shared" si="908"/>
        <v>BONIS SPA</v>
      </c>
      <c r="G1449" s="1" t="str">
        <f t="shared" si="894"/>
        <v>STOCK SCAFFALE MP</v>
      </c>
      <c r="H1449" s="1" t="str">
        <f t="shared" si="938"/>
        <v>WHI</v>
      </c>
      <c r="K1449" s="1">
        <v>3</v>
      </c>
      <c r="L1449" s="1" t="str">
        <f t="shared" si="909"/>
        <v>01</v>
      </c>
      <c r="M1449" s="1" t="str">
        <f t="shared" si="902"/>
        <v>409</v>
      </c>
      <c r="N1449" s="1" t="str">
        <f t="shared" si="939"/>
        <v>016</v>
      </c>
      <c r="O1449" s="1" t="str">
        <f t="shared" si="910"/>
        <v>00</v>
      </c>
      <c r="P1449" s="1" t="str">
        <f t="shared" si="911"/>
        <v>S</v>
      </c>
      <c r="Q1449" s="1" t="str">
        <f t="shared" si="912"/>
        <v>P</v>
      </c>
      <c r="R1449" s="1" t="str">
        <f t="shared" si="913"/>
        <v>01</v>
      </c>
      <c r="S1449" s="1" t="str">
        <f t="shared" si="896"/>
        <v>04</v>
      </c>
      <c r="T1449" s="1" t="str">
        <f t="shared" si="914"/>
        <v>False</v>
      </c>
      <c r="U1449" s="1" t="str">
        <f t="shared" si="915"/>
        <v>True</v>
      </c>
      <c r="V1449" s="1" t="str">
        <f>"U0028386"</f>
        <v>U0028386</v>
      </c>
      <c r="W1449" s="1">
        <v>1</v>
      </c>
      <c r="Y1449" s="1">
        <v>0</v>
      </c>
      <c r="Z1449" s="1">
        <v>0</v>
      </c>
      <c r="AB1449" s="1" t="str">
        <f t="shared" si="903"/>
        <v>SMU</v>
      </c>
      <c r="AI1449" s="1" t="str">
        <f t="shared" si="930"/>
        <v>F11</v>
      </c>
      <c r="AJ1449" s="1" t="str">
        <f t="shared" si="940"/>
        <v>MAN</v>
      </c>
      <c r="AK1449" s="1" t="str">
        <f t="shared" si="917"/>
        <v>PA</v>
      </c>
      <c r="AP1449" s="1" t="str">
        <f t="shared" si="918"/>
        <v>False</v>
      </c>
      <c r="AR1449" s="1" t="str">
        <f t="shared" si="941"/>
        <v>SOLAN</v>
      </c>
      <c r="AY1449" s="1" t="str">
        <f t="shared" si="919"/>
        <v>PF</v>
      </c>
      <c r="AZ1449" s="1">
        <v>0</v>
      </c>
      <c r="BA1449" s="1">
        <v>0</v>
      </c>
      <c r="BB1449" s="1">
        <v>0</v>
      </c>
      <c r="BC1449" s="1">
        <v>0</v>
      </c>
      <c r="BD1449" s="1">
        <v>0</v>
      </c>
      <c r="BE1449" s="1" t="str">
        <f t="shared" si="942"/>
        <v>S.CADET GOMMA  TWILL CANVAS</v>
      </c>
      <c r="BF1449" s="1" t="str">
        <f t="shared" si="920"/>
        <v>Bonis SpA</v>
      </c>
    </row>
    <row r="1450" spans="2:58" x14ac:dyDescent="0.25">
      <c r="B1450" s="1">
        <v>2566</v>
      </c>
      <c r="C1450" s="1" t="str">
        <f t="shared" si="937"/>
        <v>SOLAN4189S7/C1</v>
      </c>
      <c r="E1450" s="1" t="str">
        <f>"42"</f>
        <v>42</v>
      </c>
      <c r="F1450" s="1" t="str">
        <f t="shared" si="908"/>
        <v>BONIS SPA</v>
      </c>
      <c r="G1450" s="1" t="str">
        <f t="shared" si="894"/>
        <v>STOCK SCAFFALE MP</v>
      </c>
      <c r="H1450" s="1" t="str">
        <f t="shared" si="938"/>
        <v>WHI</v>
      </c>
      <c r="K1450" s="1">
        <v>3</v>
      </c>
      <c r="L1450" s="1" t="str">
        <f t="shared" si="909"/>
        <v>01</v>
      </c>
      <c r="M1450" s="1" t="str">
        <f t="shared" si="902"/>
        <v>409</v>
      </c>
      <c r="N1450" s="1" t="str">
        <f t="shared" si="939"/>
        <v>016</v>
      </c>
      <c r="O1450" s="1" t="str">
        <f t="shared" si="910"/>
        <v>00</v>
      </c>
      <c r="P1450" s="1" t="str">
        <f t="shared" si="911"/>
        <v>S</v>
      </c>
      <c r="Q1450" s="1" t="str">
        <f t="shared" si="912"/>
        <v>P</v>
      </c>
      <c r="R1450" s="1" t="str">
        <f t="shared" si="913"/>
        <v>01</v>
      </c>
      <c r="S1450" s="1" t="str">
        <f t="shared" si="896"/>
        <v>04</v>
      </c>
      <c r="T1450" s="1" t="str">
        <f t="shared" si="914"/>
        <v>False</v>
      </c>
      <c r="U1450" s="1" t="str">
        <f t="shared" si="915"/>
        <v>True</v>
      </c>
      <c r="V1450" s="1" t="str">
        <f>"U0028386"</f>
        <v>U0028386</v>
      </c>
      <c r="W1450" s="1">
        <v>1</v>
      </c>
      <c r="Y1450" s="1">
        <v>0</v>
      </c>
      <c r="Z1450" s="1">
        <v>0</v>
      </c>
      <c r="AB1450" s="1" t="str">
        <f t="shared" si="903"/>
        <v>SMU</v>
      </c>
      <c r="AI1450" s="1" t="str">
        <f t="shared" si="930"/>
        <v>F11</v>
      </c>
      <c r="AJ1450" s="1" t="str">
        <f t="shared" si="940"/>
        <v>MAN</v>
      </c>
      <c r="AK1450" s="1" t="str">
        <f t="shared" si="917"/>
        <v>PA</v>
      </c>
      <c r="AP1450" s="1" t="str">
        <f t="shared" si="918"/>
        <v>False</v>
      </c>
      <c r="AR1450" s="1" t="str">
        <f t="shared" si="941"/>
        <v>SOLAN</v>
      </c>
      <c r="AY1450" s="1" t="str">
        <f t="shared" si="919"/>
        <v>PF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 t="str">
        <f t="shared" si="942"/>
        <v>S.CADET GOMMA  TWILL CANVAS</v>
      </c>
      <c r="BF1450" s="1" t="str">
        <f t="shared" si="920"/>
        <v>Bonis SpA</v>
      </c>
    </row>
    <row r="1451" spans="2:58" x14ac:dyDescent="0.25">
      <c r="B1451" s="1">
        <v>2566</v>
      </c>
      <c r="C1451" s="1" t="str">
        <f t="shared" si="937"/>
        <v>SOLAN4189S7/C1</v>
      </c>
      <c r="E1451" s="1" t="str">
        <f>"41"</f>
        <v>41</v>
      </c>
      <c r="F1451" s="1" t="str">
        <f t="shared" si="908"/>
        <v>BONIS SPA</v>
      </c>
      <c r="G1451" s="1" t="str">
        <f t="shared" si="894"/>
        <v>STOCK SCAFFALE MP</v>
      </c>
      <c r="H1451" s="1" t="str">
        <f t="shared" si="938"/>
        <v>WHI</v>
      </c>
      <c r="K1451" s="1">
        <v>2</v>
      </c>
      <c r="L1451" s="1" t="str">
        <f t="shared" si="909"/>
        <v>01</v>
      </c>
      <c r="M1451" s="1" t="str">
        <f t="shared" si="902"/>
        <v>409</v>
      </c>
      <c r="N1451" s="1" t="str">
        <f t="shared" si="939"/>
        <v>016</v>
      </c>
      <c r="O1451" s="1" t="str">
        <f t="shared" si="910"/>
        <v>00</v>
      </c>
      <c r="P1451" s="1" t="str">
        <f t="shared" si="911"/>
        <v>S</v>
      </c>
      <c r="Q1451" s="1" t="str">
        <f t="shared" si="912"/>
        <v>P</v>
      </c>
      <c r="R1451" s="1" t="str">
        <f t="shared" si="913"/>
        <v>01</v>
      </c>
      <c r="S1451" s="1" t="str">
        <f t="shared" si="896"/>
        <v>04</v>
      </c>
      <c r="T1451" s="1" t="str">
        <f t="shared" si="914"/>
        <v>False</v>
      </c>
      <c r="U1451" s="1" t="str">
        <f t="shared" si="915"/>
        <v>True</v>
      </c>
      <c r="V1451" s="1" t="str">
        <f>"U0028386"</f>
        <v>U0028386</v>
      </c>
      <c r="W1451" s="1">
        <v>1</v>
      </c>
      <c r="Y1451" s="1">
        <v>0</v>
      </c>
      <c r="Z1451" s="1">
        <v>0</v>
      </c>
      <c r="AB1451" s="1" t="str">
        <f t="shared" si="903"/>
        <v>SMU</v>
      </c>
      <c r="AI1451" s="1" t="str">
        <f t="shared" si="930"/>
        <v>F11</v>
      </c>
      <c r="AJ1451" s="1" t="str">
        <f t="shared" si="940"/>
        <v>MAN</v>
      </c>
      <c r="AK1451" s="1" t="str">
        <f t="shared" si="917"/>
        <v>PA</v>
      </c>
      <c r="AP1451" s="1" t="str">
        <f t="shared" si="918"/>
        <v>False</v>
      </c>
      <c r="AR1451" s="1" t="str">
        <f t="shared" si="941"/>
        <v>SOLAN</v>
      </c>
      <c r="AY1451" s="1" t="str">
        <f t="shared" si="919"/>
        <v>PF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 t="str">
        <f t="shared" si="942"/>
        <v>S.CADET GOMMA  TWILL CANVAS</v>
      </c>
      <c r="BF1451" s="1" t="str">
        <f t="shared" si="920"/>
        <v>Bonis SpA</v>
      </c>
    </row>
    <row r="1452" spans="2:58" x14ac:dyDescent="0.25">
      <c r="B1452" s="1">
        <v>2566</v>
      </c>
      <c r="C1452" s="1" t="str">
        <f t="shared" si="937"/>
        <v>SOLAN4189S7/C1</v>
      </c>
      <c r="E1452" s="1" t="str">
        <f>"40"</f>
        <v>40</v>
      </c>
      <c r="F1452" s="1" t="str">
        <f t="shared" si="908"/>
        <v>BONIS SPA</v>
      </c>
      <c r="G1452" s="1" t="str">
        <f t="shared" si="894"/>
        <v>STOCK SCAFFALE MP</v>
      </c>
      <c r="H1452" s="1" t="str">
        <f t="shared" si="938"/>
        <v>WHI</v>
      </c>
      <c r="K1452" s="1">
        <v>1</v>
      </c>
      <c r="L1452" s="1" t="str">
        <f t="shared" si="909"/>
        <v>01</v>
      </c>
      <c r="M1452" s="1" t="str">
        <f t="shared" si="902"/>
        <v>409</v>
      </c>
      <c r="N1452" s="1" t="str">
        <f t="shared" si="939"/>
        <v>016</v>
      </c>
      <c r="O1452" s="1" t="str">
        <f t="shared" si="910"/>
        <v>00</v>
      </c>
      <c r="P1452" s="1" t="str">
        <f t="shared" si="911"/>
        <v>S</v>
      </c>
      <c r="Q1452" s="1" t="str">
        <f t="shared" si="912"/>
        <v>P</v>
      </c>
      <c r="R1452" s="1" t="str">
        <f t="shared" si="913"/>
        <v>01</v>
      </c>
      <c r="S1452" s="1" t="str">
        <f t="shared" si="896"/>
        <v>04</v>
      </c>
      <c r="T1452" s="1" t="str">
        <f t="shared" si="914"/>
        <v>False</v>
      </c>
      <c r="U1452" s="1" t="str">
        <f t="shared" si="915"/>
        <v>True</v>
      </c>
      <c r="V1452" s="1" t="str">
        <f>"U0028386"</f>
        <v>U0028386</v>
      </c>
      <c r="W1452" s="1">
        <v>1</v>
      </c>
      <c r="Y1452" s="1">
        <v>0</v>
      </c>
      <c r="Z1452" s="1">
        <v>0</v>
      </c>
      <c r="AB1452" s="1" t="str">
        <f t="shared" si="903"/>
        <v>SMU</v>
      </c>
      <c r="AI1452" s="1" t="str">
        <f t="shared" si="930"/>
        <v>F11</v>
      </c>
      <c r="AJ1452" s="1" t="str">
        <f t="shared" si="940"/>
        <v>MAN</v>
      </c>
      <c r="AK1452" s="1" t="str">
        <f t="shared" si="917"/>
        <v>PA</v>
      </c>
      <c r="AP1452" s="1" t="str">
        <f t="shared" si="918"/>
        <v>False</v>
      </c>
      <c r="AR1452" s="1" t="str">
        <f t="shared" si="941"/>
        <v>SOLAN</v>
      </c>
      <c r="AY1452" s="1" t="str">
        <f t="shared" si="919"/>
        <v>PF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 t="str">
        <f t="shared" si="942"/>
        <v>S.CADET GOMMA  TWILL CANVAS</v>
      </c>
      <c r="BF1452" s="1" t="str">
        <f t="shared" si="920"/>
        <v>Bonis SpA</v>
      </c>
    </row>
    <row r="1453" spans="2:58" x14ac:dyDescent="0.25">
      <c r="B1453" s="1">
        <v>2566</v>
      </c>
      <c r="C1453" s="1" t="str">
        <f t="shared" si="937"/>
        <v>SOLAN4189S7/C1</v>
      </c>
      <c r="E1453" s="1" t="str">
        <f>"44"</f>
        <v>44</v>
      </c>
      <c r="F1453" s="1" t="str">
        <f t="shared" si="908"/>
        <v>BONIS SPA</v>
      </c>
      <c r="G1453" s="1" t="str">
        <f t="shared" si="894"/>
        <v>STOCK SCAFFALE MP</v>
      </c>
      <c r="H1453" s="1" t="str">
        <f t="shared" si="938"/>
        <v>WHI</v>
      </c>
      <c r="K1453" s="1">
        <v>2</v>
      </c>
      <c r="L1453" s="1" t="str">
        <f t="shared" si="909"/>
        <v>01</v>
      </c>
      <c r="M1453" s="1" t="str">
        <f t="shared" si="902"/>
        <v>409</v>
      </c>
      <c r="N1453" s="1" t="str">
        <f t="shared" si="939"/>
        <v>016</v>
      </c>
      <c r="O1453" s="1" t="str">
        <f t="shared" si="910"/>
        <v>00</v>
      </c>
      <c r="P1453" s="1" t="str">
        <f t="shared" si="911"/>
        <v>S</v>
      </c>
      <c r="Q1453" s="1" t="str">
        <f t="shared" si="912"/>
        <v>P</v>
      </c>
      <c r="R1453" s="1" t="str">
        <f t="shared" si="913"/>
        <v>01</v>
      </c>
      <c r="S1453" s="1" t="str">
        <f t="shared" si="896"/>
        <v>04</v>
      </c>
      <c r="T1453" s="1" t="str">
        <f t="shared" si="914"/>
        <v>False</v>
      </c>
      <c r="U1453" s="1" t="str">
        <f t="shared" si="915"/>
        <v>True</v>
      </c>
      <c r="V1453" s="1" t="str">
        <f>"U0027836"</f>
        <v>U0027836</v>
      </c>
      <c r="W1453" s="1">
        <v>1</v>
      </c>
      <c r="Y1453" s="1">
        <v>0</v>
      </c>
      <c r="Z1453" s="1">
        <v>0</v>
      </c>
      <c r="AB1453" s="1" t="str">
        <f t="shared" si="903"/>
        <v>SMU</v>
      </c>
      <c r="AI1453" s="1" t="str">
        <f t="shared" si="930"/>
        <v>F11</v>
      </c>
      <c r="AJ1453" s="1" t="str">
        <f t="shared" si="940"/>
        <v>MAN</v>
      </c>
      <c r="AK1453" s="1" t="str">
        <f t="shared" si="917"/>
        <v>PA</v>
      </c>
      <c r="AP1453" s="1" t="str">
        <f t="shared" si="918"/>
        <v>False</v>
      </c>
      <c r="AR1453" s="1" t="str">
        <f t="shared" si="941"/>
        <v>SOLAN</v>
      </c>
      <c r="AY1453" s="1" t="str">
        <f t="shared" si="919"/>
        <v>PF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 t="str">
        <f t="shared" si="942"/>
        <v>S.CADET GOMMA  TWILL CANVAS</v>
      </c>
      <c r="BF1453" s="1" t="str">
        <f t="shared" si="920"/>
        <v>Bonis SpA</v>
      </c>
    </row>
    <row r="1454" spans="2:58" x14ac:dyDescent="0.25">
      <c r="B1454" s="1">
        <v>2566</v>
      </c>
      <c r="C1454" s="1" t="str">
        <f t="shared" si="937"/>
        <v>SOLAN4189S7/C1</v>
      </c>
      <c r="E1454" s="1" t="str">
        <f>"43"</f>
        <v>43</v>
      </c>
      <c r="F1454" s="1" t="str">
        <f t="shared" si="908"/>
        <v>BONIS SPA</v>
      </c>
      <c r="G1454" s="1" t="str">
        <f t="shared" si="894"/>
        <v>STOCK SCAFFALE MP</v>
      </c>
      <c r="H1454" s="1" t="str">
        <f t="shared" si="938"/>
        <v>WHI</v>
      </c>
      <c r="K1454" s="1">
        <v>3</v>
      </c>
      <c r="L1454" s="1" t="str">
        <f t="shared" si="909"/>
        <v>01</v>
      </c>
      <c r="M1454" s="1" t="str">
        <f t="shared" si="902"/>
        <v>409</v>
      </c>
      <c r="N1454" s="1" t="str">
        <f t="shared" si="939"/>
        <v>016</v>
      </c>
      <c r="O1454" s="1" t="str">
        <f t="shared" si="910"/>
        <v>00</v>
      </c>
      <c r="P1454" s="1" t="str">
        <f t="shared" si="911"/>
        <v>S</v>
      </c>
      <c r="Q1454" s="1" t="str">
        <f t="shared" si="912"/>
        <v>P</v>
      </c>
      <c r="R1454" s="1" t="str">
        <f t="shared" si="913"/>
        <v>01</v>
      </c>
      <c r="S1454" s="1" t="str">
        <f t="shared" si="896"/>
        <v>04</v>
      </c>
      <c r="T1454" s="1" t="str">
        <f t="shared" si="914"/>
        <v>False</v>
      </c>
      <c r="U1454" s="1" t="str">
        <f t="shared" si="915"/>
        <v>True</v>
      </c>
      <c r="V1454" s="1" t="str">
        <f>"U0027836"</f>
        <v>U0027836</v>
      </c>
      <c r="W1454" s="1">
        <v>1</v>
      </c>
      <c r="Y1454" s="1">
        <v>0</v>
      </c>
      <c r="Z1454" s="1">
        <v>0</v>
      </c>
      <c r="AB1454" s="1" t="str">
        <f t="shared" si="903"/>
        <v>SMU</v>
      </c>
      <c r="AI1454" s="1" t="str">
        <f t="shared" si="930"/>
        <v>F11</v>
      </c>
      <c r="AJ1454" s="1" t="str">
        <f t="shared" si="940"/>
        <v>MAN</v>
      </c>
      <c r="AK1454" s="1" t="str">
        <f t="shared" si="917"/>
        <v>PA</v>
      </c>
      <c r="AP1454" s="1" t="str">
        <f t="shared" si="918"/>
        <v>False</v>
      </c>
      <c r="AR1454" s="1" t="str">
        <f t="shared" si="941"/>
        <v>SOLAN</v>
      </c>
      <c r="AY1454" s="1" t="str">
        <f t="shared" si="919"/>
        <v>PF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 t="str">
        <f t="shared" si="942"/>
        <v>S.CADET GOMMA  TWILL CANVAS</v>
      </c>
      <c r="BF1454" s="1" t="str">
        <f t="shared" si="920"/>
        <v>Bonis SpA</v>
      </c>
    </row>
    <row r="1455" spans="2:58" x14ac:dyDescent="0.25">
      <c r="B1455" s="1">
        <v>2566</v>
      </c>
      <c r="C1455" s="1" t="str">
        <f t="shared" si="937"/>
        <v>SOLAN4189S7/C1</v>
      </c>
      <c r="E1455" s="1" t="str">
        <f>"42"</f>
        <v>42</v>
      </c>
      <c r="F1455" s="1" t="str">
        <f t="shared" si="908"/>
        <v>BONIS SPA</v>
      </c>
      <c r="G1455" s="1" t="str">
        <f t="shared" si="894"/>
        <v>STOCK SCAFFALE MP</v>
      </c>
      <c r="H1455" s="1" t="str">
        <f t="shared" si="938"/>
        <v>WHI</v>
      </c>
      <c r="K1455" s="1">
        <v>3</v>
      </c>
      <c r="L1455" s="1" t="str">
        <f t="shared" si="909"/>
        <v>01</v>
      </c>
      <c r="M1455" s="1" t="str">
        <f t="shared" si="902"/>
        <v>409</v>
      </c>
      <c r="N1455" s="1" t="str">
        <f t="shared" si="939"/>
        <v>016</v>
      </c>
      <c r="O1455" s="1" t="str">
        <f t="shared" si="910"/>
        <v>00</v>
      </c>
      <c r="P1455" s="1" t="str">
        <f t="shared" si="911"/>
        <v>S</v>
      </c>
      <c r="Q1455" s="1" t="str">
        <f t="shared" si="912"/>
        <v>P</v>
      </c>
      <c r="R1455" s="1" t="str">
        <f t="shared" si="913"/>
        <v>01</v>
      </c>
      <c r="S1455" s="1" t="str">
        <f t="shared" si="896"/>
        <v>04</v>
      </c>
      <c r="T1455" s="1" t="str">
        <f t="shared" si="914"/>
        <v>False</v>
      </c>
      <c r="U1455" s="1" t="str">
        <f t="shared" si="915"/>
        <v>True</v>
      </c>
      <c r="V1455" s="1" t="str">
        <f>"U0027836"</f>
        <v>U0027836</v>
      </c>
      <c r="W1455" s="1">
        <v>1</v>
      </c>
      <c r="Y1455" s="1">
        <v>0</v>
      </c>
      <c r="Z1455" s="1">
        <v>0</v>
      </c>
      <c r="AB1455" s="1" t="str">
        <f t="shared" si="903"/>
        <v>SMU</v>
      </c>
      <c r="AI1455" s="1" t="str">
        <f t="shared" si="930"/>
        <v>F11</v>
      </c>
      <c r="AJ1455" s="1" t="str">
        <f t="shared" si="940"/>
        <v>MAN</v>
      </c>
      <c r="AK1455" s="1" t="str">
        <f t="shared" si="917"/>
        <v>PA</v>
      </c>
      <c r="AP1455" s="1" t="str">
        <f t="shared" si="918"/>
        <v>False</v>
      </c>
      <c r="AR1455" s="1" t="str">
        <f t="shared" si="941"/>
        <v>SOLAN</v>
      </c>
      <c r="AY1455" s="1" t="str">
        <f t="shared" si="919"/>
        <v>PF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 t="str">
        <f t="shared" si="942"/>
        <v>S.CADET GOMMA  TWILL CANVAS</v>
      </c>
      <c r="BF1455" s="1" t="str">
        <f t="shared" si="920"/>
        <v>Bonis SpA</v>
      </c>
    </row>
    <row r="1456" spans="2:58" x14ac:dyDescent="0.25">
      <c r="B1456" s="1">
        <v>2566</v>
      </c>
      <c r="C1456" s="1" t="str">
        <f t="shared" si="937"/>
        <v>SOLAN4189S7/C1</v>
      </c>
      <c r="E1456" s="1" t="str">
        <f>"41"</f>
        <v>41</v>
      </c>
      <c r="F1456" s="1" t="str">
        <f t="shared" si="908"/>
        <v>BONIS SPA</v>
      </c>
      <c r="G1456" s="1" t="str">
        <f t="shared" ref="G1456:G1519" si="943">"STOCK SCAFFALE MP"</f>
        <v>STOCK SCAFFALE MP</v>
      </c>
      <c r="H1456" s="1" t="str">
        <f t="shared" si="938"/>
        <v>WHI</v>
      </c>
      <c r="K1456" s="1">
        <v>1</v>
      </c>
      <c r="L1456" s="1" t="str">
        <f t="shared" si="909"/>
        <v>01</v>
      </c>
      <c r="M1456" s="1" t="str">
        <f t="shared" si="902"/>
        <v>409</v>
      </c>
      <c r="N1456" s="1" t="str">
        <f t="shared" si="939"/>
        <v>016</v>
      </c>
      <c r="O1456" s="1" t="str">
        <f t="shared" si="910"/>
        <v>00</v>
      </c>
      <c r="P1456" s="1" t="str">
        <f t="shared" si="911"/>
        <v>S</v>
      </c>
      <c r="Q1456" s="1" t="str">
        <f t="shared" si="912"/>
        <v>P</v>
      </c>
      <c r="R1456" s="1" t="str">
        <f t="shared" si="913"/>
        <v>01</v>
      </c>
      <c r="S1456" s="1" t="str">
        <f t="shared" ref="S1456:S1519" si="944">"04"</f>
        <v>04</v>
      </c>
      <c r="T1456" s="1" t="str">
        <f t="shared" si="914"/>
        <v>False</v>
      </c>
      <c r="U1456" s="1" t="str">
        <f t="shared" si="915"/>
        <v>True</v>
      </c>
      <c r="V1456" s="1" t="str">
        <f>"U0027836"</f>
        <v>U0027836</v>
      </c>
      <c r="W1456" s="1">
        <v>1</v>
      </c>
      <c r="Y1456" s="1">
        <v>0</v>
      </c>
      <c r="Z1456" s="1">
        <v>0</v>
      </c>
      <c r="AB1456" s="1" t="str">
        <f t="shared" si="903"/>
        <v>SMU</v>
      </c>
      <c r="AI1456" s="1" t="str">
        <f t="shared" si="930"/>
        <v>F11</v>
      </c>
      <c r="AJ1456" s="1" t="str">
        <f t="shared" si="940"/>
        <v>MAN</v>
      </c>
      <c r="AK1456" s="1" t="str">
        <f t="shared" si="917"/>
        <v>PA</v>
      </c>
      <c r="AP1456" s="1" t="str">
        <f t="shared" si="918"/>
        <v>False</v>
      </c>
      <c r="AR1456" s="1" t="str">
        <f t="shared" si="941"/>
        <v>SOLAN</v>
      </c>
      <c r="AY1456" s="1" t="str">
        <f t="shared" si="919"/>
        <v>PF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 t="str">
        <f t="shared" si="942"/>
        <v>S.CADET GOMMA  TWILL CANVAS</v>
      </c>
      <c r="BF1456" s="1" t="str">
        <f t="shared" si="920"/>
        <v>Bonis SpA</v>
      </c>
    </row>
    <row r="1457" spans="2:58" x14ac:dyDescent="0.25">
      <c r="B1457" s="1">
        <v>2566</v>
      </c>
      <c r="C1457" s="1" t="str">
        <f t="shared" si="937"/>
        <v>SOLAN4189S7/C1</v>
      </c>
      <c r="E1457" s="1" t="str">
        <f>"40"</f>
        <v>40</v>
      </c>
      <c r="F1457" s="1" t="str">
        <f t="shared" si="908"/>
        <v>BONIS SPA</v>
      </c>
      <c r="G1457" s="1" t="str">
        <f t="shared" si="943"/>
        <v>STOCK SCAFFALE MP</v>
      </c>
      <c r="H1457" s="1" t="str">
        <f>"GREY"</f>
        <v>GREY</v>
      </c>
      <c r="K1457" s="1">
        <v>1</v>
      </c>
      <c r="L1457" s="1" t="str">
        <f t="shared" si="909"/>
        <v>01</v>
      </c>
      <c r="M1457" s="1" t="str">
        <f t="shared" si="902"/>
        <v>409</v>
      </c>
      <c r="N1457" s="1" t="str">
        <f t="shared" si="939"/>
        <v>016</v>
      </c>
      <c r="O1457" s="1" t="str">
        <f t="shared" si="910"/>
        <v>00</v>
      </c>
      <c r="P1457" s="1" t="str">
        <f t="shared" si="911"/>
        <v>S</v>
      </c>
      <c r="Q1457" s="1" t="str">
        <f t="shared" si="912"/>
        <v>P</v>
      </c>
      <c r="R1457" s="1" t="str">
        <f t="shared" si="913"/>
        <v>01</v>
      </c>
      <c r="S1457" s="1" t="str">
        <f t="shared" si="944"/>
        <v>04</v>
      </c>
      <c r="T1457" s="1" t="str">
        <f t="shared" si="914"/>
        <v>False</v>
      </c>
      <c r="U1457" s="1" t="str">
        <f t="shared" si="915"/>
        <v>True</v>
      </c>
      <c r="V1457" s="1" t="str">
        <f>"U0028384"</f>
        <v>U0028384</v>
      </c>
      <c r="W1457" s="1">
        <v>1</v>
      </c>
      <c r="Y1457" s="1">
        <v>0</v>
      </c>
      <c r="Z1457" s="1">
        <v>0</v>
      </c>
      <c r="AB1457" s="1" t="str">
        <f t="shared" si="903"/>
        <v>SMU</v>
      </c>
      <c r="AI1457" s="1" t="str">
        <f>"106"</f>
        <v>106</v>
      </c>
      <c r="AJ1457" s="1" t="str">
        <f t="shared" si="940"/>
        <v>MAN</v>
      </c>
      <c r="AK1457" s="1" t="str">
        <f t="shared" si="917"/>
        <v>PA</v>
      </c>
      <c r="AP1457" s="1" t="str">
        <f t="shared" si="918"/>
        <v>False</v>
      </c>
      <c r="AR1457" s="1" t="str">
        <f t="shared" si="941"/>
        <v>SOLAN</v>
      </c>
      <c r="AY1457" s="1" t="str">
        <f t="shared" si="919"/>
        <v>PF</v>
      </c>
      <c r="AZ1457" s="1">
        <v>0</v>
      </c>
      <c r="BA1457" s="1">
        <v>0</v>
      </c>
      <c r="BB1457" s="1">
        <v>0</v>
      </c>
      <c r="BC1457" s="1">
        <v>0</v>
      </c>
      <c r="BD1457" s="1">
        <v>0</v>
      </c>
      <c r="BE1457" s="1" t="str">
        <f t="shared" si="942"/>
        <v>S.CADET GOMMA  TWILL CANVAS</v>
      </c>
      <c r="BF1457" s="1" t="str">
        <f t="shared" si="920"/>
        <v>Bonis SpA</v>
      </c>
    </row>
    <row r="1458" spans="2:58" x14ac:dyDescent="0.25">
      <c r="B1458" s="1">
        <v>2566</v>
      </c>
      <c r="C1458" s="1" t="str">
        <f t="shared" si="937"/>
        <v>SOLAN4189S7/C1</v>
      </c>
      <c r="E1458" s="1" t="str">
        <f>"41"</f>
        <v>41</v>
      </c>
      <c r="F1458" s="1" t="str">
        <f t="shared" si="908"/>
        <v>BONIS SPA</v>
      </c>
      <c r="G1458" s="1" t="str">
        <f t="shared" si="943"/>
        <v>STOCK SCAFFALE MP</v>
      </c>
      <c r="H1458" s="1" t="str">
        <f>"GREY"</f>
        <v>GREY</v>
      </c>
      <c r="K1458" s="1">
        <v>1</v>
      </c>
      <c r="L1458" s="1" t="str">
        <f t="shared" si="909"/>
        <v>01</v>
      </c>
      <c r="M1458" s="1" t="str">
        <f t="shared" si="902"/>
        <v>409</v>
      </c>
      <c r="N1458" s="1" t="str">
        <f t="shared" si="939"/>
        <v>016</v>
      </c>
      <c r="O1458" s="1" t="str">
        <f t="shared" si="910"/>
        <v>00</v>
      </c>
      <c r="P1458" s="1" t="str">
        <f t="shared" si="911"/>
        <v>S</v>
      </c>
      <c r="Q1458" s="1" t="str">
        <f t="shared" si="912"/>
        <v>P</v>
      </c>
      <c r="R1458" s="1" t="str">
        <f t="shared" si="913"/>
        <v>01</v>
      </c>
      <c r="S1458" s="1" t="str">
        <f t="shared" si="944"/>
        <v>04</v>
      </c>
      <c r="T1458" s="1" t="str">
        <f t="shared" si="914"/>
        <v>False</v>
      </c>
      <c r="U1458" s="1" t="str">
        <f t="shared" si="915"/>
        <v>True</v>
      </c>
      <c r="V1458" s="1" t="str">
        <f>"U0028384"</f>
        <v>U0028384</v>
      </c>
      <c r="W1458" s="1">
        <v>1</v>
      </c>
      <c r="Y1458" s="1">
        <v>0</v>
      </c>
      <c r="Z1458" s="1">
        <v>0</v>
      </c>
      <c r="AB1458" s="1" t="str">
        <f t="shared" si="903"/>
        <v>SMU</v>
      </c>
      <c r="AI1458" s="1" t="str">
        <f>"106"</f>
        <v>106</v>
      </c>
      <c r="AJ1458" s="1" t="str">
        <f t="shared" si="940"/>
        <v>MAN</v>
      </c>
      <c r="AK1458" s="1" t="str">
        <f t="shared" si="917"/>
        <v>PA</v>
      </c>
      <c r="AP1458" s="1" t="str">
        <f t="shared" si="918"/>
        <v>False</v>
      </c>
      <c r="AR1458" s="1" t="str">
        <f t="shared" si="941"/>
        <v>SOLAN</v>
      </c>
      <c r="AY1458" s="1" t="str">
        <f t="shared" si="919"/>
        <v>PF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 t="str">
        <f t="shared" si="942"/>
        <v>S.CADET GOMMA  TWILL CANVAS</v>
      </c>
      <c r="BF1458" s="1" t="str">
        <f t="shared" si="920"/>
        <v>Bonis SpA</v>
      </c>
    </row>
    <row r="1459" spans="2:58" x14ac:dyDescent="0.25">
      <c r="B1459" s="1">
        <v>2566</v>
      </c>
      <c r="C1459" s="1" t="str">
        <f t="shared" si="937"/>
        <v>SOLAN4189S7/C1</v>
      </c>
      <c r="E1459" s="1" t="str">
        <f>"42"</f>
        <v>42</v>
      </c>
      <c r="F1459" s="1" t="str">
        <f t="shared" si="908"/>
        <v>BONIS SPA</v>
      </c>
      <c r="G1459" s="1" t="str">
        <f t="shared" si="943"/>
        <v>STOCK SCAFFALE MP</v>
      </c>
      <c r="H1459" s="1" t="str">
        <f>"GREY"</f>
        <v>GREY</v>
      </c>
      <c r="K1459" s="1">
        <v>3</v>
      </c>
      <c r="L1459" s="1" t="str">
        <f t="shared" si="909"/>
        <v>01</v>
      </c>
      <c r="M1459" s="1" t="str">
        <f t="shared" si="902"/>
        <v>409</v>
      </c>
      <c r="N1459" s="1" t="str">
        <f t="shared" si="939"/>
        <v>016</v>
      </c>
      <c r="O1459" s="1" t="str">
        <f t="shared" si="910"/>
        <v>00</v>
      </c>
      <c r="P1459" s="1" t="str">
        <f t="shared" si="911"/>
        <v>S</v>
      </c>
      <c r="Q1459" s="1" t="str">
        <f t="shared" si="912"/>
        <v>P</v>
      </c>
      <c r="R1459" s="1" t="str">
        <f t="shared" si="913"/>
        <v>01</v>
      </c>
      <c r="S1459" s="1" t="str">
        <f t="shared" si="944"/>
        <v>04</v>
      </c>
      <c r="T1459" s="1" t="str">
        <f t="shared" si="914"/>
        <v>False</v>
      </c>
      <c r="U1459" s="1" t="str">
        <f t="shared" si="915"/>
        <v>True</v>
      </c>
      <c r="V1459" s="1" t="str">
        <f>"U0028384"</f>
        <v>U0028384</v>
      </c>
      <c r="W1459" s="1">
        <v>1</v>
      </c>
      <c r="Y1459" s="1">
        <v>0</v>
      </c>
      <c r="Z1459" s="1">
        <v>0</v>
      </c>
      <c r="AB1459" s="1" t="str">
        <f t="shared" si="903"/>
        <v>SMU</v>
      </c>
      <c r="AI1459" s="1" t="str">
        <f>"106"</f>
        <v>106</v>
      </c>
      <c r="AJ1459" s="1" t="str">
        <f t="shared" si="940"/>
        <v>MAN</v>
      </c>
      <c r="AK1459" s="1" t="str">
        <f t="shared" si="917"/>
        <v>PA</v>
      </c>
      <c r="AP1459" s="1" t="str">
        <f t="shared" si="918"/>
        <v>False</v>
      </c>
      <c r="AR1459" s="1" t="str">
        <f t="shared" si="941"/>
        <v>SOLAN</v>
      </c>
      <c r="AY1459" s="1" t="str">
        <f t="shared" si="919"/>
        <v>PF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 t="str">
        <f t="shared" si="942"/>
        <v>S.CADET GOMMA  TWILL CANVAS</v>
      </c>
      <c r="BF1459" s="1" t="str">
        <f t="shared" si="920"/>
        <v>Bonis SpA</v>
      </c>
    </row>
    <row r="1460" spans="2:58" x14ac:dyDescent="0.25">
      <c r="B1460" s="1">
        <v>2566</v>
      </c>
      <c r="C1460" s="1" t="str">
        <f t="shared" si="937"/>
        <v>SOLAN4189S7/C1</v>
      </c>
      <c r="E1460" s="1" t="str">
        <f>"43"</f>
        <v>43</v>
      </c>
      <c r="F1460" s="1" t="str">
        <f t="shared" si="908"/>
        <v>BONIS SPA</v>
      </c>
      <c r="G1460" s="1" t="str">
        <f t="shared" si="943"/>
        <v>STOCK SCAFFALE MP</v>
      </c>
      <c r="H1460" s="1" t="str">
        <f>"GREY"</f>
        <v>GREY</v>
      </c>
      <c r="K1460" s="1">
        <v>1</v>
      </c>
      <c r="L1460" s="1" t="str">
        <f t="shared" si="909"/>
        <v>01</v>
      </c>
      <c r="M1460" s="1" t="str">
        <f t="shared" si="902"/>
        <v>409</v>
      </c>
      <c r="N1460" s="1" t="str">
        <f t="shared" si="939"/>
        <v>016</v>
      </c>
      <c r="O1460" s="1" t="str">
        <f t="shared" si="910"/>
        <v>00</v>
      </c>
      <c r="P1460" s="1" t="str">
        <f t="shared" si="911"/>
        <v>S</v>
      </c>
      <c r="Q1460" s="1" t="str">
        <f t="shared" si="912"/>
        <v>P</v>
      </c>
      <c r="R1460" s="1" t="str">
        <f t="shared" si="913"/>
        <v>01</v>
      </c>
      <c r="S1460" s="1" t="str">
        <f t="shared" si="944"/>
        <v>04</v>
      </c>
      <c r="T1460" s="1" t="str">
        <f t="shared" si="914"/>
        <v>False</v>
      </c>
      <c r="U1460" s="1" t="str">
        <f t="shared" si="915"/>
        <v>True</v>
      </c>
      <c r="V1460" s="1" t="str">
        <f>"U0028384"</f>
        <v>U0028384</v>
      </c>
      <c r="W1460" s="1">
        <v>1</v>
      </c>
      <c r="Y1460" s="1">
        <v>0</v>
      </c>
      <c r="Z1460" s="1">
        <v>0</v>
      </c>
      <c r="AB1460" s="1" t="str">
        <f t="shared" si="903"/>
        <v>SMU</v>
      </c>
      <c r="AI1460" s="1" t="str">
        <f>"106"</f>
        <v>106</v>
      </c>
      <c r="AJ1460" s="1" t="str">
        <f t="shared" si="940"/>
        <v>MAN</v>
      </c>
      <c r="AK1460" s="1" t="str">
        <f t="shared" si="917"/>
        <v>PA</v>
      </c>
      <c r="AP1460" s="1" t="str">
        <f t="shared" si="918"/>
        <v>False</v>
      </c>
      <c r="AR1460" s="1" t="str">
        <f t="shared" si="941"/>
        <v>SOLAN</v>
      </c>
      <c r="AY1460" s="1" t="str">
        <f t="shared" si="919"/>
        <v>PF</v>
      </c>
      <c r="AZ1460" s="1">
        <v>0</v>
      </c>
      <c r="BA1460" s="1">
        <v>0</v>
      </c>
      <c r="BB1460" s="1">
        <v>0</v>
      </c>
      <c r="BC1460" s="1">
        <v>0</v>
      </c>
      <c r="BD1460" s="1">
        <v>0</v>
      </c>
      <c r="BE1460" s="1" t="str">
        <f t="shared" si="942"/>
        <v>S.CADET GOMMA  TWILL CANVAS</v>
      </c>
      <c r="BF1460" s="1" t="str">
        <f t="shared" si="920"/>
        <v>Bonis SpA</v>
      </c>
    </row>
    <row r="1461" spans="2:58" x14ac:dyDescent="0.25">
      <c r="B1461" s="1">
        <v>2566</v>
      </c>
      <c r="C1461" s="1" t="str">
        <f t="shared" si="937"/>
        <v>SOLAN4189S7/C1</v>
      </c>
      <c r="E1461" s="1" t="str">
        <f>"43"</f>
        <v>43</v>
      </c>
      <c r="F1461" s="1" t="str">
        <f t="shared" si="908"/>
        <v>BONIS SPA</v>
      </c>
      <c r="G1461" s="1" t="str">
        <f t="shared" si="943"/>
        <v>STOCK SCAFFALE MP</v>
      </c>
      <c r="H1461" s="1" t="str">
        <f>"GREY"</f>
        <v>GREY</v>
      </c>
      <c r="K1461" s="1">
        <v>1</v>
      </c>
      <c r="L1461" s="1" t="str">
        <f t="shared" si="909"/>
        <v>01</v>
      </c>
      <c r="M1461" s="1" t="str">
        <f t="shared" si="902"/>
        <v>409</v>
      </c>
      <c r="N1461" s="1" t="str">
        <f t="shared" si="939"/>
        <v>016</v>
      </c>
      <c r="O1461" s="1" t="str">
        <f t="shared" si="910"/>
        <v>00</v>
      </c>
      <c r="P1461" s="1" t="str">
        <f t="shared" si="911"/>
        <v>S</v>
      </c>
      <c r="Q1461" s="1" t="str">
        <f t="shared" si="912"/>
        <v>P</v>
      </c>
      <c r="R1461" s="1" t="str">
        <f t="shared" si="913"/>
        <v>01</v>
      </c>
      <c r="S1461" s="1" t="str">
        <f t="shared" si="944"/>
        <v>04</v>
      </c>
      <c r="T1461" s="1" t="str">
        <f t="shared" si="914"/>
        <v>False</v>
      </c>
      <c r="U1461" s="1" t="str">
        <f t="shared" si="915"/>
        <v>True</v>
      </c>
      <c r="V1461" s="1" t="str">
        <f>"U0028272"</f>
        <v>U0028272</v>
      </c>
      <c r="W1461" s="1">
        <v>1</v>
      </c>
      <c r="Y1461" s="1">
        <v>0</v>
      </c>
      <c r="Z1461" s="1">
        <v>0</v>
      </c>
      <c r="AB1461" s="1" t="str">
        <f t="shared" si="903"/>
        <v>SMU</v>
      </c>
      <c r="AI1461" s="1" t="str">
        <f>"106"</f>
        <v>106</v>
      </c>
      <c r="AJ1461" s="1" t="str">
        <f t="shared" si="940"/>
        <v>MAN</v>
      </c>
      <c r="AK1461" s="1" t="str">
        <f t="shared" si="917"/>
        <v>PA</v>
      </c>
      <c r="AP1461" s="1" t="str">
        <f t="shared" si="918"/>
        <v>False</v>
      </c>
      <c r="AR1461" s="1" t="str">
        <f t="shared" si="941"/>
        <v>SOLAN</v>
      </c>
      <c r="AY1461" s="1" t="str">
        <f t="shared" si="919"/>
        <v>PF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 t="str">
        <f t="shared" si="942"/>
        <v>S.CADET GOMMA  TWILL CANVAS</v>
      </c>
      <c r="BF1461" s="1" t="str">
        <f t="shared" si="920"/>
        <v>Bonis SpA</v>
      </c>
    </row>
    <row r="1462" spans="2:58" x14ac:dyDescent="0.25">
      <c r="B1462" s="1">
        <v>2566</v>
      </c>
      <c r="C1462" s="1" t="str">
        <f t="shared" si="937"/>
        <v>SOLAN4189S7/C1</v>
      </c>
      <c r="E1462" s="1" t="str">
        <f>"44"</f>
        <v>44</v>
      </c>
      <c r="F1462" s="1" t="str">
        <f t="shared" si="908"/>
        <v>BONIS SPA</v>
      </c>
      <c r="G1462" s="1" t="str">
        <f t="shared" si="943"/>
        <v>STOCK SCAFFALE MP</v>
      </c>
      <c r="H1462" s="1" t="str">
        <f>"DKBL"</f>
        <v>DKBL</v>
      </c>
      <c r="K1462" s="1">
        <v>2</v>
      </c>
      <c r="L1462" s="1" t="str">
        <f t="shared" si="909"/>
        <v>01</v>
      </c>
      <c r="M1462" s="1" t="str">
        <f t="shared" ref="M1462:M1525" si="945">"409"</f>
        <v>409</v>
      </c>
      <c r="N1462" s="1" t="str">
        <f t="shared" si="939"/>
        <v>016</v>
      </c>
      <c r="O1462" s="1" t="str">
        <f t="shared" si="910"/>
        <v>00</v>
      </c>
      <c r="P1462" s="1" t="str">
        <f t="shared" si="911"/>
        <v>S</v>
      </c>
      <c r="Q1462" s="1" t="str">
        <f t="shared" si="912"/>
        <v>P</v>
      </c>
      <c r="R1462" s="1" t="str">
        <f t="shared" si="913"/>
        <v>01</v>
      </c>
      <c r="S1462" s="1" t="str">
        <f t="shared" si="944"/>
        <v>04</v>
      </c>
      <c r="T1462" s="1" t="str">
        <f t="shared" si="914"/>
        <v>False</v>
      </c>
      <c r="U1462" s="1" t="str">
        <f t="shared" si="915"/>
        <v>True</v>
      </c>
      <c r="V1462" s="1" t="str">
        <f>"U0027838"</f>
        <v>U0027838</v>
      </c>
      <c r="W1462" s="1">
        <v>1</v>
      </c>
      <c r="Y1462" s="1">
        <v>0</v>
      </c>
      <c r="Z1462" s="1">
        <v>0</v>
      </c>
      <c r="AB1462" s="1" t="str">
        <f t="shared" ref="AB1462:AB1525" si="946">"SMU"</f>
        <v>SMU</v>
      </c>
      <c r="AI1462" s="1" t="str">
        <f>"F11"</f>
        <v>F11</v>
      </c>
      <c r="AJ1462" s="1" t="str">
        <f t="shared" si="940"/>
        <v>MAN</v>
      </c>
      <c r="AK1462" s="1" t="str">
        <f t="shared" si="917"/>
        <v>PA</v>
      </c>
      <c r="AP1462" s="1" t="str">
        <f t="shared" si="918"/>
        <v>False</v>
      </c>
      <c r="AR1462" s="1" t="str">
        <f t="shared" si="941"/>
        <v>SOLAN</v>
      </c>
      <c r="AY1462" s="1" t="str">
        <f t="shared" si="919"/>
        <v>PF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 t="str">
        <f t="shared" si="942"/>
        <v>S.CADET GOMMA  TWILL CANVAS</v>
      </c>
      <c r="BF1462" s="1" t="str">
        <f t="shared" si="920"/>
        <v>Bonis SpA</v>
      </c>
    </row>
    <row r="1463" spans="2:58" x14ac:dyDescent="0.25">
      <c r="B1463" s="1">
        <v>2566</v>
      </c>
      <c r="C1463" s="1" t="str">
        <f t="shared" si="937"/>
        <v>SOLAN4189S7/C1</v>
      </c>
      <c r="E1463" s="1" t="str">
        <f>"43"</f>
        <v>43</v>
      </c>
      <c r="F1463" s="1" t="str">
        <f t="shared" si="908"/>
        <v>BONIS SPA</v>
      </c>
      <c r="G1463" s="1" t="str">
        <f t="shared" si="943"/>
        <v>STOCK SCAFFALE MP</v>
      </c>
      <c r="H1463" s="1" t="str">
        <f>"DKBL"</f>
        <v>DKBL</v>
      </c>
      <c r="K1463" s="1">
        <v>3</v>
      </c>
      <c r="L1463" s="1" t="str">
        <f t="shared" si="909"/>
        <v>01</v>
      </c>
      <c r="M1463" s="1" t="str">
        <f t="shared" si="945"/>
        <v>409</v>
      </c>
      <c r="N1463" s="1" t="str">
        <f t="shared" si="939"/>
        <v>016</v>
      </c>
      <c r="O1463" s="1" t="str">
        <f t="shared" si="910"/>
        <v>00</v>
      </c>
      <c r="P1463" s="1" t="str">
        <f t="shared" si="911"/>
        <v>S</v>
      </c>
      <c r="Q1463" s="1" t="str">
        <f t="shared" si="912"/>
        <v>P</v>
      </c>
      <c r="R1463" s="1" t="str">
        <f t="shared" si="913"/>
        <v>01</v>
      </c>
      <c r="S1463" s="1" t="str">
        <f t="shared" si="944"/>
        <v>04</v>
      </c>
      <c r="T1463" s="1" t="str">
        <f t="shared" si="914"/>
        <v>False</v>
      </c>
      <c r="U1463" s="1" t="str">
        <f t="shared" si="915"/>
        <v>True</v>
      </c>
      <c r="V1463" s="1" t="str">
        <f>"U0027838"</f>
        <v>U0027838</v>
      </c>
      <c r="W1463" s="1">
        <v>1</v>
      </c>
      <c r="Y1463" s="1">
        <v>0</v>
      </c>
      <c r="Z1463" s="1">
        <v>0</v>
      </c>
      <c r="AB1463" s="1" t="str">
        <f t="shared" si="946"/>
        <v>SMU</v>
      </c>
      <c r="AI1463" s="1" t="str">
        <f>"F11"</f>
        <v>F11</v>
      </c>
      <c r="AJ1463" s="1" t="str">
        <f t="shared" si="940"/>
        <v>MAN</v>
      </c>
      <c r="AK1463" s="1" t="str">
        <f t="shared" si="917"/>
        <v>PA</v>
      </c>
      <c r="AP1463" s="1" t="str">
        <f t="shared" si="918"/>
        <v>False</v>
      </c>
      <c r="AR1463" s="1" t="str">
        <f t="shared" si="941"/>
        <v>SOLAN</v>
      </c>
      <c r="AY1463" s="1" t="str">
        <f t="shared" si="919"/>
        <v>PF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 t="str">
        <f t="shared" si="942"/>
        <v>S.CADET GOMMA  TWILL CANVAS</v>
      </c>
      <c r="BF1463" s="1" t="str">
        <f t="shared" si="920"/>
        <v>Bonis SpA</v>
      </c>
    </row>
    <row r="1464" spans="2:58" x14ac:dyDescent="0.25">
      <c r="B1464" s="1">
        <v>2566</v>
      </c>
      <c r="C1464" s="1" t="str">
        <f t="shared" si="937"/>
        <v>SOLAN4189S7/C1</v>
      </c>
      <c r="E1464" s="1" t="str">
        <f>"42"</f>
        <v>42</v>
      </c>
      <c r="F1464" s="1" t="str">
        <f t="shared" si="908"/>
        <v>BONIS SPA</v>
      </c>
      <c r="G1464" s="1" t="str">
        <f t="shared" si="943"/>
        <v>STOCK SCAFFALE MP</v>
      </c>
      <c r="H1464" s="1" t="str">
        <f>"DKBL"</f>
        <v>DKBL</v>
      </c>
      <c r="K1464" s="1">
        <v>3</v>
      </c>
      <c r="L1464" s="1" t="str">
        <f t="shared" si="909"/>
        <v>01</v>
      </c>
      <c r="M1464" s="1" t="str">
        <f t="shared" si="945"/>
        <v>409</v>
      </c>
      <c r="N1464" s="1" t="str">
        <f t="shared" si="939"/>
        <v>016</v>
      </c>
      <c r="O1464" s="1" t="str">
        <f t="shared" si="910"/>
        <v>00</v>
      </c>
      <c r="P1464" s="1" t="str">
        <f t="shared" si="911"/>
        <v>S</v>
      </c>
      <c r="Q1464" s="1" t="str">
        <f t="shared" si="912"/>
        <v>P</v>
      </c>
      <c r="R1464" s="1" t="str">
        <f t="shared" si="913"/>
        <v>01</v>
      </c>
      <c r="S1464" s="1" t="str">
        <f t="shared" si="944"/>
        <v>04</v>
      </c>
      <c r="T1464" s="1" t="str">
        <f t="shared" si="914"/>
        <v>False</v>
      </c>
      <c r="U1464" s="1" t="str">
        <f t="shared" si="915"/>
        <v>True</v>
      </c>
      <c r="V1464" s="1" t="str">
        <f>"U0027838"</f>
        <v>U0027838</v>
      </c>
      <c r="W1464" s="1">
        <v>1</v>
      </c>
      <c r="Y1464" s="1">
        <v>0</v>
      </c>
      <c r="Z1464" s="1">
        <v>0</v>
      </c>
      <c r="AB1464" s="1" t="str">
        <f t="shared" si="946"/>
        <v>SMU</v>
      </c>
      <c r="AI1464" s="1" t="str">
        <f>"F11"</f>
        <v>F11</v>
      </c>
      <c r="AJ1464" s="1" t="str">
        <f t="shared" si="940"/>
        <v>MAN</v>
      </c>
      <c r="AK1464" s="1" t="str">
        <f t="shared" si="917"/>
        <v>PA</v>
      </c>
      <c r="AP1464" s="1" t="str">
        <f t="shared" si="918"/>
        <v>False</v>
      </c>
      <c r="AR1464" s="1" t="str">
        <f t="shared" si="941"/>
        <v>SOLAN</v>
      </c>
      <c r="AY1464" s="1" t="str">
        <f t="shared" si="919"/>
        <v>PF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 t="str">
        <f t="shared" si="942"/>
        <v>S.CADET GOMMA  TWILL CANVAS</v>
      </c>
      <c r="BF1464" s="1" t="str">
        <f t="shared" si="920"/>
        <v>Bonis SpA</v>
      </c>
    </row>
    <row r="1465" spans="2:58" x14ac:dyDescent="0.25">
      <c r="B1465" s="1">
        <v>2566</v>
      </c>
      <c r="C1465" s="1" t="str">
        <f t="shared" si="937"/>
        <v>SOLAN4189S7/C1</v>
      </c>
      <c r="E1465" s="1" t="str">
        <f>"40"</f>
        <v>40</v>
      </c>
      <c r="F1465" s="1" t="str">
        <f t="shared" si="908"/>
        <v>BONIS SPA</v>
      </c>
      <c r="G1465" s="1" t="str">
        <f t="shared" si="943"/>
        <v>STOCK SCAFFALE MP</v>
      </c>
      <c r="H1465" s="1" t="str">
        <f>"DKBL"</f>
        <v>DKBL</v>
      </c>
      <c r="K1465" s="1">
        <v>1</v>
      </c>
      <c r="L1465" s="1" t="str">
        <f t="shared" si="909"/>
        <v>01</v>
      </c>
      <c r="M1465" s="1" t="str">
        <f t="shared" si="945"/>
        <v>409</v>
      </c>
      <c r="N1465" s="1" t="str">
        <f t="shared" si="939"/>
        <v>016</v>
      </c>
      <c r="O1465" s="1" t="str">
        <f t="shared" si="910"/>
        <v>00</v>
      </c>
      <c r="P1465" s="1" t="str">
        <f t="shared" si="911"/>
        <v>S</v>
      </c>
      <c r="Q1465" s="1" t="str">
        <f t="shared" si="912"/>
        <v>P</v>
      </c>
      <c r="R1465" s="1" t="str">
        <f t="shared" si="913"/>
        <v>01</v>
      </c>
      <c r="S1465" s="1" t="str">
        <f t="shared" si="944"/>
        <v>04</v>
      </c>
      <c r="T1465" s="1" t="str">
        <f t="shared" si="914"/>
        <v>False</v>
      </c>
      <c r="U1465" s="1" t="str">
        <f t="shared" si="915"/>
        <v>True</v>
      </c>
      <c r="V1465" s="1" t="str">
        <f>"U0028272"</f>
        <v>U0028272</v>
      </c>
      <c r="W1465" s="1">
        <v>1</v>
      </c>
      <c r="Y1465" s="1">
        <v>0</v>
      </c>
      <c r="Z1465" s="1">
        <v>0</v>
      </c>
      <c r="AB1465" s="1" t="str">
        <f t="shared" si="946"/>
        <v>SMU</v>
      </c>
      <c r="AI1465" s="1" t="str">
        <f t="shared" ref="AI1465:AI1473" si="947">"106"</f>
        <v>106</v>
      </c>
      <c r="AJ1465" s="1" t="str">
        <f t="shared" si="940"/>
        <v>MAN</v>
      </c>
      <c r="AK1465" s="1" t="str">
        <f t="shared" si="917"/>
        <v>PA</v>
      </c>
      <c r="AP1465" s="1" t="str">
        <f t="shared" si="918"/>
        <v>False</v>
      </c>
      <c r="AR1465" s="1" t="str">
        <f t="shared" si="941"/>
        <v>SOLAN</v>
      </c>
      <c r="AY1465" s="1" t="str">
        <f t="shared" si="919"/>
        <v>PF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 t="str">
        <f t="shared" si="942"/>
        <v>S.CADET GOMMA  TWILL CANVAS</v>
      </c>
      <c r="BF1465" s="1" t="str">
        <f t="shared" si="920"/>
        <v>Bonis SpA</v>
      </c>
    </row>
    <row r="1466" spans="2:58" x14ac:dyDescent="0.25">
      <c r="B1466" s="1">
        <v>2566</v>
      </c>
      <c r="C1466" s="1" t="str">
        <f t="shared" ref="C1466:C1471" si="948">"GALAN4182S7/CY1"</f>
        <v>GALAN4182S7/CY1</v>
      </c>
      <c r="E1466" s="1" t="str">
        <f>"40"</f>
        <v>40</v>
      </c>
      <c r="F1466" s="1" t="str">
        <f t="shared" si="908"/>
        <v>BONIS SPA</v>
      </c>
      <c r="G1466" s="1" t="str">
        <f t="shared" si="943"/>
        <v>STOCK SCAFFALE MP</v>
      </c>
      <c r="H1466" s="1" t="str">
        <f t="shared" ref="H1466:H1471" si="949">"WHI"</f>
        <v>WHI</v>
      </c>
      <c r="K1466" s="1">
        <v>1</v>
      </c>
      <c r="L1466" s="1" t="str">
        <f t="shared" si="909"/>
        <v>01</v>
      </c>
      <c r="M1466" s="1" t="str">
        <f t="shared" si="945"/>
        <v>409</v>
      </c>
      <c r="N1466" s="1" t="str">
        <f t="shared" si="939"/>
        <v>016</v>
      </c>
      <c r="O1466" s="1" t="str">
        <f t="shared" si="910"/>
        <v>00</v>
      </c>
      <c r="P1466" s="1" t="str">
        <f t="shared" si="911"/>
        <v>S</v>
      </c>
      <c r="Q1466" s="1" t="str">
        <f t="shared" si="912"/>
        <v>P</v>
      </c>
      <c r="R1466" s="1" t="str">
        <f t="shared" si="913"/>
        <v>01</v>
      </c>
      <c r="S1466" s="1" t="str">
        <f t="shared" si="944"/>
        <v>04</v>
      </c>
      <c r="T1466" s="1" t="str">
        <f t="shared" si="914"/>
        <v>False</v>
      </c>
      <c r="U1466" s="1" t="str">
        <f t="shared" si="915"/>
        <v>True</v>
      </c>
      <c r="V1466" s="1" t="str">
        <f>"U0027838"</f>
        <v>U0027838</v>
      </c>
      <c r="W1466" s="1">
        <v>1</v>
      </c>
      <c r="Y1466" s="1">
        <v>0</v>
      </c>
      <c r="Z1466" s="1">
        <v>0</v>
      </c>
      <c r="AB1466" s="1" t="str">
        <f t="shared" si="946"/>
        <v>SMU</v>
      </c>
      <c r="AI1466" s="1" t="str">
        <f t="shared" si="947"/>
        <v>106</v>
      </c>
      <c r="AJ1466" s="1" t="str">
        <f t="shared" si="940"/>
        <v>MAN</v>
      </c>
      <c r="AK1466" s="1" t="str">
        <f t="shared" si="917"/>
        <v>PA</v>
      </c>
      <c r="AP1466" s="1" t="str">
        <f t="shared" si="918"/>
        <v>False</v>
      </c>
      <c r="AR1466" s="1" t="str">
        <f t="shared" ref="AR1466:AR1471" si="950">"GALAN"</f>
        <v>GALAN</v>
      </c>
      <c r="AY1466" s="1" t="str">
        <f t="shared" si="919"/>
        <v>PF</v>
      </c>
      <c r="AZ1466" s="1">
        <v>0</v>
      </c>
      <c r="BA1466" s="1">
        <v>0</v>
      </c>
      <c r="BB1466" s="1">
        <v>0</v>
      </c>
      <c r="BC1466" s="1">
        <v>0</v>
      </c>
      <c r="BD1466" s="1">
        <v>0</v>
      </c>
      <c r="BE1466" s="1" t="str">
        <f t="shared" ref="BE1466:BE1471" si="951">"LAN+TWILL CANVAS + SIN.LEATHER"</f>
        <v>LAN+TWILL CANVAS + SIN.LEATHER</v>
      </c>
      <c r="BF1466" s="1" t="str">
        <f t="shared" si="920"/>
        <v>Bonis SpA</v>
      </c>
    </row>
    <row r="1467" spans="2:58" x14ac:dyDescent="0.25">
      <c r="B1467" s="1">
        <v>2566</v>
      </c>
      <c r="C1467" s="1" t="str">
        <f t="shared" si="948"/>
        <v>GALAN4182S7/CY1</v>
      </c>
      <c r="E1467" s="1" t="str">
        <f>"41"</f>
        <v>41</v>
      </c>
      <c r="F1467" s="1" t="str">
        <f t="shared" si="908"/>
        <v>BONIS SPA</v>
      </c>
      <c r="G1467" s="1" t="str">
        <f t="shared" si="943"/>
        <v>STOCK SCAFFALE MP</v>
      </c>
      <c r="H1467" s="1" t="str">
        <f t="shared" si="949"/>
        <v>WHI</v>
      </c>
      <c r="K1467" s="1">
        <v>1</v>
      </c>
      <c r="L1467" s="1" t="str">
        <f t="shared" si="909"/>
        <v>01</v>
      </c>
      <c r="M1467" s="1" t="str">
        <f t="shared" si="945"/>
        <v>409</v>
      </c>
      <c r="N1467" s="1" t="str">
        <f t="shared" si="939"/>
        <v>016</v>
      </c>
      <c r="O1467" s="1" t="str">
        <f t="shared" si="910"/>
        <v>00</v>
      </c>
      <c r="P1467" s="1" t="str">
        <f t="shared" si="911"/>
        <v>S</v>
      </c>
      <c r="Q1467" s="1" t="str">
        <f t="shared" si="912"/>
        <v>P</v>
      </c>
      <c r="R1467" s="1" t="str">
        <f t="shared" si="913"/>
        <v>01</v>
      </c>
      <c r="S1467" s="1" t="str">
        <f t="shared" si="944"/>
        <v>04</v>
      </c>
      <c r="T1467" s="1" t="str">
        <f t="shared" si="914"/>
        <v>False</v>
      </c>
      <c r="U1467" s="1" t="str">
        <f t="shared" si="915"/>
        <v>True</v>
      </c>
      <c r="V1467" s="1" t="str">
        <f>"U0027838"</f>
        <v>U0027838</v>
      </c>
      <c r="W1467" s="1">
        <v>1</v>
      </c>
      <c r="Y1467" s="1">
        <v>0</v>
      </c>
      <c r="Z1467" s="1">
        <v>0</v>
      </c>
      <c r="AB1467" s="1" t="str">
        <f t="shared" si="946"/>
        <v>SMU</v>
      </c>
      <c r="AI1467" s="1" t="str">
        <f t="shared" si="947"/>
        <v>106</v>
      </c>
      <c r="AJ1467" s="1" t="str">
        <f t="shared" si="940"/>
        <v>MAN</v>
      </c>
      <c r="AK1467" s="1" t="str">
        <f t="shared" si="917"/>
        <v>PA</v>
      </c>
      <c r="AP1467" s="1" t="str">
        <f t="shared" si="918"/>
        <v>False</v>
      </c>
      <c r="AR1467" s="1" t="str">
        <f t="shared" si="950"/>
        <v>GALAN</v>
      </c>
      <c r="AY1467" s="1" t="str">
        <f t="shared" si="919"/>
        <v>PF</v>
      </c>
      <c r="AZ1467" s="1">
        <v>0</v>
      </c>
      <c r="BA1467" s="1">
        <v>0</v>
      </c>
      <c r="BB1467" s="1">
        <v>0</v>
      </c>
      <c r="BC1467" s="1">
        <v>0</v>
      </c>
      <c r="BD1467" s="1">
        <v>0</v>
      </c>
      <c r="BE1467" s="1" t="str">
        <f t="shared" si="951"/>
        <v>LAN+TWILL CANVAS + SIN.LEATHER</v>
      </c>
      <c r="BF1467" s="1" t="str">
        <f t="shared" si="920"/>
        <v>Bonis SpA</v>
      </c>
    </row>
    <row r="1468" spans="2:58" x14ac:dyDescent="0.25">
      <c r="B1468" s="1">
        <v>2566</v>
      </c>
      <c r="C1468" s="1" t="str">
        <f t="shared" si="948"/>
        <v>GALAN4182S7/CY1</v>
      </c>
      <c r="E1468" s="1" t="str">
        <f>"41"</f>
        <v>41</v>
      </c>
      <c r="F1468" s="1" t="str">
        <f t="shared" si="908"/>
        <v>BONIS SPA</v>
      </c>
      <c r="G1468" s="1" t="str">
        <f t="shared" si="943"/>
        <v>STOCK SCAFFALE MP</v>
      </c>
      <c r="H1468" s="1" t="str">
        <f t="shared" si="949"/>
        <v>WHI</v>
      </c>
      <c r="K1468" s="1">
        <v>1</v>
      </c>
      <c r="L1468" s="1" t="str">
        <f t="shared" si="909"/>
        <v>01</v>
      </c>
      <c r="M1468" s="1" t="str">
        <f t="shared" si="945"/>
        <v>409</v>
      </c>
      <c r="N1468" s="1" t="str">
        <f t="shared" si="939"/>
        <v>016</v>
      </c>
      <c r="O1468" s="1" t="str">
        <f t="shared" si="910"/>
        <v>00</v>
      </c>
      <c r="P1468" s="1" t="str">
        <f t="shared" si="911"/>
        <v>S</v>
      </c>
      <c r="Q1468" s="1" t="str">
        <f t="shared" si="912"/>
        <v>P</v>
      </c>
      <c r="R1468" s="1" t="str">
        <f t="shared" si="913"/>
        <v>01</v>
      </c>
      <c r="S1468" s="1" t="str">
        <f t="shared" si="944"/>
        <v>04</v>
      </c>
      <c r="T1468" s="1" t="str">
        <f t="shared" si="914"/>
        <v>False</v>
      </c>
      <c r="U1468" s="1" t="str">
        <f t="shared" si="915"/>
        <v>True</v>
      </c>
      <c r="V1468" s="1" t="str">
        <f>"U0028379"</f>
        <v>U0028379</v>
      </c>
      <c r="W1468" s="1">
        <v>1</v>
      </c>
      <c r="Y1468" s="1">
        <v>0</v>
      </c>
      <c r="Z1468" s="1">
        <v>0</v>
      </c>
      <c r="AB1468" s="1" t="str">
        <f t="shared" si="946"/>
        <v>SMU</v>
      </c>
      <c r="AI1468" s="1" t="str">
        <f t="shared" si="947"/>
        <v>106</v>
      </c>
      <c r="AJ1468" s="1" t="str">
        <f t="shared" si="940"/>
        <v>MAN</v>
      </c>
      <c r="AK1468" s="1" t="str">
        <f t="shared" si="917"/>
        <v>PA</v>
      </c>
      <c r="AP1468" s="1" t="str">
        <f t="shared" si="918"/>
        <v>False</v>
      </c>
      <c r="AR1468" s="1" t="str">
        <f t="shared" si="950"/>
        <v>GALAN</v>
      </c>
      <c r="AY1468" s="1" t="str">
        <f t="shared" si="919"/>
        <v>PF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 t="str">
        <f t="shared" si="951"/>
        <v>LAN+TWILL CANVAS + SIN.LEATHER</v>
      </c>
      <c r="BF1468" s="1" t="str">
        <f t="shared" si="920"/>
        <v>Bonis SpA</v>
      </c>
    </row>
    <row r="1469" spans="2:58" x14ac:dyDescent="0.25">
      <c r="B1469" s="1">
        <v>2566</v>
      </c>
      <c r="C1469" s="1" t="str">
        <f t="shared" si="948"/>
        <v>GALAN4182S7/CY1</v>
      </c>
      <c r="E1469" s="1" t="str">
        <f>"43"</f>
        <v>43</v>
      </c>
      <c r="F1469" s="1" t="str">
        <f t="shared" si="908"/>
        <v>BONIS SPA</v>
      </c>
      <c r="G1469" s="1" t="str">
        <f t="shared" si="943"/>
        <v>STOCK SCAFFALE MP</v>
      </c>
      <c r="H1469" s="1" t="str">
        <f t="shared" si="949"/>
        <v>WHI</v>
      </c>
      <c r="K1469" s="1">
        <v>2</v>
      </c>
      <c r="L1469" s="1" t="str">
        <f t="shared" si="909"/>
        <v>01</v>
      </c>
      <c r="M1469" s="1" t="str">
        <f t="shared" si="945"/>
        <v>409</v>
      </c>
      <c r="N1469" s="1" t="str">
        <f t="shared" si="939"/>
        <v>016</v>
      </c>
      <c r="O1469" s="1" t="str">
        <f t="shared" si="910"/>
        <v>00</v>
      </c>
      <c r="P1469" s="1" t="str">
        <f t="shared" si="911"/>
        <v>S</v>
      </c>
      <c r="Q1469" s="1" t="str">
        <f t="shared" si="912"/>
        <v>P</v>
      </c>
      <c r="R1469" s="1" t="str">
        <f t="shared" si="913"/>
        <v>01</v>
      </c>
      <c r="S1469" s="1" t="str">
        <f t="shared" si="944"/>
        <v>04</v>
      </c>
      <c r="T1469" s="1" t="str">
        <f t="shared" si="914"/>
        <v>False</v>
      </c>
      <c r="U1469" s="1" t="str">
        <f t="shared" si="915"/>
        <v>True</v>
      </c>
      <c r="V1469" s="1" t="str">
        <f>"U0027838"</f>
        <v>U0027838</v>
      </c>
      <c r="W1469" s="1">
        <v>1</v>
      </c>
      <c r="Y1469" s="1">
        <v>0</v>
      </c>
      <c r="Z1469" s="1">
        <v>0</v>
      </c>
      <c r="AB1469" s="1" t="str">
        <f t="shared" si="946"/>
        <v>SMU</v>
      </c>
      <c r="AI1469" s="1" t="str">
        <f t="shared" si="947"/>
        <v>106</v>
      </c>
      <c r="AJ1469" s="1" t="str">
        <f t="shared" si="940"/>
        <v>MAN</v>
      </c>
      <c r="AK1469" s="1" t="str">
        <f t="shared" si="917"/>
        <v>PA</v>
      </c>
      <c r="AP1469" s="1" t="str">
        <f t="shared" si="918"/>
        <v>False</v>
      </c>
      <c r="AR1469" s="1" t="str">
        <f t="shared" si="950"/>
        <v>GALAN</v>
      </c>
      <c r="AY1469" s="1" t="str">
        <f t="shared" si="919"/>
        <v>PF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 t="str">
        <f t="shared" si="951"/>
        <v>LAN+TWILL CANVAS + SIN.LEATHER</v>
      </c>
      <c r="BF1469" s="1" t="str">
        <f t="shared" si="920"/>
        <v>Bonis SpA</v>
      </c>
    </row>
    <row r="1470" spans="2:58" x14ac:dyDescent="0.25">
      <c r="B1470" s="1">
        <v>2566</v>
      </c>
      <c r="C1470" s="1" t="str">
        <f t="shared" si="948"/>
        <v>GALAN4182S7/CY1</v>
      </c>
      <c r="E1470" s="1" t="str">
        <f>"43"</f>
        <v>43</v>
      </c>
      <c r="F1470" s="1" t="str">
        <f t="shared" si="908"/>
        <v>BONIS SPA</v>
      </c>
      <c r="G1470" s="1" t="str">
        <f t="shared" si="943"/>
        <v>STOCK SCAFFALE MP</v>
      </c>
      <c r="H1470" s="1" t="str">
        <f t="shared" si="949"/>
        <v>WHI</v>
      </c>
      <c r="K1470" s="1">
        <v>1</v>
      </c>
      <c r="L1470" s="1" t="str">
        <f t="shared" si="909"/>
        <v>01</v>
      </c>
      <c r="M1470" s="1" t="str">
        <f t="shared" si="945"/>
        <v>409</v>
      </c>
      <c r="N1470" s="1" t="str">
        <f t="shared" si="939"/>
        <v>016</v>
      </c>
      <c r="O1470" s="1" t="str">
        <f t="shared" si="910"/>
        <v>00</v>
      </c>
      <c r="P1470" s="1" t="str">
        <f t="shared" si="911"/>
        <v>S</v>
      </c>
      <c r="Q1470" s="1" t="str">
        <f t="shared" si="912"/>
        <v>P</v>
      </c>
      <c r="R1470" s="1" t="str">
        <f t="shared" si="913"/>
        <v>01</v>
      </c>
      <c r="S1470" s="1" t="str">
        <f t="shared" si="944"/>
        <v>04</v>
      </c>
      <c r="T1470" s="1" t="str">
        <f t="shared" si="914"/>
        <v>False</v>
      </c>
      <c r="U1470" s="1" t="str">
        <f t="shared" si="915"/>
        <v>True</v>
      </c>
      <c r="V1470" s="1" t="str">
        <f>"U0028280"</f>
        <v>U0028280</v>
      </c>
      <c r="W1470" s="1">
        <v>1</v>
      </c>
      <c r="Y1470" s="1">
        <v>0</v>
      </c>
      <c r="Z1470" s="1">
        <v>0</v>
      </c>
      <c r="AB1470" s="1" t="str">
        <f t="shared" si="946"/>
        <v>SMU</v>
      </c>
      <c r="AI1470" s="1" t="str">
        <f t="shared" si="947"/>
        <v>106</v>
      </c>
      <c r="AJ1470" s="1" t="str">
        <f t="shared" si="940"/>
        <v>MAN</v>
      </c>
      <c r="AK1470" s="1" t="str">
        <f t="shared" si="917"/>
        <v>PA</v>
      </c>
      <c r="AP1470" s="1" t="str">
        <f t="shared" si="918"/>
        <v>False</v>
      </c>
      <c r="AR1470" s="1" t="str">
        <f t="shared" si="950"/>
        <v>GALAN</v>
      </c>
      <c r="AY1470" s="1" t="str">
        <f t="shared" si="919"/>
        <v>PF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 t="str">
        <f t="shared" si="951"/>
        <v>LAN+TWILL CANVAS + SIN.LEATHER</v>
      </c>
      <c r="BF1470" s="1" t="str">
        <f t="shared" si="920"/>
        <v>Bonis SpA</v>
      </c>
    </row>
    <row r="1471" spans="2:58" x14ac:dyDescent="0.25">
      <c r="B1471" s="1">
        <v>2566</v>
      </c>
      <c r="C1471" s="1" t="str">
        <f t="shared" si="948"/>
        <v>GALAN4182S7/CY1</v>
      </c>
      <c r="E1471" s="1" t="str">
        <f>"44"</f>
        <v>44</v>
      </c>
      <c r="F1471" s="1" t="str">
        <f t="shared" si="908"/>
        <v>BONIS SPA</v>
      </c>
      <c r="G1471" s="1" t="str">
        <f t="shared" si="943"/>
        <v>STOCK SCAFFALE MP</v>
      </c>
      <c r="H1471" s="1" t="str">
        <f t="shared" si="949"/>
        <v>WHI</v>
      </c>
      <c r="K1471" s="1">
        <v>1</v>
      </c>
      <c r="L1471" s="1" t="str">
        <f t="shared" si="909"/>
        <v>01</v>
      </c>
      <c r="M1471" s="1" t="str">
        <f t="shared" si="945"/>
        <v>409</v>
      </c>
      <c r="N1471" s="1" t="str">
        <f t="shared" si="939"/>
        <v>016</v>
      </c>
      <c r="O1471" s="1" t="str">
        <f t="shared" si="910"/>
        <v>00</v>
      </c>
      <c r="P1471" s="1" t="str">
        <f t="shared" si="911"/>
        <v>S</v>
      </c>
      <c r="Q1471" s="1" t="str">
        <f t="shared" si="912"/>
        <v>P</v>
      </c>
      <c r="R1471" s="1" t="str">
        <f t="shared" si="913"/>
        <v>01</v>
      </c>
      <c r="S1471" s="1" t="str">
        <f t="shared" si="944"/>
        <v>04</v>
      </c>
      <c r="T1471" s="1" t="str">
        <f t="shared" si="914"/>
        <v>False</v>
      </c>
      <c r="U1471" s="1" t="str">
        <f t="shared" si="915"/>
        <v>True</v>
      </c>
      <c r="V1471" s="1" t="str">
        <f>"U0028280"</f>
        <v>U0028280</v>
      </c>
      <c r="W1471" s="1">
        <v>1</v>
      </c>
      <c r="Y1471" s="1">
        <v>0</v>
      </c>
      <c r="Z1471" s="1">
        <v>0</v>
      </c>
      <c r="AB1471" s="1" t="str">
        <f t="shared" si="946"/>
        <v>SMU</v>
      </c>
      <c r="AI1471" s="1" t="str">
        <f t="shared" si="947"/>
        <v>106</v>
      </c>
      <c r="AJ1471" s="1" t="str">
        <f t="shared" si="940"/>
        <v>MAN</v>
      </c>
      <c r="AK1471" s="1" t="str">
        <f t="shared" si="917"/>
        <v>PA</v>
      </c>
      <c r="AP1471" s="1" t="str">
        <f t="shared" si="918"/>
        <v>False</v>
      </c>
      <c r="AR1471" s="1" t="str">
        <f t="shared" si="950"/>
        <v>GALAN</v>
      </c>
      <c r="AY1471" s="1" t="str">
        <f t="shared" si="919"/>
        <v>PF</v>
      </c>
      <c r="AZ1471" s="1">
        <v>0</v>
      </c>
      <c r="BA1471" s="1">
        <v>0</v>
      </c>
      <c r="BB1471" s="1">
        <v>0</v>
      </c>
      <c r="BC1471" s="1">
        <v>0</v>
      </c>
      <c r="BD1471" s="1">
        <v>0</v>
      </c>
      <c r="BE1471" s="1" t="str">
        <f t="shared" si="951"/>
        <v>LAN+TWILL CANVAS + SIN.LEATHER</v>
      </c>
      <c r="BF1471" s="1" t="str">
        <f t="shared" si="920"/>
        <v>Bonis SpA</v>
      </c>
    </row>
    <row r="1472" spans="2:58" x14ac:dyDescent="0.25">
      <c r="B1472" s="1">
        <v>2566</v>
      </c>
      <c r="C1472" s="1" t="str">
        <f>"SOLAN4189S7/C1"</f>
        <v>SOLAN4189S7/C1</v>
      </c>
      <c r="E1472" s="1" t="str">
        <f>"43"</f>
        <v>43</v>
      </c>
      <c r="F1472" s="1" t="str">
        <f t="shared" si="908"/>
        <v>BONIS SPA</v>
      </c>
      <c r="G1472" s="1" t="str">
        <f t="shared" si="943"/>
        <v>STOCK SCAFFALE MP</v>
      </c>
      <c r="H1472" s="1" t="str">
        <f t="shared" ref="H1472:H1477" si="952">"DKBL"</f>
        <v>DKBL</v>
      </c>
      <c r="K1472" s="1">
        <v>3</v>
      </c>
      <c r="L1472" s="1" t="str">
        <f t="shared" si="909"/>
        <v>01</v>
      </c>
      <c r="M1472" s="1" t="str">
        <f t="shared" si="945"/>
        <v>409</v>
      </c>
      <c r="N1472" s="1" t="str">
        <f t="shared" si="939"/>
        <v>016</v>
      </c>
      <c r="O1472" s="1" t="str">
        <f t="shared" si="910"/>
        <v>00</v>
      </c>
      <c r="P1472" s="1" t="str">
        <f t="shared" si="911"/>
        <v>S</v>
      </c>
      <c r="Q1472" s="1" t="str">
        <f t="shared" si="912"/>
        <v>P</v>
      </c>
      <c r="R1472" s="1" t="str">
        <f t="shared" si="913"/>
        <v>01</v>
      </c>
      <c r="S1472" s="1" t="str">
        <f t="shared" si="944"/>
        <v>04</v>
      </c>
      <c r="T1472" s="1" t="str">
        <f t="shared" si="914"/>
        <v>False</v>
      </c>
      <c r="U1472" s="1" t="str">
        <f t="shared" si="915"/>
        <v>True</v>
      </c>
      <c r="V1472" s="1" t="str">
        <f>"U0028275"</f>
        <v>U0028275</v>
      </c>
      <c r="W1472" s="1">
        <v>1</v>
      </c>
      <c r="Y1472" s="1">
        <v>0</v>
      </c>
      <c r="Z1472" s="1">
        <v>0</v>
      </c>
      <c r="AB1472" s="1" t="str">
        <f t="shared" si="946"/>
        <v>SMU</v>
      </c>
      <c r="AI1472" s="1" t="str">
        <f t="shared" si="947"/>
        <v>106</v>
      </c>
      <c r="AJ1472" s="1" t="str">
        <f t="shared" si="940"/>
        <v>MAN</v>
      </c>
      <c r="AK1472" s="1" t="str">
        <f t="shared" si="917"/>
        <v>PA</v>
      </c>
      <c r="AP1472" s="1" t="str">
        <f t="shared" si="918"/>
        <v>False</v>
      </c>
      <c r="AR1472" s="1" t="str">
        <f>"SOLAN"</f>
        <v>SOLAN</v>
      </c>
      <c r="AY1472" s="1" t="str">
        <f t="shared" si="919"/>
        <v>PF</v>
      </c>
      <c r="AZ1472" s="1">
        <v>0</v>
      </c>
      <c r="BA1472" s="1">
        <v>0</v>
      </c>
      <c r="BB1472" s="1">
        <v>0</v>
      </c>
      <c r="BC1472" s="1">
        <v>0</v>
      </c>
      <c r="BD1472" s="1">
        <v>0</v>
      </c>
      <c r="BE1472" s="1" t="str">
        <f>"S.CADET GOMMA  TWILL CANVAS"</f>
        <v>S.CADET GOMMA  TWILL CANVAS</v>
      </c>
      <c r="BF1472" s="1" t="str">
        <f t="shared" si="920"/>
        <v>Bonis SpA</v>
      </c>
    </row>
    <row r="1473" spans="2:58" x14ac:dyDescent="0.25">
      <c r="B1473" s="1">
        <v>2566</v>
      </c>
      <c r="C1473" s="1" t="str">
        <f>"SOLAN4189S7/C1"</f>
        <v>SOLAN4189S7/C1</v>
      </c>
      <c r="E1473" s="1" t="str">
        <f>"42"</f>
        <v>42</v>
      </c>
      <c r="F1473" s="1" t="str">
        <f t="shared" si="908"/>
        <v>BONIS SPA</v>
      </c>
      <c r="G1473" s="1" t="str">
        <f t="shared" si="943"/>
        <v>STOCK SCAFFALE MP</v>
      </c>
      <c r="H1473" s="1" t="str">
        <f t="shared" si="952"/>
        <v>DKBL</v>
      </c>
      <c r="K1473" s="1">
        <v>3</v>
      </c>
      <c r="L1473" s="1" t="str">
        <f t="shared" si="909"/>
        <v>01</v>
      </c>
      <c r="M1473" s="1" t="str">
        <f t="shared" si="945"/>
        <v>409</v>
      </c>
      <c r="N1473" s="1" t="str">
        <f t="shared" si="939"/>
        <v>016</v>
      </c>
      <c r="O1473" s="1" t="str">
        <f t="shared" si="910"/>
        <v>00</v>
      </c>
      <c r="P1473" s="1" t="str">
        <f t="shared" si="911"/>
        <v>S</v>
      </c>
      <c r="Q1473" s="1" t="str">
        <f t="shared" si="912"/>
        <v>P</v>
      </c>
      <c r="R1473" s="1" t="str">
        <f t="shared" si="913"/>
        <v>01</v>
      </c>
      <c r="S1473" s="1" t="str">
        <f t="shared" si="944"/>
        <v>04</v>
      </c>
      <c r="T1473" s="1" t="str">
        <f t="shared" si="914"/>
        <v>False</v>
      </c>
      <c r="U1473" s="1" t="str">
        <f t="shared" si="915"/>
        <v>True</v>
      </c>
      <c r="V1473" s="1" t="str">
        <f>"U0027836"</f>
        <v>U0027836</v>
      </c>
      <c r="W1473" s="1">
        <v>1</v>
      </c>
      <c r="Y1473" s="1">
        <v>0</v>
      </c>
      <c r="Z1473" s="1">
        <v>0</v>
      </c>
      <c r="AB1473" s="1" t="str">
        <f t="shared" si="946"/>
        <v>SMU</v>
      </c>
      <c r="AI1473" s="1" t="str">
        <f t="shared" si="947"/>
        <v>106</v>
      </c>
      <c r="AJ1473" s="1" t="str">
        <f t="shared" si="940"/>
        <v>MAN</v>
      </c>
      <c r="AK1473" s="1" t="str">
        <f t="shared" si="917"/>
        <v>PA</v>
      </c>
      <c r="AP1473" s="1" t="str">
        <f t="shared" si="918"/>
        <v>False</v>
      </c>
      <c r="AR1473" s="1" t="str">
        <f>"SOLAN"</f>
        <v>SOLAN</v>
      </c>
      <c r="AY1473" s="1" t="str">
        <f t="shared" si="919"/>
        <v>PF</v>
      </c>
      <c r="AZ1473" s="1">
        <v>0</v>
      </c>
      <c r="BA1473" s="1">
        <v>0</v>
      </c>
      <c r="BB1473" s="1">
        <v>0</v>
      </c>
      <c r="BC1473" s="1">
        <v>0</v>
      </c>
      <c r="BD1473" s="1">
        <v>0</v>
      </c>
      <c r="BE1473" s="1" t="str">
        <f>"S.CADET GOMMA  TWILL CANVAS"</f>
        <v>S.CADET GOMMA  TWILL CANVAS</v>
      </c>
      <c r="BF1473" s="1" t="str">
        <f t="shared" si="920"/>
        <v>Bonis SpA</v>
      </c>
    </row>
    <row r="1474" spans="2:58" x14ac:dyDescent="0.25">
      <c r="B1474" s="1">
        <v>2563</v>
      </c>
      <c r="C1474" s="1" t="str">
        <f>"RUMBA4187S7/C1"</f>
        <v>RUMBA4187S7/C1</v>
      </c>
      <c r="E1474" s="1" t="str">
        <f>"37"</f>
        <v>37</v>
      </c>
      <c r="F1474" s="1" t="str">
        <f t="shared" ref="F1474:F1537" si="953">"BONIS SPA"</f>
        <v>BONIS SPA</v>
      </c>
      <c r="G1474" s="1" t="str">
        <f t="shared" si="943"/>
        <v>STOCK SCAFFALE MP</v>
      </c>
      <c r="H1474" s="1" t="str">
        <f t="shared" si="952"/>
        <v>DKBL</v>
      </c>
      <c r="K1474" s="1">
        <v>2</v>
      </c>
      <c r="L1474" s="1" t="str">
        <f t="shared" ref="L1474:L1537" si="954">"01"</f>
        <v>01</v>
      </c>
      <c r="M1474" s="1" t="str">
        <f t="shared" si="945"/>
        <v>409</v>
      </c>
      <c r="N1474" s="1" t="str">
        <f>"015"</f>
        <v>015</v>
      </c>
      <c r="O1474" s="1" t="str">
        <f t="shared" ref="O1474:O1537" si="955">"00"</f>
        <v>00</v>
      </c>
      <c r="P1474" s="1" t="str">
        <f t="shared" ref="P1474:P1537" si="956">"S"</f>
        <v>S</v>
      </c>
      <c r="Q1474" s="1" t="str">
        <f t="shared" ref="Q1474:Q1537" si="957">"P"</f>
        <v>P</v>
      </c>
      <c r="R1474" s="1" t="str">
        <f t="shared" ref="R1474:R1537" si="958">"01"</f>
        <v>01</v>
      </c>
      <c r="S1474" s="1" t="str">
        <f t="shared" si="944"/>
        <v>04</v>
      </c>
      <c r="T1474" s="1" t="str">
        <f t="shared" ref="T1474:T1537" si="959">"False"</f>
        <v>False</v>
      </c>
      <c r="U1474" s="1" t="str">
        <f t="shared" ref="U1474:U1537" si="960">"True"</f>
        <v>True</v>
      </c>
      <c r="V1474" s="1" t="str">
        <f>"U0028268"</f>
        <v>U0028268</v>
      </c>
      <c r="W1474" s="1">
        <v>1</v>
      </c>
      <c r="Y1474" s="1">
        <v>0</v>
      </c>
      <c r="Z1474" s="1">
        <v>0</v>
      </c>
      <c r="AB1474" s="1" t="str">
        <f t="shared" si="946"/>
        <v>SMU</v>
      </c>
      <c r="AI1474" s="1" t="str">
        <f t="shared" ref="AI1474:AI1503" si="961">"F11"</f>
        <v>F11</v>
      </c>
      <c r="AJ1474" s="1" t="str">
        <f>"WOMAN"</f>
        <v>WOMAN</v>
      </c>
      <c r="AK1474" s="1" t="str">
        <f t="shared" ref="AK1474:AK1537" si="962">"PA"</f>
        <v>PA</v>
      </c>
      <c r="AP1474" s="1" t="str">
        <f t="shared" ref="AP1474:AP1537" si="963">"False"</f>
        <v>False</v>
      </c>
      <c r="AR1474" s="1" t="str">
        <f>"RUMBA"</f>
        <v>RUMBA</v>
      </c>
      <c r="AY1474" s="1" t="str">
        <f t="shared" ref="AY1474:AY1537" si="964">"PF"</f>
        <v>PF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 t="str">
        <f>"SUOLA RUMBA TWILL CANVAS"</f>
        <v>SUOLA RUMBA TWILL CANVAS</v>
      </c>
      <c r="BF1474" s="1" t="str">
        <f t="shared" ref="BF1474:BF1537" si="965">"Bonis SpA"</f>
        <v>Bonis SpA</v>
      </c>
    </row>
    <row r="1475" spans="2:58" x14ac:dyDescent="0.25">
      <c r="B1475" s="1">
        <v>2563</v>
      </c>
      <c r="C1475" s="1" t="str">
        <f>"RUMBA4187S7/C1"</f>
        <v>RUMBA4187S7/C1</v>
      </c>
      <c r="E1475" s="1" t="str">
        <f>"39"</f>
        <v>39</v>
      </c>
      <c r="F1475" s="1" t="str">
        <f t="shared" si="953"/>
        <v>BONIS SPA</v>
      </c>
      <c r="G1475" s="1" t="str">
        <f t="shared" si="943"/>
        <v>STOCK SCAFFALE MP</v>
      </c>
      <c r="H1475" s="1" t="str">
        <f t="shared" si="952"/>
        <v>DKBL</v>
      </c>
      <c r="K1475" s="1">
        <v>3</v>
      </c>
      <c r="L1475" s="1" t="str">
        <f t="shared" si="954"/>
        <v>01</v>
      </c>
      <c r="M1475" s="1" t="str">
        <f t="shared" si="945"/>
        <v>409</v>
      </c>
      <c r="N1475" s="1" t="str">
        <f>"015"</f>
        <v>015</v>
      </c>
      <c r="O1475" s="1" t="str">
        <f t="shared" si="955"/>
        <v>00</v>
      </c>
      <c r="P1475" s="1" t="str">
        <f t="shared" si="956"/>
        <v>S</v>
      </c>
      <c r="Q1475" s="1" t="str">
        <f t="shared" si="957"/>
        <v>P</v>
      </c>
      <c r="R1475" s="1" t="str">
        <f t="shared" si="958"/>
        <v>01</v>
      </c>
      <c r="S1475" s="1" t="str">
        <f t="shared" si="944"/>
        <v>04</v>
      </c>
      <c r="T1475" s="1" t="str">
        <f t="shared" si="959"/>
        <v>False</v>
      </c>
      <c r="U1475" s="1" t="str">
        <f t="shared" si="960"/>
        <v>True</v>
      </c>
      <c r="V1475" s="1" t="str">
        <f>"U0028268"</f>
        <v>U0028268</v>
      </c>
      <c r="W1475" s="1">
        <v>1</v>
      </c>
      <c r="Y1475" s="1">
        <v>0</v>
      </c>
      <c r="Z1475" s="1">
        <v>0</v>
      </c>
      <c r="AB1475" s="1" t="str">
        <f t="shared" si="946"/>
        <v>SMU</v>
      </c>
      <c r="AI1475" s="1" t="str">
        <f t="shared" si="961"/>
        <v>F11</v>
      </c>
      <c r="AJ1475" s="1" t="str">
        <f>"WOMAN"</f>
        <v>WOMAN</v>
      </c>
      <c r="AK1475" s="1" t="str">
        <f t="shared" si="962"/>
        <v>PA</v>
      </c>
      <c r="AP1475" s="1" t="str">
        <f t="shared" si="963"/>
        <v>False</v>
      </c>
      <c r="AR1475" s="1" t="str">
        <f>"RUMBA"</f>
        <v>RUMBA</v>
      </c>
      <c r="AY1475" s="1" t="str">
        <f t="shared" si="964"/>
        <v>PF</v>
      </c>
      <c r="AZ1475" s="1">
        <v>0</v>
      </c>
      <c r="BA1475" s="1">
        <v>0</v>
      </c>
      <c r="BB1475" s="1">
        <v>0</v>
      </c>
      <c r="BC1475" s="1">
        <v>0</v>
      </c>
      <c r="BD1475" s="1">
        <v>0</v>
      </c>
      <c r="BE1475" s="1" t="str">
        <f>"SUOLA RUMBA TWILL CANVAS"</f>
        <v>SUOLA RUMBA TWILL CANVAS</v>
      </c>
      <c r="BF1475" s="1" t="str">
        <f t="shared" si="965"/>
        <v>Bonis SpA</v>
      </c>
    </row>
    <row r="1476" spans="2:58" x14ac:dyDescent="0.25">
      <c r="B1476" s="1">
        <v>2563</v>
      </c>
      <c r="C1476" s="1" t="str">
        <f>"RUMBA4187S7/C1"</f>
        <v>RUMBA4187S7/C1</v>
      </c>
      <c r="E1476" s="1" t="str">
        <f>"41"</f>
        <v>41</v>
      </c>
      <c r="F1476" s="1" t="str">
        <f t="shared" si="953"/>
        <v>BONIS SPA</v>
      </c>
      <c r="G1476" s="1" t="str">
        <f t="shared" si="943"/>
        <v>STOCK SCAFFALE MP</v>
      </c>
      <c r="H1476" s="1" t="str">
        <f t="shared" si="952"/>
        <v>DKBL</v>
      </c>
      <c r="K1476" s="1">
        <v>1</v>
      </c>
      <c r="L1476" s="1" t="str">
        <f t="shared" si="954"/>
        <v>01</v>
      </c>
      <c r="M1476" s="1" t="str">
        <f t="shared" si="945"/>
        <v>409</v>
      </c>
      <c r="N1476" s="1" t="str">
        <f>"015"</f>
        <v>015</v>
      </c>
      <c r="O1476" s="1" t="str">
        <f t="shared" si="955"/>
        <v>00</v>
      </c>
      <c r="P1476" s="1" t="str">
        <f t="shared" si="956"/>
        <v>S</v>
      </c>
      <c r="Q1476" s="1" t="str">
        <f t="shared" si="957"/>
        <v>P</v>
      </c>
      <c r="R1476" s="1" t="str">
        <f t="shared" si="958"/>
        <v>01</v>
      </c>
      <c r="S1476" s="1" t="str">
        <f t="shared" si="944"/>
        <v>04</v>
      </c>
      <c r="T1476" s="1" t="str">
        <f t="shared" si="959"/>
        <v>False</v>
      </c>
      <c r="U1476" s="1" t="str">
        <f t="shared" si="960"/>
        <v>True</v>
      </c>
      <c r="V1476" s="1" t="str">
        <f>"U0028268"</f>
        <v>U0028268</v>
      </c>
      <c r="W1476" s="1">
        <v>1</v>
      </c>
      <c r="Y1476" s="1">
        <v>0</v>
      </c>
      <c r="Z1476" s="1">
        <v>0</v>
      </c>
      <c r="AB1476" s="1" t="str">
        <f t="shared" si="946"/>
        <v>SMU</v>
      </c>
      <c r="AI1476" s="1" t="str">
        <f t="shared" si="961"/>
        <v>F11</v>
      </c>
      <c r="AJ1476" s="1" t="str">
        <f>"WOMAN"</f>
        <v>WOMAN</v>
      </c>
      <c r="AK1476" s="1" t="str">
        <f t="shared" si="962"/>
        <v>PA</v>
      </c>
      <c r="AP1476" s="1" t="str">
        <f t="shared" si="963"/>
        <v>False</v>
      </c>
      <c r="AR1476" s="1" t="str">
        <f>"RUMBA"</f>
        <v>RUMBA</v>
      </c>
      <c r="AY1476" s="1" t="str">
        <f t="shared" si="964"/>
        <v>PF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 t="str">
        <f>"SUOLA RUMBA TWILL CANVAS"</f>
        <v>SUOLA RUMBA TWILL CANVAS</v>
      </c>
      <c r="BF1476" s="1" t="str">
        <f t="shared" si="965"/>
        <v>Bonis SpA</v>
      </c>
    </row>
    <row r="1477" spans="2:58" x14ac:dyDescent="0.25">
      <c r="B1477" s="1">
        <v>2563</v>
      </c>
      <c r="C1477" s="1" t="str">
        <f>"RUMBA4187S7/C1"</f>
        <v>RUMBA4187S7/C1</v>
      </c>
      <c r="E1477" s="1" t="str">
        <f>"40"</f>
        <v>40</v>
      </c>
      <c r="F1477" s="1" t="str">
        <f t="shared" si="953"/>
        <v>BONIS SPA</v>
      </c>
      <c r="G1477" s="1" t="str">
        <f t="shared" si="943"/>
        <v>STOCK SCAFFALE MP</v>
      </c>
      <c r="H1477" s="1" t="str">
        <f t="shared" si="952"/>
        <v>DKBL</v>
      </c>
      <c r="K1477" s="1">
        <v>2</v>
      </c>
      <c r="L1477" s="1" t="str">
        <f t="shared" si="954"/>
        <v>01</v>
      </c>
      <c r="M1477" s="1" t="str">
        <f t="shared" si="945"/>
        <v>409</v>
      </c>
      <c r="N1477" s="1" t="str">
        <f>"015"</f>
        <v>015</v>
      </c>
      <c r="O1477" s="1" t="str">
        <f t="shared" si="955"/>
        <v>00</v>
      </c>
      <c r="P1477" s="1" t="str">
        <f t="shared" si="956"/>
        <v>S</v>
      </c>
      <c r="Q1477" s="1" t="str">
        <f t="shared" si="957"/>
        <v>P</v>
      </c>
      <c r="R1477" s="1" t="str">
        <f t="shared" si="958"/>
        <v>01</v>
      </c>
      <c r="S1477" s="1" t="str">
        <f t="shared" si="944"/>
        <v>04</v>
      </c>
      <c r="T1477" s="1" t="str">
        <f t="shared" si="959"/>
        <v>False</v>
      </c>
      <c r="U1477" s="1" t="str">
        <f t="shared" si="960"/>
        <v>True</v>
      </c>
      <c r="V1477" s="1" t="str">
        <f>"U0028268"</f>
        <v>U0028268</v>
      </c>
      <c r="W1477" s="1">
        <v>1</v>
      </c>
      <c r="Y1477" s="1">
        <v>0</v>
      </c>
      <c r="Z1477" s="1">
        <v>0</v>
      </c>
      <c r="AB1477" s="1" t="str">
        <f t="shared" si="946"/>
        <v>SMU</v>
      </c>
      <c r="AI1477" s="1" t="str">
        <f t="shared" si="961"/>
        <v>F11</v>
      </c>
      <c r="AJ1477" s="1" t="str">
        <f>"WOMAN"</f>
        <v>WOMAN</v>
      </c>
      <c r="AK1477" s="1" t="str">
        <f t="shared" si="962"/>
        <v>PA</v>
      </c>
      <c r="AP1477" s="1" t="str">
        <f t="shared" si="963"/>
        <v>False</v>
      </c>
      <c r="AR1477" s="1" t="str">
        <f>"RUMBA"</f>
        <v>RUMBA</v>
      </c>
      <c r="AY1477" s="1" t="str">
        <f t="shared" si="964"/>
        <v>PF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 t="str">
        <f>"SUOLA RUMBA TWILL CANVAS"</f>
        <v>SUOLA RUMBA TWILL CANVAS</v>
      </c>
      <c r="BF1477" s="1" t="str">
        <f t="shared" si="965"/>
        <v>Bonis SpA</v>
      </c>
    </row>
    <row r="1478" spans="2:58" x14ac:dyDescent="0.25">
      <c r="B1478" s="1">
        <v>2566</v>
      </c>
      <c r="C1478" s="1" t="str">
        <f t="shared" ref="C1478:C1483" si="966">"RUMBO4186S7/C1"</f>
        <v>RUMBO4186S7/C1</v>
      </c>
      <c r="E1478" s="1" t="str">
        <f>"43"</f>
        <v>43</v>
      </c>
      <c r="F1478" s="1" t="str">
        <f t="shared" si="953"/>
        <v>BONIS SPA</v>
      </c>
      <c r="G1478" s="1" t="str">
        <f t="shared" si="943"/>
        <v>STOCK SCAFFALE MP</v>
      </c>
      <c r="H1478" s="1" t="str">
        <f t="shared" ref="H1478:H1483" si="967">"RED"</f>
        <v>RED</v>
      </c>
      <c r="K1478" s="1">
        <v>3</v>
      </c>
      <c r="L1478" s="1" t="str">
        <f t="shared" si="954"/>
        <v>01</v>
      </c>
      <c r="M1478" s="1" t="str">
        <f t="shared" si="945"/>
        <v>409</v>
      </c>
      <c r="N1478" s="1" t="str">
        <f t="shared" ref="N1478:N1518" si="968">"016"</f>
        <v>016</v>
      </c>
      <c r="O1478" s="1" t="str">
        <f t="shared" si="955"/>
        <v>00</v>
      </c>
      <c r="P1478" s="1" t="str">
        <f t="shared" si="956"/>
        <v>S</v>
      </c>
      <c r="Q1478" s="1" t="str">
        <f t="shared" si="957"/>
        <v>P</v>
      </c>
      <c r="R1478" s="1" t="str">
        <f t="shared" si="958"/>
        <v>01</v>
      </c>
      <c r="S1478" s="1" t="str">
        <f t="shared" si="944"/>
        <v>04</v>
      </c>
      <c r="T1478" s="1" t="str">
        <f t="shared" si="959"/>
        <v>False</v>
      </c>
      <c r="U1478" s="1" t="str">
        <f t="shared" si="960"/>
        <v>True</v>
      </c>
      <c r="V1478" s="1" t="str">
        <f t="shared" ref="V1478:V1483" si="969">"U0028269"</f>
        <v>U0028269</v>
      </c>
      <c r="W1478" s="1">
        <v>1</v>
      </c>
      <c r="Y1478" s="1">
        <v>0</v>
      </c>
      <c r="Z1478" s="1">
        <v>0</v>
      </c>
      <c r="AB1478" s="1" t="str">
        <f t="shared" si="946"/>
        <v>SMU</v>
      </c>
      <c r="AI1478" s="1" t="str">
        <f t="shared" si="961"/>
        <v>F11</v>
      </c>
      <c r="AJ1478" s="1" t="str">
        <f t="shared" ref="AJ1478:AJ1498" si="970">"MAN"</f>
        <v>MAN</v>
      </c>
      <c r="AK1478" s="1" t="str">
        <f t="shared" si="962"/>
        <v>PA</v>
      </c>
      <c r="AP1478" s="1" t="str">
        <f t="shared" si="963"/>
        <v>False</v>
      </c>
      <c r="AR1478" s="1" t="str">
        <f t="shared" ref="AR1478:AR1483" si="971">"RUMBO"</f>
        <v>RUMBO</v>
      </c>
      <c r="AY1478" s="1" t="str">
        <f t="shared" si="964"/>
        <v>PF</v>
      </c>
      <c r="AZ1478" s="1">
        <v>0</v>
      </c>
      <c r="BA1478" s="1">
        <v>0</v>
      </c>
      <c r="BB1478" s="1">
        <v>0</v>
      </c>
      <c r="BC1478" s="1">
        <v>0</v>
      </c>
      <c r="BD1478" s="1">
        <v>0</v>
      </c>
      <c r="BE1478" s="1" t="str">
        <f t="shared" ref="BE1478:BE1483" si="972">"MBO TWILL CANVAS"</f>
        <v>MBO TWILL CANVAS</v>
      </c>
      <c r="BF1478" s="1" t="str">
        <f t="shared" si="965"/>
        <v>Bonis SpA</v>
      </c>
    </row>
    <row r="1479" spans="2:58" x14ac:dyDescent="0.25">
      <c r="B1479" s="1">
        <v>2566</v>
      </c>
      <c r="C1479" s="1" t="str">
        <f t="shared" si="966"/>
        <v>RUMBO4186S7/C1</v>
      </c>
      <c r="E1479" s="1" t="str">
        <f>"44"</f>
        <v>44</v>
      </c>
      <c r="F1479" s="1" t="str">
        <f t="shared" si="953"/>
        <v>BONIS SPA</v>
      </c>
      <c r="G1479" s="1" t="str">
        <f t="shared" si="943"/>
        <v>STOCK SCAFFALE MP</v>
      </c>
      <c r="H1479" s="1" t="str">
        <f t="shared" si="967"/>
        <v>RED</v>
      </c>
      <c r="K1479" s="1">
        <v>1</v>
      </c>
      <c r="L1479" s="1" t="str">
        <f t="shared" si="954"/>
        <v>01</v>
      </c>
      <c r="M1479" s="1" t="str">
        <f t="shared" si="945"/>
        <v>409</v>
      </c>
      <c r="N1479" s="1" t="str">
        <f t="shared" si="968"/>
        <v>016</v>
      </c>
      <c r="O1479" s="1" t="str">
        <f t="shared" si="955"/>
        <v>00</v>
      </c>
      <c r="P1479" s="1" t="str">
        <f t="shared" si="956"/>
        <v>S</v>
      </c>
      <c r="Q1479" s="1" t="str">
        <f t="shared" si="957"/>
        <v>P</v>
      </c>
      <c r="R1479" s="1" t="str">
        <f t="shared" si="958"/>
        <v>01</v>
      </c>
      <c r="S1479" s="1" t="str">
        <f t="shared" si="944"/>
        <v>04</v>
      </c>
      <c r="T1479" s="1" t="str">
        <f t="shared" si="959"/>
        <v>False</v>
      </c>
      <c r="U1479" s="1" t="str">
        <f t="shared" si="960"/>
        <v>True</v>
      </c>
      <c r="V1479" s="1" t="str">
        <f t="shared" si="969"/>
        <v>U0028269</v>
      </c>
      <c r="W1479" s="1">
        <v>1</v>
      </c>
      <c r="Y1479" s="1">
        <v>0</v>
      </c>
      <c r="Z1479" s="1">
        <v>0</v>
      </c>
      <c r="AB1479" s="1" t="str">
        <f t="shared" si="946"/>
        <v>SMU</v>
      </c>
      <c r="AI1479" s="1" t="str">
        <f t="shared" si="961"/>
        <v>F11</v>
      </c>
      <c r="AJ1479" s="1" t="str">
        <f t="shared" si="970"/>
        <v>MAN</v>
      </c>
      <c r="AK1479" s="1" t="str">
        <f t="shared" si="962"/>
        <v>PA</v>
      </c>
      <c r="AP1479" s="1" t="str">
        <f t="shared" si="963"/>
        <v>False</v>
      </c>
      <c r="AR1479" s="1" t="str">
        <f t="shared" si="971"/>
        <v>RUMBO</v>
      </c>
      <c r="AY1479" s="1" t="str">
        <f t="shared" si="964"/>
        <v>PF</v>
      </c>
      <c r="AZ1479" s="1">
        <v>0</v>
      </c>
      <c r="BA1479" s="1">
        <v>0</v>
      </c>
      <c r="BB1479" s="1">
        <v>0</v>
      </c>
      <c r="BC1479" s="1">
        <v>0</v>
      </c>
      <c r="BD1479" s="1">
        <v>0</v>
      </c>
      <c r="BE1479" s="1" t="str">
        <f t="shared" si="972"/>
        <v>MBO TWILL CANVAS</v>
      </c>
      <c r="BF1479" s="1" t="str">
        <f t="shared" si="965"/>
        <v>Bonis SpA</v>
      </c>
    </row>
    <row r="1480" spans="2:58" x14ac:dyDescent="0.25">
      <c r="B1480" s="1">
        <v>2566</v>
      </c>
      <c r="C1480" s="1" t="str">
        <f t="shared" si="966"/>
        <v>RUMBO4186S7/C1</v>
      </c>
      <c r="E1480" s="1" t="str">
        <f>"45"</f>
        <v>45</v>
      </c>
      <c r="F1480" s="1" t="str">
        <f t="shared" si="953"/>
        <v>BONIS SPA</v>
      </c>
      <c r="G1480" s="1" t="str">
        <f t="shared" si="943"/>
        <v>STOCK SCAFFALE MP</v>
      </c>
      <c r="H1480" s="1" t="str">
        <f t="shared" si="967"/>
        <v>RED</v>
      </c>
      <c r="K1480" s="1">
        <v>1</v>
      </c>
      <c r="L1480" s="1" t="str">
        <f t="shared" si="954"/>
        <v>01</v>
      </c>
      <c r="M1480" s="1" t="str">
        <f t="shared" si="945"/>
        <v>409</v>
      </c>
      <c r="N1480" s="1" t="str">
        <f t="shared" si="968"/>
        <v>016</v>
      </c>
      <c r="O1480" s="1" t="str">
        <f t="shared" si="955"/>
        <v>00</v>
      </c>
      <c r="P1480" s="1" t="str">
        <f t="shared" si="956"/>
        <v>S</v>
      </c>
      <c r="Q1480" s="1" t="str">
        <f t="shared" si="957"/>
        <v>P</v>
      </c>
      <c r="R1480" s="1" t="str">
        <f t="shared" si="958"/>
        <v>01</v>
      </c>
      <c r="S1480" s="1" t="str">
        <f t="shared" si="944"/>
        <v>04</v>
      </c>
      <c r="T1480" s="1" t="str">
        <f t="shared" si="959"/>
        <v>False</v>
      </c>
      <c r="U1480" s="1" t="str">
        <f t="shared" si="960"/>
        <v>True</v>
      </c>
      <c r="V1480" s="1" t="str">
        <f t="shared" si="969"/>
        <v>U0028269</v>
      </c>
      <c r="W1480" s="1">
        <v>1</v>
      </c>
      <c r="Y1480" s="1">
        <v>0</v>
      </c>
      <c r="Z1480" s="1">
        <v>0</v>
      </c>
      <c r="AB1480" s="1" t="str">
        <f t="shared" si="946"/>
        <v>SMU</v>
      </c>
      <c r="AI1480" s="1" t="str">
        <f t="shared" si="961"/>
        <v>F11</v>
      </c>
      <c r="AJ1480" s="1" t="str">
        <f t="shared" si="970"/>
        <v>MAN</v>
      </c>
      <c r="AK1480" s="1" t="str">
        <f t="shared" si="962"/>
        <v>PA</v>
      </c>
      <c r="AP1480" s="1" t="str">
        <f t="shared" si="963"/>
        <v>False</v>
      </c>
      <c r="AR1480" s="1" t="str">
        <f t="shared" si="971"/>
        <v>RUMBO</v>
      </c>
      <c r="AY1480" s="1" t="str">
        <f t="shared" si="964"/>
        <v>PF</v>
      </c>
      <c r="AZ1480" s="1">
        <v>0</v>
      </c>
      <c r="BA1480" s="1">
        <v>0</v>
      </c>
      <c r="BB1480" s="1">
        <v>0</v>
      </c>
      <c r="BC1480" s="1">
        <v>0</v>
      </c>
      <c r="BD1480" s="1">
        <v>0</v>
      </c>
      <c r="BE1480" s="1" t="str">
        <f t="shared" si="972"/>
        <v>MBO TWILL CANVAS</v>
      </c>
      <c r="BF1480" s="1" t="str">
        <f t="shared" si="965"/>
        <v>Bonis SpA</v>
      </c>
    </row>
    <row r="1481" spans="2:58" x14ac:dyDescent="0.25">
      <c r="B1481" s="1">
        <v>2566</v>
      </c>
      <c r="C1481" s="1" t="str">
        <f t="shared" si="966"/>
        <v>RUMBO4186S7/C1</v>
      </c>
      <c r="E1481" s="1" t="str">
        <f>"42"</f>
        <v>42</v>
      </c>
      <c r="F1481" s="1" t="str">
        <f t="shared" si="953"/>
        <v>BONIS SPA</v>
      </c>
      <c r="G1481" s="1" t="str">
        <f t="shared" si="943"/>
        <v>STOCK SCAFFALE MP</v>
      </c>
      <c r="H1481" s="1" t="str">
        <f t="shared" si="967"/>
        <v>RED</v>
      </c>
      <c r="K1481" s="1">
        <v>2</v>
      </c>
      <c r="L1481" s="1" t="str">
        <f t="shared" si="954"/>
        <v>01</v>
      </c>
      <c r="M1481" s="1" t="str">
        <f t="shared" si="945"/>
        <v>409</v>
      </c>
      <c r="N1481" s="1" t="str">
        <f t="shared" si="968"/>
        <v>016</v>
      </c>
      <c r="O1481" s="1" t="str">
        <f t="shared" si="955"/>
        <v>00</v>
      </c>
      <c r="P1481" s="1" t="str">
        <f t="shared" si="956"/>
        <v>S</v>
      </c>
      <c r="Q1481" s="1" t="str">
        <f t="shared" si="957"/>
        <v>P</v>
      </c>
      <c r="R1481" s="1" t="str">
        <f t="shared" si="958"/>
        <v>01</v>
      </c>
      <c r="S1481" s="1" t="str">
        <f t="shared" si="944"/>
        <v>04</v>
      </c>
      <c r="T1481" s="1" t="str">
        <f t="shared" si="959"/>
        <v>False</v>
      </c>
      <c r="U1481" s="1" t="str">
        <f t="shared" si="960"/>
        <v>True</v>
      </c>
      <c r="V1481" s="1" t="str">
        <f t="shared" si="969"/>
        <v>U0028269</v>
      </c>
      <c r="W1481" s="1">
        <v>1</v>
      </c>
      <c r="Y1481" s="1">
        <v>0</v>
      </c>
      <c r="Z1481" s="1">
        <v>0</v>
      </c>
      <c r="AB1481" s="1" t="str">
        <f t="shared" si="946"/>
        <v>SMU</v>
      </c>
      <c r="AI1481" s="1" t="str">
        <f t="shared" si="961"/>
        <v>F11</v>
      </c>
      <c r="AJ1481" s="1" t="str">
        <f t="shared" si="970"/>
        <v>MAN</v>
      </c>
      <c r="AK1481" s="1" t="str">
        <f t="shared" si="962"/>
        <v>PA</v>
      </c>
      <c r="AP1481" s="1" t="str">
        <f t="shared" si="963"/>
        <v>False</v>
      </c>
      <c r="AR1481" s="1" t="str">
        <f t="shared" si="971"/>
        <v>RUMBO</v>
      </c>
      <c r="AY1481" s="1" t="str">
        <f t="shared" si="964"/>
        <v>PF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 t="str">
        <f t="shared" si="972"/>
        <v>MBO TWILL CANVAS</v>
      </c>
      <c r="BF1481" s="1" t="str">
        <f t="shared" si="965"/>
        <v>Bonis SpA</v>
      </c>
    </row>
    <row r="1482" spans="2:58" x14ac:dyDescent="0.25">
      <c r="B1482" s="1">
        <v>2566</v>
      </c>
      <c r="C1482" s="1" t="str">
        <f t="shared" si="966"/>
        <v>RUMBO4186S7/C1</v>
      </c>
      <c r="E1482" s="1" t="str">
        <f>"40"</f>
        <v>40</v>
      </c>
      <c r="F1482" s="1" t="str">
        <f t="shared" si="953"/>
        <v>BONIS SPA</v>
      </c>
      <c r="G1482" s="1" t="str">
        <f t="shared" si="943"/>
        <v>STOCK SCAFFALE MP</v>
      </c>
      <c r="H1482" s="1" t="str">
        <f t="shared" si="967"/>
        <v>RED</v>
      </c>
      <c r="K1482" s="1">
        <v>1</v>
      </c>
      <c r="L1482" s="1" t="str">
        <f t="shared" si="954"/>
        <v>01</v>
      </c>
      <c r="M1482" s="1" t="str">
        <f t="shared" si="945"/>
        <v>409</v>
      </c>
      <c r="N1482" s="1" t="str">
        <f t="shared" si="968"/>
        <v>016</v>
      </c>
      <c r="O1482" s="1" t="str">
        <f t="shared" si="955"/>
        <v>00</v>
      </c>
      <c r="P1482" s="1" t="str">
        <f t="shared" si="956"/>
        <v>S</v>
      </c>
      <c r="Q1482" s="1" t="str">
        <f t="shared" si="957"/>
        <v>P</v>
      </c>
      <c r="R1482" s="1" t="str">
        <f t="shared" si="958"/>
        <v>01</v>
      </c>
      <c r="S1482" s="1" t="str">
        <f t="shared" si="944"/>
        <v>04</v>
      </c>
      <c r="T1482" s="1" t="str">
        <f t="shared" si="959"/>
        <v>False</v>
      </c>
      <c r="U1482" s="1" t="str">
        <f t="shared" si="960"/>
        <v>True</v>
      </c>
      <c r="V1482" s="1" t="str">
        <f t="shared" si="969"/>
        <v>U0028269</v>
      </c>
      <c r="W1482" s="1">
        <v>1</v>
      </c>
      <c r="Y1482" s="1">
        <v>0</v>
      </c>
      <c r="Z1482" s="1">
        <v>0</v>
      </c>
      <c r="AB1482" s="1" t="str">
        <f t="shared" si="946"/>
        <v>SMU</v>
      </c>
      <c r="AI1482" s="1" t="str">
        <f t="shared" si="961"/>
        <v>F11</v>
      </c>
      <c r="AJ1482" s="1" t="str">
        <f t="shared" si="970"/>
        <v>MAN</v>
      </c>
      <c r="AK1482" s="1" t="str">
        <f t="shared" si="962"/>
        <v>PA</v>
      </c>
      <c r="AP1482" s="1" t="str">
        <f t="shared" si="963"/>
        <v>False</v>
      </c>
      <c r="AR1482" s="1" t="str">
        <f t="shared" si="971"/>
        <v>RUMBO</v>
      </c>
      <c r="AY1482" s="1" t="str">
        <f t="shared" si="964"/>
        <v>PF</v>
      </c>
      <c r="AZ1482" s="1">
        <v>0</v>
      </c>
      <c r="BA1482" s="1">
        <v>0</v>
      </c>
      <c r="BB1482" s="1">
        <v>0</v>
      </c>
      <c r="BC1482" s="1">
        <v>0</v>
      </c>
      <c r="BD1482" s="1">
        <v>0</v>
      </c>
      <c r="BE1482" s="1" t="str">
        <f t="shared" si="972"/>
        <v>MBO TWILL CANVAS</v>
      </c>
      <c r="BF1482" s="1" t="str">
        <f t="shared" si="965"/>
        <v>Bonis SpA</v>
      </c>
    </row>
    <row r="1483" spans="2:58" x14ac:dyDescent="0.25">
      <c r="B1483" s="1">
        <v>2566</v>
      </c>
      <c r="C1483" s="1" t="str">
        <f t="shared" si="966"/>
        <v>RUMBO4186S7/C1</v>
      </c>
      <c r="E1483" s="1" t="str">
        <f>"41"</f>
        <v>41</v>
      </c>
      <c r="F1483" s="1" t="str">
        <f t="shared" si="953"/>
        <v>BONIS SPA</v>
      </c>
      <c r="G1483" s="1" t="str">
        <f t="shared" si="943"/>
        <v>STOCK SCAFFALE MP</v>
      </c>
      <c r="H1483" s="1" t="str">
        <f t="shared" si="967"/>
        <v>RED</v>
      </c>
      <c r="K1483" s="1">
        <v>2</v>
      </c>
      <c r="L1483" s="1" t="str">
        <f t="shared" si="954"/>
        <v>01</v>
      </c>
      <c r="M1483" s="1" t="str">
        <f t="shared" si="945"/>
        <v>409</v>
      </c>
      <c r="N1483" s="1" t="str">
        <f t="shared" si="968"/>
        <v>016</v>
      </c>
      <c r="O1483" s="1" t="str">
        <f t="shared" si="955"/>
        <v>00</v>
      </c>
      <c r="P1483" s="1" t="str">
        <f t="shared" si="956"/>
        <v>S</v>
      </c>
      <c r="Q1483" s="1" t="str">
        <f t="shared" si="957"/>
        <v>P</v>
      </c>
      <c r="R1483" s="1" t="str">
        <f t="shared" si="958"/>
        <v>01</v>
      </c>
      <c r="S1483" s="1" t="str">
        <f t="shared" si="944"/>
        <v>04</v>
      </c>
      <c r="T1483" s="1" t="str">
        <f t="shared" si="959"/>
        <v>False</v>
      </c>
      <c r="U1483" s="1" t="str">
        <f t="shared" si="960"/>
        <v>True</v>
      </c>
      <c r="V1483" s="1" t="str">
        <f t="shared" si="969"/>
        <v>U0028269</v>
      </c>
      <c r="W1483" s="1">
        <v>1</v>
      </c>
      <c r="Y1483" s="1">
        <v>0</v>
      </c>
      <c r="Z1483" s="1">
        <v>0</v>
      </c>
      <c r="AB1483" s="1" t="str">
        <f t="shared" si="946"/>
        <v>SMU</v>
      </c>
      <c r="AI1483" s="1" t="str">
        <f t="shared" si="961"/>
        <v>F11</v>
      </c>
      <c r="AJ1483" s="1" t="str">
        <f t="shared" si="970"/>
        <v>MAN</v>
      </c>
      <c r="AK1483" s="1" t="str">
        <f t="shared" si="962"/>
        <v>PA</v>
      </c>
      <c r="AP1483" s="1" t="str">
        <f t="shared" si="963"/>
        <v>False</v>
      </c>
      <c r="AR1483" s="1" t="str">
        <f t="shared" si="971"/>
        <v>RUMBO</v>
      </c>
      <c r="AY1483" s="1" t="str">
        <f t="shared" si="964"/>
        <v>PF</v>
      </c>
      <c r="AZ1483" s="1">
        <v>0</v>
      </c>
      <c r="BA1483" s="1">
        <v>0</v>
      </c>
      <c r="BB1483" s="1">
        <v>0</v>
      </c>
      <c r="BC1483" s="1">
        <v>0</v>
      </c>
      <c r="BD1483" s="1">
        <v>0</v>
      </c>
      <c r="BE1483" s="1" t="str">
        <f t="shared" si="972"/>
        <v>MBO TWILL CANVAS</v>
      </c>
      <c r="BF1483" s="1" t="str">
        <f t="shared" si="965"/>
        <v>Bonis SpA</v>
      </c>
    </row>
    <row r="1484" spans="2:58" x14ac:dyDescent="0.25">
      <c r="B1484" s="1">
        <v>2566</v>
      </c>
      <c r="C1484" s="1" t="str">
        <f t="shared" ref="C1484:C1489" si="973">"SOLAN4189S7/C1"</f>
        <v>SOLAN4189S7/C1</v>
      </c>
      <c r="E1484" s="1" t="str">
        <f>"40"</f>
        <v>40</v>
      </c>
      <c r="F1484" s="1" t="str">
        <f t="shared" si="953"/>
        <v>BONIS SPA</v>
      </c>
      <c r="G1484" s="1" t="str">
        <f t="shared" si="943"/>
        <v>STOCK SCAFFALE MP</v>
      </c>
      <c r="H1484" s="1" t="str">
        <f t="shared" ref="H1484:H1489" si="974">"BLK"</f>
        <v>BLK</v>
      </c>
      <c r="K1484" s="1">
        <v>1</v>
      </c>
      <c r="L1484" s="1" t="str">
        <f t="shared" si="954"/>
        <v>01</v>
      </c>
      <c r="M1484" s="1" t="str">
        <f t="shared" si="945"/>
        <v>409</v>
      </c>
      <c r="N1484" s="1" t="str">
        <f t="shared" si="968"/>
        <v>016</v>
      </c>
      <c r="O1484" s="1" t="str">
        <f t="shared" si="955"/>
        <v>00</v>
      </c>
      <c r="P1484" s="1" t="str">
        <f t="shared" si="956"/>
        <v>S</v>
      </c>
      <c r="Q1484" s="1" t="str">
        <f t="shared" si="957"/>
        <v>P</v>
      </c>
      <c r="R1484" s="1" t="str">
        <f t="shared" si="958"/>
        <v>01</v>
      </c>
      <c r="S1484" s="1" t="str">
        <f t="shared" si="944"/>
        <v>04</v>
      </c>
      <c r="T1484" s="1" t="str">
        <f t="shared" si="959"/>
        <v>False</v>
      </c>
      <c r="U1484" s="1" t="str">
        <f t="shared" si="960"/>
        <v>True</v>
      </c>
      <c r="V1484" s="1" t="str">
        <f t="shared" ref="V1484:V1489" si="975">"U0028270"</f>
        <v>U0028270</v>
      </c>
      <c r="W1484" s="1">
        <v>1</v>
      </c>
      <c r="Y1484" s="1">
        <v>0</v>
      </c>
      <c r="Z1484" s="1">
        <v>0</v>
      </c>
      <c r="AB1484" s="1" t="str">
        <f t="shared" si="946"/>
        <v>SMU</v>
      </c>
      <c r="AI1484" s="1" t="str">
        <f t="shared" si="961"/>
        <v>F11</v>
      </c>
      <c r="AJ1484" s="1" t="str">
        <f t="shared" si="970"/>
        <v>MAN</v>
      </c>
      <c r="AK1484" s="1" t="str">
        <f t="shared" si="962"/>
        <v>PA</v>
      </c>
      <c r="AP1484" s="1" t="str">
        <f t="shared" si="963"/>
        <v>False</v>
      </c>
      <c r="AR1484" s="1" t="str">
        <f t="shared" ref="AR1484:AR1489" si="976">"SOLAN"</f>
        <v>SOLAN</v>
      </c>
      <c r="AY1484" s="1" t="str">
        <f t="shared" si="964"/>
        <v>PF</v>
      </c>
      <c r="AZ1484" s="1">
        <v>0</v>
      </c>
      <c r="BA1484" s="1">
        <v>0</v>
      </c>
      <c r="BB1484" s="1">
        <v>0</v>
      </c>
      <c r="BC1484" s="1">
        <v>0</v>
      </c>
      <c r="BD1484" s="1">
        <v>0</v>
      </c>
      <c r="BE1484" s="1" t="str">
        <f t="shared" ref="BE1484:BE1489" si="977">"S.CADET GOMMA  TWILL CANVAS"</f>
        <v>S.CADET GOMMA  TWILL CANVAS</v>
      </c>
      <c r="BF1484" s="1" t="str">
        <f t="shared" si="965"/>
        <v>Bonis SpA</v>
      </c>
    </row>
    <row r="1485" spans="2:58" x14ac:dyDescent="0.25">
      <c r="B1485" s="1">
        <v>2566</v>
      </c>
      <c r="C1485" s="1" t="str">
        <f t="shared" si="973"/>
        <v>SOLAN4189S7/C1</v>
      </c>
      <c r="E1485" s="1" t="str">
        <f>"41"</f>
        <v>41</v>
      </c>
      <c r="F1485" s="1" t="str">
        <f t="shared" si="953"/>
        <v>BONIS SPA</v>
      </c>
      <c r="G1485" s="1" t="str">
        <f t="shared" si="943"/>
        <v>STOCK SCAFFALE MP</v>
      </c>
      <c r="H1485" s="1" t="str">
        <f t="shared" si="974"/>
        <v>BLK</v>
      </c>
      <c r="K1485" s="1">
        <v>1</v>
      </c>
      <c r="L1485" s="1" t="str">
        <f t="shared" si="954"/>
        <v>01</v>
      </c>
      <c r="M1485" s="1" t="str">
        <f t="shared" si="945"/>
        <v>409</v>
      </c>
      <c r="N1485" s="1" t="str">
        <f t="shared" si="968"/>
        <v>016</v>
      </c>
      <c r="O1485" s="1" t="str">
        <f t="shared" si="955"/>
        <v>00</v>
      </c>
      <c r="P1485" s="1" t="str">
        <f t="shared" si="956"/>
        <v>S</v>
      </c>
      <c r="Q1485" s="1" t="str">
        <f t="shared" si="957"/>
        <v>P</v>
      </c>
      <c r="R1485" s="1" t="str">
        <f t="shared" si="958"/>
        <v>01</v>
      </c>
      <c r="S1485" s="1" t="str">
        <f t="shared" si="944"/>
        <v>04</v>
      </c>
      <c r="T1485" s="1" t="str">
        <f t="shared" si="959"/>
        <v>False</v>
      </c>
      <c r="U1485" s="1" t="str">
        <f t="shared" si="960"/>
        <v>True</v>
      </c>
      <c r="V1485" s="1" t="str">
        <f t="shared" si="975"/>
        <v>U0028270</v>
      </c>
      <c r="W1485" s="1">
        <v>1</v>
      </c>
      <c r="Y1485" s="1">
        <v>0</v>
      </c>
      <c r="Z1485" s="1">
        <v>0</v>
      </c>
      <c r="AB1485" s="1" t="str">
        <f t="shared" si="946"/>
        <v>SMU</v>
      </c>
      <c r="AI1485" s="1" t="str">
        <f t="shared" si="961"/>
        <v>F11</v>
      </c>
      <c r="AJ1485" s="1" t="str">
        <f t="shared" si="970"/>
        <v>MAN</v>
      </c>
      <c r="AK1485" s="1" t="str">
        <f t="shared" si="962"/>
        <v>PA</v>
      </c>
      <c r="AP1485" s="1" t="str">
        <f t="shared" si="963"/>
        <v>False</v>
      </c>
      <c r="AR1485" s="1" t="str">
        <f t="shared" si="976"/>
        <v>SOLAN</v>
      </c>
      <c r="AY1485" s="1" t="str">
        <f t="shared" si="964"/>
        <v>PF</v>
      </c>
      <c r="AZ1485" s="1">
        <v>0</v>
      </c>
      <c r="BA1485" s="1">
        <v>0</v>
      </c>
      <c r="BB1485" s="1">
        <v>0</v>
      </c>
      <c r="BC1485" s="1">
        <v>0</v>
      </c>
      <c r="BD1485" s="1">
        <v>0</v>
      </c>
      <c r="BE1485" s="1" t="str">
        <f t="shared" si="977"/>
        <v>S.CADET GOMMA  TWILL CANVAS</v>
      </c>
      <c r="BF1485" s="1" t="str">
        <f t="shared" si="965"/>
        <v>Bonis SpA</v>
      </c>
    </row>
    <row r="1486" spans="2:58" x14ac:dyDescent="0.25">
      <c r="B1486" s="1">
        <v>2566</v>
      </c>
      <c r="C1486" s="1" t="str">
        <f t="shared" si="973"/>
        <v>SOLAN4189S7/C1</v>
      </c>
      <c r="E1486" s="1" t="str">
        <f>"42"</f>
        <v>42</v>
      </c>
      <c r="F1486" s="1" t="str">
        <f t="shared" si="953"/>
        <v>BONIS SPA</v>
      </c>
      <c r="G1486" s="1" t="str">
        <f t="shared" si="943"/>
        <v>STOCK SCAFFALE MP</v>
      </c>
      <c r="H1486" s="1" t="str">
        <f t="shared" si="974"/>
        <v>BLK</v>
      </c>
      <c r="K1486" s="1">
        <v>3</v>
      </c>
      <c r="L1486" s="1" t="str">
        <f t="shared" si="954"/>
        <v>01</v>
      </c>
      <c r="M1486" s="1" t="str">
        <f t="shared" si="945"/>
        <v>409</v>
      </c>
      <c r="N1486" s="1" t="str">
        <f t="shared" si="968"/>
        <v>016</v>
      </c>
      <c r="O1486" s="1" t="str">
        <f t="shared" si="955"/>
        <v>00</v>
      </c>
      <c r="P1486" s="1" t="str">
        <f t="shared" si="956"/>
        <v>S</v>
      </c>
      <c r="Q1486" s="1" t="str">
        <f t="shared" si="957"/>
        <v>P</v>
      </c>
      <c r="R1486" s="1" t="str">
        <f t="shared" si="958"/>
        <v>01</v>
      </c>
      <c r="S1486" s="1" t="str">
        <f t="shared" si="944"/>
        <v>04</v>
      </c>
      <c r="T1486" s="1" t="str">
        <f t="shared" si="959"/>
        <v>False</v>
      </c>
      <c r="U1486" s="1" t="str">
        <f t="shared" si="960"/>
        <v>True</v>
      </c>
      <c r="V1486" s="1" t="str">
        <f t="shared" si="975"/>
        <v>U0028270</v>
      </c>
      <c r="W1486" s="1">
        <v>1</v>
      </c>
      <c r="Y1486" s="1">
        <v>0</v>
      </c>
      <c r="Z1486" s="1">
        <v>0</v>
      </c>
      <c r="AB1486" s="1" t="str">
        <f t="shared" si="946"/>
        <v>SMU</v>
      </c>
      <c r="AI1486" s="1" t="str">
        <f t="shared" si="961"/>
        <v>F11</v>
      </c>
      <c r="AJ1486" s="1" t="str">
        <f t="shared" si="970"/>
        <v>MAN</v>
      </c>
      <c r="AK1486" s="1" t="str">
        <f t="shared" si="962"/>
        <v>PA</v>
      </c>
      <c r="AP1486" s="1" t="str">
        <f t="shared" si="963"/>
        <v>False</v>
      </c>
      <c r="AR1486" s="1" t="str">
        <f t="shared" si="976"/>
        <v>SOLAN</v>
      </c>
      <c r="AY1486" s="1" t="str">
        <f t="shared" si="964"/>
        <v>PF</v>
      </c>
      <c r="AZ1486" s="1">
        <v>0</v>
      </c>
      <c r="BA1486" s="1">
        <v>0</v>
      </c>
      <c r="BB1486" s="1">
        <v>0</v>
      </c>
      <c r="BC1486" s="1">
        <v>0</v>
      </c>
      <c r="BD1486" s="1">
        <v>0</v>
      </c>
      <c r="BE1486" s="1" t="str">
        <f t="shared" si="977"/>
        <v>S.CADET GOMMA  TWILL CANVAS</v>
      </c>
      <c r="BF1486" s="1" t="str">
        <f t="shared" si="965"/>
        <v>Bonis SpA</v>
      </c>
    </row>
    <row r="1487" spans="2:58" x14ac:dyDescent="0.25">
      <c r="B1487" s="1">
        <v>2566</v>
      </c>
      <c r="C1487" s="1" t="str">
        <f t="shared" si="973"/>
        <v>SOLAN4189S7/C1</v>
      </c>
      <c r="E1487" s="1" t="str">
        <f>"43"</f>
        <v>43</v>
      </c>
      <c r="F1487" s="1" t="str">
        <f t="shared" si="953"/>
        <v>BONIS SPA</v>
      </c>
      <c r="G1487" s="1" t="str">
        <f t="shared" si="943"/>
        <v>STOCK SCAFFALE MP</v>
      </c>
      <c r="H1487" s="1" t="str">
        <f t="shared" si="974"/>
        <v>BLK</v>
      </c>
      <c r="K1487" s="1">
        <v>3</v>
      </c>
      <c r="L1487" s="1" t="str">
        <f t="shared" si="954"/>
        <v>01</v>
      </c>
      <c r="M1487" s="1" t="str">
        <f t="shared" si="945"/>
        <v>409</v>
      </c>
      <c r="N1487" s="1" t="str">
        <f t="shared" si="968"/>
        <v>016</v>
      </c>
      <c r="O1487" s="1" t="str">
        <f t="shared" si="955"/>
        <v>00</v>
      </c>
      <c r="P1487" s="1" t="str">
        <f t="shared" si="956"/>
        <v>S</v>
      </c>
      <c r="Q1487" s="1" t="str">
        <f t="shared" si="957"/>
        <v>P</v>
      </c>
      <c r="R1487" s="1" t="str">
        <f t="shared" si="958"/>
        <v>01</v>
      </c>
      <c r="S1487" s="1" t="str">
        <f t="shared" si="944"/>
        <v>04</v>
      </c>
      <c r="T1487" s="1" t="str">
        <f t="shared" si="959"/>
        <v>False</v>
      </c>
      <c r="U1487" s="1" t="str">
        <f t="shared" si="960"/>
        <v>True</v>
      </c>
      <c r="V1487" s="1" t="str">
        <f t="shared" si="975"/>
        <v>U0028270</v>
      </c>
      <c r="W1487" s="1">
        <v>1</v>
      </c>
      <c r="Y1487" s="1">
        <v>0</v>
      </c>
      <c r="Z1487" s="1">
        <v>0</v>
      </c>
      <c r="AB1487" s="1" t="str">
        <f t="shared" si="946"/>
        <v>SMU</v>
      </c>
      <c r="AI1487" s="1" t="str">
        <f t="shared" si="961"/>
        <v>F11</v>
      </c>
      <c r="AJ1487" s="1" t="str">
        <f t="shared" si="970"/>
        <v>MAN</v>
      </c>
      <c r="AK1487" s="1" t="str">
        <f t="shared" si="962"/>
        <v>PA</v>
      </c>
      <c r="AP1487" s="1" t="str">
        <f t="shared" si="963"/>
        <v>False</v>
      </c>
      <c r="AR1487" s="1" t="str">
        <f t="shared" si="976"/>
        <v>SOLAN</v>
      </c>
      <c r="AY1487" s="1" t="str">
        <f t="shared" si="964"/>
        <v>PF</v>
      </c>
      <c r="AZ1487" s="1">
        <v>0</v>
      </c>
      <c r="BA1487" s="1">
        <v>0</v>
      </c>
      <c r="BB1487" s="1">
        <v>0</v>
      </c>
      <c r="BC1487" s="1">
        <v>0</v>
      </c>
      <c r="BD1487" s="1">
        <v>0</v>
      </c>
      <c r="BE1487" s="1" t="str">
        <f t="shared" si="977"/>
        <v>S.CADET GOMMA  TWILL CANVAS</v>
      </c>
      <c r="BF1487" s="1" t="str">
        <f t="shared" si="965"/>
        <v>Bonis SpA</v>
      </c>
    </row>
    <row r="1488" spans="2:58" x14ac:dyDescent="0.25">
      <c r="B1488" s="1">
        <v>2566</v>
      </c>
      <c r="C1488" s="1" t="str">
        <f t="shared" si="973"/>
        <v>SOLAN4189S7/C1</v>
      </c>
      <c r="E1488" s="1" t="str">
        <f>"44"</f>
        <v>44</v>
      </c>
      <c r="F1488" s="1" t="str">
        <f t="shared" si="953"/>
        <v>BONIS SPA</v>
      </c>
      <c r="G1488" s="1" t="str">
        <f t="shared" si="943"/>
        <v>STOCK SCAFFALE MP</v>
      </c>
      <c r="H1488" s="1" t="str">
        <f t="shared" si="974"/>
        <v>BLK</v>
      </c>
      <c r="K1488" s="1">
        <v>2</v>
      </c>
      <c r="L1488" s="1" t="str">
        <f t="shared" si="954"/>
        <v>01</v>
      </c>
      <c r="M1488" s="1" t="str">
        <f t="shared" si="945"/>
        <v>409</v>
      </c>
      <c r="N1488" s="1" t="str">
        <f t="shared" si="968"/>
        <v>016</v>
      </c>
      <c r="O1488" s="1" t="str">
        <f t="shared" si="955"/>
        <v>00</v>
      </c>
      <c r="P1488" s="1" t="str">
        <f t="shared" si="956"/>
        <v>S</v>
      </c>
      <c r="Q1488" s="1" t="str">
        <f t="shared" si="957"/>
        <v>P</v>
      </c>
      <c r="R1488" s="1" t="str">
        <f t="shared" si="958"/>
        <v>01</v>
      </c>
      <c r="S1488" s="1" t="str">
        <f t="shared" si="944"/>
        <v>04</v>
      </c>
      <c r="T1488" s="1" t="str">
        <f t="shared" si="959"/>
        <v>False</v>
      </c>
      <c r="U1488" s="1" t="str">
        <f t="shared" si="960"/>
        <v>True</v>
      </c>
      <c r="V1488" s="1" t="str">
        <f t="shared" si="975"/>
        <v>U0028270</v>
      </c>
      <c r="W1488" s="1">
        <v>1</v>
      </c>
      <c r="Y1488" s="1">
        <v>0</v>
      </c>
      <c r="Z1488" s="1">
        <v>0</v>
      </c>
      <c r="AB1488" s="1" t="str">
        <f t="shared" si="946"/>
        <v>SMU</v>
      </c>
      <c r="AI1488" s="1" t="str">
        <f t="shared" si="961"/>
        <v>F11</v>
      </c>
      <c r="AJ1488" s="1" t="str">
        <f t="shared" si="970"/>
        <v>MAN</v>
      </c>
      <c r="AK1488" s="1" t="str">
        <f t="shared" si="962"/>
        <v>PA</v>
      </c>
      <c r="AP1488" s="1" t="str">
        <f t="shared" si="963"/>
        <v>False</v>
      </c>
      <c r="AR1488" s="1" t="str">
        <f t="shared" si="976"/>
        <v>SOLAN</v>
      </c>
      <c r="AY1488" s="1" t="str">
        <f t="shared" si="964"/>
        <v>PF</v>
      </c>
      <c r="AZ1488" s="1">
        <v>0</v>
      </c>
      <c r="BA1488" s="1">
        <v>0</v>
      </c>
      <c r="BB1488" s="1">
        <v>0</v>
      </c>
      <c r="BC1488" s="1">
        <v>0</v>
      </c>
      <c r="BD1488" s="1">
        <v>0</v>
      </c>
      <c r="BE1488" s="1" t="str">
        <f t="shared" si="977"/>
        <v>S.CADET GOMMA  TWILL CANVAS</v>
      </c>
      <c r="BF1488" s="1" t="str">
        <f t="shared" si="965"/>
        <v>Bonis SpA</v>
      </c>
    </row>
    <row r="1489" spans="2:58" x14ac:dyDescent="0.25">
      <c r="B1489" s="1">
        <v>2566</v>
      </c>
      <c r="C1489" s="1" t="str">
        <f t="shared" si="973"/>
        <v>SOLAN4189S7/C1</v>
      </c>
      <c r="E1489" s="1" t="str">
        <f>"45"</f>
        <v>45</v>
      </c>
      <c r="F1489" s="1" t="str">
        <f t="shared" si="953"/>
        <v>BONIS SPA</v>
      </c>
      <c r="G1489" s="1" t="str">
        <f t="shared" si="943"/>
        <v>STOCK SCAFFALE MP</v>
      </c>
      <c r="H1489" s="1" t="str">
        <f t="shared" si="974"/>
        <v>BLK</v>
      </c>
      <c r="K1489" s="1">
        <v>1</v>
      </c>
      <c r="L1489" s="1" t="str">
        <f t="shared" si="954"/>
        <v>01</v>
      </c>
      <c r="M1489" s="1" t="str">
        <f t="shared" si="945"/>
        <v>409</v>
      </c>
      <c r="N1489" s="1" t="str">
        <f t="shared" si="968"/>
        <v>016</v>
      </c>
      <c r="O1489" s="1" t="str">
        <f t="shared" si="955"/>
        <v>00</v>
      </c>
      <c r="P1489" s="1" t="str">
        <f t="shared" si="956"/>
        <v>S</v>
      </c>
      <c r="Q1489" s="1" t="str">
        <f t="shared" si="957"/>
        <v>P</v>
      </c>
      <c r="R1489" s="1" t="str">
        <f t="shared" si="958"/>
        <v>01</v>
      </c>
      <c r="S1489" s="1" t="str">
        <f t="shared" si="944"/>
        <v>04</v>
      </c>
      <c r="T1489" s="1" t="str">
        <f t="shared" si="959"/>
        <v>False</v>
      </c>
      <c r="U1489" s="1" t="str">
        <f t="shared" si="960"/>
        <v>True</v>
      </c>
      <c r="V1489" s="1" t="str">
        <f t="shared" si="975"/>
        <v>U0028270</v>
      </c>
      <c r="W1489" s="1">
        <v>1</v>
      </c>
      <c r="Y1489" s="1">
        <v>0</v>
      </c>
      <c r="Z1489" s="1">
        <v>0</v>
      </c>
      <c r="AB1489" s="1" t="str">
        <f t="shared" si="946"/>
        <v>SMU</v>
      </c>
      <c r="AI1489" s="1" t="str">
        <f t="shared" si="961"/>
        <v>F11</v>
      </c>
      <c r="AJ1489" s="1" t="str">
        <f t="shared" si="970"/>
        <v>MAN</v>
      </c>
      <c r="AK1489" s="1" t="str">
        <f t="shared" si="962"/>
        <v>PA</v>
      </c>
      <c r="AP1489" s="1" t="str">
        <f t="shared" si="963"/>
        <v>False</v>
      </c>
      <c r="AR1489" s="1" t="str">
        <f t="shared" si="976"/>
        <v>SOLAN</v>
      </c>
      <c r="AY1489" s="1" t="str">
        <f t="shared" si="964"/>
        <v>PF</v>
      </c>
      <c r="AZ1489" s="1">
        <v>0</v>
      </c>
      <c r="BA1489" s="1">
        <v>0</v>
      </c>
      <c r="BB1489" s="1">
        <v>0</v>
      </c>
      <c r="BC1489" s="1">
        <v>0</v>
      </c>
      <c r="BD1489" s="1">
        <v>0</v>
      </c>
      <c r="BE1489" s="1" t="str">
        <f t="shared" si="977"/>
        <v>S.CADET GOMMA  TWILL CANVAS</v>
      </c>
      <c r="BF1489" s="1" t="str">
        <f t="shared" si="965"/>
        <v>Bonis SpA</v>
      </c>
    </row>
    <row r="1490" spans="2:58" x14ac:dyDescent="0.25">
      <c r="B1490" s="1">
        <v>2566</v>
      </c>
      <c r="C1490" s="1" t="str">
        <f>"GALAN4183S7/CY1"</f>
        <v>GALAN4183S7/CY1</v>
      </c>
      <c r="E1490" s="1" t="str">
        <f>"40"</f>
        <v>40</v>
      </c>
      <c r="F1490" s="1" t="str">
        <f t="shared" si="953"/>
        <v>BONIS SPA</v>
      </c>
      <c r="G1490" s="1" t="str">
        <f t="shared" si="943"/>
        <v>STOCK SCAFFALE MP</v>
      </c>
      <c r="H1490" s="1" t="str">
        <f>"DKBL"</f>
        <v>DKBL</v>
      </c>
      <c r="K1490" s="1">
        <v>1</v>
      </c>
      <c r="L1490" s="1" t="str">
        <f t="shared" si="954"/>
        <v>01</v>
      </c>
      <c r="M1490" s="1" t="str">
        <f t="shared" si="945"/>
        <v>409</v>
      </c>
      <c r="N1490" s="1" t="str">
        <f t="shared" si="968"/>
        <v>016</v>
      </c>
      <c r="O1490" s="1" t="str">
        <f t="shared" si="955"/>
        <v>00</v>
      </c>
      <c r="P1490" s="1" t="str">
        <f t="shared" si="956"/>
        <v>S</v>
      </c>
      <c r="Q1490" s="1" t="str">
        <f t="shared" si="957"/>
        <v>P</v>
      </c>
      <c r="R1490" s="1" t="str">
        <f t="shared" si="958"/>
        <v>01</v>
      </c>
      <c r="S1490" s="1" t="str">
        <f t="shared" si="944"/>
        <v>04</v>
      </c>
      <c r="T1490" s="1" t="str">
        <f t="shared" si="959"/>
        <v>False</v>
      </c>
      <c r="U1490" s="1" t="str">
        <f t="shared" si="960"/>
        <v>True</v>
      </c>
      <c r="V1490" s="1" t="str">
        <f>"U0028271"</f>
        <v>U0028271</v>
      </c>
      <c r="W1490" s="1">
        <v>1</v>
      </c>
      <c r="Y1490" s="1">
        <v>0</v>
      </c>
      <c r="Z1490" s="1">
        <v>0</v>
      </c>
      <c r="AB1490" s="1" t="str">
        <f t="shared" si="946"/>
        <v>SMU</v>
      </c>
      <c r="AI1490" s="1" t="str">
        <f t="shared" si="961"/>
        <v>F11</v>
      </c>
      <c r="AJ1490" s="1" t="str">
        <f t="shared" si="970"/>
        <v>MAN</v>
      </c>
      <c r="AK1490" s="1" t="str">
        <f t="shared" si="962"/>
        <v>PA</v>
      </c>
      <c r="AP1490" s="1" t="str">
        <f t="shared" si="963"/>
        <v>False</v>
      </c>
      <c r="AR1490" s="1" t="str">
        <f>"GALAN"</f>
        <v>GALAN</v>
      </c>
      <c r="AY1490" s="1" t="str">
        <f t="shared" si="964"/>
        <v>PF</v>
      </c>
      <c r="AZ1490" s="1">
        <v>0</v>
      </c>
      <c r="BA1490" s="1">
        <v>0</v>
      </c>
      <c r="BB1490" s="1">
        <v>0</v>
      </c>
      <c r="BC1490" s="1">
        <v>0</v>
      </c>
      <c r="BD1490" s="1">
        <v>0</v>
      </c>
      <c r="BE1490" s="1" t="str">
        <f>"LAN+TWILL CANVAS + SIN.LEATHER"</f>
        <v>LAN+TWILL CANVAS + SIN.LEATHER</v>
      </c>
      <c r="BF1490" s="1" t="str">
        <f t="shared" si="965"/>
        <v>Bonis SpA</v>
      </c>
    </row>
    <row r="1491" spans="2:58" x14ac:dyDescent="0.25">
      <c r="B1491" s="1">
        <v>2566</v>
      </c>
      <c r="C1491" s="1" t="str">
        <f>"GALAN4183S7/CY1"</f>
        <v>GALAN4183S7/CY1</v>
      </c>
      <c r="E1491" s="1" t="str">
        <f>"41"</f>
        <v>41</v>
      </c>
      <c r="F1491" s="1" t="str">
        <f t="shared" si="953"/>
        <v>BONIS SPA</v>
      </c>
      <c r="G1491" s="1" t="str">
        <f t="shared" si="943"/>
        <v>STOCK SCAFFALE MP</v>
      </c>
      <c r="H1491" s="1" t="str">
        <f>"DKBL"</f>
        <v>DKBL</v>
      </c>
      <c r="K1491" s="1">
        <v>1</v>
      </c>
      <c r="L1491" s="1" t="str">
        <f t="shared" si="954"/>
        <v>01</v>
      </c>
      <c r="M1491" s="1" t="str">
        <f t="shared" si="945"/>
        <v>409</v>
      </c>
      <c r="N1491" s="1" t="str">
        <f t="shared" si="968"/>
        <v>016</v>
      </c>
      <c r="O1491" s="1" t="str">
        <f t="shared" si="955"/>
        <v>00</v>
      </c>
      <c r="P1491" s="1" t="str">
        <f t="shared" si="956"/>
        <v>S</v>
      </c>
      <c r="Q1491" s="1" t="str">
        <f t="shared" si="957"/>
        <v>P</v>
      </c>
      <c r="R1491" s="1" t="str">
        <f t="shared" si="958"/>
        <v>01</v>
      </c>
      <c r="S1491" s="1" t="str">
        <f t="shared" si="944"/>
        <v>04</v>
      </c>
      <c r="T1491" s="1" t="str">
        <f t="shared" si="959"/>
        <v>False</v>
      </c>
      <c r="U1491" s="1" t="str">
        <f t="shared" si="960"/>
        <v>True</v>
      </c>
      <c r="V1491" s="1" t="str">
        <f>"U0028271"</f>
        <v>U0028271</v>
      </c>
      <c r="W1491" s="1">
        <v>1</v>
      </c>
      <c r="Y1491" s="1">
        <v>0</v>
      </c>
      <c r="Z1491" s="1">
        <v>0</v>
      </c>
      <c r="AB1491" s="1" t="str">
        <f t="shared" si="946"/>
        <v>SMU</v>
      </c>
      <c r="AI1491" s="1" t="str">
        <f t="shared" si="961"/>
        <v>F11</v>
      </c>
      <c r="AJ1491" s="1" t="str">
        <f t="shared" si="970"/>
        <v>MAN</v>
      </c>
      <c r="AK1491" s="1" t="str">
        <f t="shared" si="962"/>
        <v>PA</v>
      </c>
      <c r="AP1491" s="1" t="str">
        <f t="shared" si="963"/>
        <v>False</v>
      </c>
      <c r="AR1491" s="1" t="str">
        <f>"GALAN"</f>
        <v>GALAN</v>
      </c>
      <c r="AY1491" s="1" t="str">
        <f t="shared" si="964"/>
        <v>PF</v>
      </c>
      <c r="AZ1491" s="1">
        <v>0</v>
      </c>
      <c r="BA1491" s="1">
        <v>0</v>
      </c>
      <c r="BB1491" s="1">
        <v>0</v>
      </c>
      <c r="BC1491" s="1">
        <v>0</v>
      </c>
      <c r="BD1491" s="1">
        <v>0</v>
      </c>
      <c r="BE1491" s="1" t="str">
        <f>"LAN+TWILL CANVAS + SIN.LEATHER"</f>
        <v>LAN+TWILL CANVAS + SIN.LEATHER</v>
      </c>
      <c r="BF1491" s="1" t="str">
        <f t="shared" si="965"/>
        <v>Bonis SpA</v>
      </c>
    </row>
    <row r="1492" spans="2:58" x14ac:dyDescent="0.25">
      <c r="B1492" s="1">
        <v>2566</v>
      </c>
      <c r="C1492" s="1" t="str">
        <f>"GALAN4183S7/CY1"</f>
        <v>GALAN4183S7/CY1</v>
      </c>
      <c r="E1492" s="1" t="str">
        <f>"43"</f>
        <v>43</v>
      </c>
      <c r="F1492" s="1" t="str">
        <f t="shared" si="953"/>
        <v>BONIS SPA</v>
      </c>
      <c r="G1492" s="1" t="str">
        <f t="shared" si="943"/>
        <v>STOCK SCAFFALE MP</v>
      </c>
      <c r="H1492" s="1" t="str">
        <f>"DKBL"</f>
        <v>DKBL</v>
      </c>
      <c r="K1492" s="1">
        <v>1</v>
      </c>
      <c r="L1492" s="1" t="str">
        <f t="shared" si="954"/>
        <v>01</v>
      </c>
      <c r="M1492" s="1" t="str">
        <f t="shared" si="945"/>
        <v>409</v>
      </c>
      <c r="N1492" s="1" t="str">
        <f t="shared" si="968"/>
        <v>016</v>
      </c>
      <c r="O1492" s="1" t="str">
        <f t="shared" si="955"/>
        <v>00</v>
      </c>
      <c r="P1492" s="1" t="str">
        <f t="shared" si="956"/>
        <v>S</v>
      </c>
      <c r="Q1492" s="1" t="str">
        <f t="shared" si="957"/>
        <v>P</v>
      </c>
      <c r="R1492" s="1" t="str">
        <f t="shared" si="958"/>
        <v>01</v>
      </c>
      <c r="S1492" s="1" t="str">
        <f t="shared" si="944"/>
        <v>04</v>
      </c>
      <c r="T1492" s="1" t="str">
        <f t="shared" si="959"/>
        <v>False</v>
      </c>
      <c r="U1492" s="1" t="str">
        <f t="shared" si="960"/>
        <v>True</v>
      </c>
      <c r="V1492" s="1" t="str">
        <f>"U0028271"</f>
        <v>U0028271</v>
      </c>
      <c r="W1492" s="1">
        <v>1</v>
      </c>
      <c r="Y1492" s="1">
        <v>0</v>
      </c>
      <c r="Z1492" s="1">
        <v>0</v>
      </c>
      <c r="AB1492" s="1" t="str">
        <f t="shared" si="946"/>
        <v>SMU</v>
      </c>
      <c r="AI1492" s="1" t="str">
        <f t="shared" si="961"/>
        <v>F11</v>
      </c>
      <c r="AJ1492" s="1" t="str">
        <f t="shared" si="970"/>
        <v>MAN</v>
      </c>
      <c r="AK1492" s="1" t="str">
        <f t="shared" si="962"/>
        <v>PA</v>
      </c>
      <c r="AP1492" s="1" t="str">
        <f t="shared" si="963"/>
        <v>False</v>
      </c>
      <c r="AR1492" s="1" t="str">
        <f>"GALAN"</f>
        <v>GALAN</v>
      </c>
      <c r="AY1492" s="1" t="str">
        <f t="shared" si="964"/>
        <v>PF</v>
      </c>
      <c r="AZ1492" s="1">
        <v>0</v>
      </c>
      <c r="BA1492" s="1">
        <v>0</v>
      </c>
      <c r="BB1492" s="1">
        <v>0</v>
      </c>
      <c r="BC1492" s="1">
        <v>0</v>
      </c>
      <c r="BD1492" s="1">
        <v>0</v>
      </c>
      <c r="BE1492" s="1" t="str">
        <f>"LAN+TWILL CANVAS + SIN.LEATHER"</f>
        <v>LAN+TWILL CANVAS + SIN.LEATHER</v>
      </c>
      <c r="BF1492" s="1" t="str">
        <f t="shared" si="965"/>
        <v>Bonis SpA</v>
      </c>
    </row>
    <row r="1493" spans="2:58" x14ac:dyDescent="0.25">
      <c r="B1493" s="1">
        <v>2566</v>
      </c>
      <c r="C1493" s="1" t="str">
        <f>"GALAN4183S7/CY1"</f>
        <v>GALAN4183S7/CY1</v>
      </c>
      <c r="E1493" s="1" t="str">
        <f>"44"</f>
        <v>44</v>
      </c>
      <c r="F1493" s="1" t="str">
        <f t="shared" si="953"/>
        <v>BONIS SPA</v>
      </c>
      <c r="G1493" s="1" t="str">
        <f t="shared" si="943"/>
        <v>STOCK SCAFFALE MP</v>
      </c>
      <c r="H1493" s="1" t="str">
        <f>"DKBL"</f>
        <v>DKBL</v>
      </c>
      <c r="K1493" s="1">
        <v>1</v>
      </c>
      <c r="L1493" s="1" t="str">
        <f t="shared" si="954"/>
        <v>01</v>
      </c>
      <c r="M1493" s="1" t="str">
        <f t="shared" si="945"/>
        <v>409</v>
      </c>
      <c r="N1493" s="1" t="str">
        <f t="shared" si="968"/>
        <v>016</v>
      </c>
      <c r="O1493" s="1" t="str">
        <f t="shared" si="955"/>
        <v>00</v>
      </c>
      <c r="P1493" s="1" t="str">
        <f t="shared" si="956"/>
        <v>S</v>
      </c>
      <c r="Q1493" s="1" t="str">
        <f t="shared" si="957"/>
        <v>P</v>
      </c>
      <c r="R1493" s="1" t="str">
        <f t="shared" si="958"/>
        <v>01</v>
      </c>
      <c r="S1493" s="1" t="str">
        <f t="shared" si="944"/>
        <v>04</v>
      </c>
      <c r="T1493" s="1" t="str">
        <f t="shared" si="959"/>
        <v>False</v>
      </c>
      <c r="U1493" s="1" t="str">
        <f t="shared" si="960"/>
        <v>True</v>
      </c>
      <c r="V1493" s="1" t="str">
        <f>"U0028271"</f>
        <v>U0028271</v>
      </c>
      <c r="W1493" s="1">
        <v>1</v>
      </c>
      <c r="Y1493" s="1">
        <v>0</v>
      </c>
      <c r="Z1493" s="1">
        <v>0</v>
      </c>
      <c r="AB1493" s="1" t="str">
        <f t="shared" si="946"/>
        <v>SMU</v>
      </c>
      <c r="AI1493" s="1" t="str">
        <f t="shared" si="961"/>
        <v>F11</v>
      </c>
      <c r="AJ1493" s="1" t="str">
        <f t="shared" si="970"/>
        <v>MAN</v>
      </c>
      <c r="AK1493" s="1" t="str">
        <f t="shared" si="962"/>
        <v>PA</v>
      </c>
      <c r="AP1493" s="1" t="str">
        <f t="shared" si="963"/>
        <v>False</v>
      </c>
      <c r="AR1493" s="1" t="str">
        <f>"GALAN"</f>
        <v>GALAN</v>
      </c>
      <c r="AY1493" s="1" t="str">
        <f t="shared" si="964"/>
        <v>PF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 t="str">
        <f>"LAN+TWILL CANVAS + SIN.LEATHER"</f>
        <v>LAN+TWILL CANVAS + SIN.LEATHER</v>
      </c>
      <c r="BF1493" s="1" t="str">
        <f t="shared" si="965"/>
        <v>Bonis SpA</v>
      </c>
    </row>
    <row r="1494" spans="2:58" x14ac:dyDescent="0.25">
      <c r="B1494" s="1">
        <v>2566</v>
      </c>
      <c r="C1494" s="1" t="str">
        <f>"RUMBO4186S7/C1"</f>
        <v>RUMBO4186S7/C1</v>
      </c>
      <c r="E1494" s="1" t="str">
        <f>"40"</f>
        <v>40</v>
      </c>
      <c r="F1494" s="1" t="str">
        <f t="shared" si="953"/>
        <v>BONIS SPA</v>
      </c>
      <c r="G1494" s="1" t="str">
        <f t="shared" si="943"/>
        <v>STOCK SCAFFALE MP</v>
      </c>
      <c r="H1494" s="1" t="str">
        <f t="shared" ref="H1494:H1503" si="978">"BLK"</f>
        <v>BLK</v>
      </c>
      <c r="K1494" s="1">
        <v>2</v>
      </c>
      <c r="L1494" s="1" t="str">
        <f t="shared" si="954"/>
        <v>01</v>
      </c>
      <c r="M1494" s="1" t="str">
        <f t="shared" si="945"/>
        <v>409</v>
      </c>
      <c r="N1494" s="1" t="str">
        <f t="shared" si="968"/>
        <v>016</v>
      </c>
      <c r="O1494" s="1" t="str">
        <f t="shared" si="955"/>
        <v>00</v>
      </c>
      <c r="P1494" s="1" t="str">
        <f t="shared" si="956"/>
        <v>S</v>
      </c>
      <c r="Q1494" s="1" t="str">
        <f t="shared" si="957"/>
        <v>P</v>
      </c>
      <c r="R1494" s="1" t="str">
        <f t="shared" si="958"/>
        <v>01</v>
      </c>
      <c r="S1494" s="1" t="str">
        <f t="shared" si="944"/>
        <v>04</v>
      </c>
      <c r="T1494" s="1" t="str">
        <f t="shared" si="959"/>
        <v>False</v>
      </c>
      <c r="U1494" s="1" t="str">
        <f t="shared" si="960"/>
        <v>True</v>
      </c>
      <c r="V1494" s="1" t="str">
        <f>"U0028272"</f>
        <v>U0028272</v>
      </c>
      <c r="W1494" s="1">
        <v>1</v>
      </c>
      <c r="Y1494" s="1">
        <v>0</v>
      </c>
      <c r="Z1494" s="1">
        <v>0</v>
      </c>
      <c r="AB1494" s="1" t="str">
        <f t="shared" si="946"/>
        <v>SMU</v>
      </c>
      <c r="AI1494" s="1" t="str">
        <f t="shared" si="961"/>
        <v>F11</v>
      </c>
      <c r="AJ1494" s="1" t="str">
        <f t="shared" si="970"/>
        <v>MAN</v>
      </c>
      <c r="AK1494" s="1" t="str">
        <f t="shared" si="962"/>
        <v>PA</v>
      </c>
      <c r="AP1494" s="1" t="str">
        <f t="shared" si="963"/>
        <v>False</v>
      </c>
      <c r="AR1494" s="1" t="str">
        <f>"RUMBO"</f>
        <v>RUMBO</v>
      </c>
      <c r="AY1494" s="1" t="str">
        <f t="shared" si="964"/>
        <v>PF</v>
      </c>
      <c r="AZ1494" s="1">
        <v>0</v>
      </c>
      <c r="BA1494" s="1">
        <v>0</v>
      </c>
      <c r="BB1494" s="1">
        <v>0</v>
      </c>
      <c r="BC1494" s="1">
        <v>0</v>
      </c>
      <c r="BD1494" s="1">
        <v>0</v>
      </c>
      <c r="BE1494" s="1" t="str">
        <f>"MBO TWILL CANVAS"</f>
        <v>MBO TWILL CANVAS</v>
      </c>
      <c r="BF1494" s="1" t="str">
        <f t="shared" si="965"/>
        <v>Bonis SpA</v>
      </c>
    </row>
    <row r="1495" spans="2:58" x14ac:dyDescent="0.25">
      <c r="B1495" s="1">
        <v>2566</v>
      </c>
      <c r="C1495" s="1" t="str">
        <f>"RUMBO4186S7/C1"</f>
        <v>RUMBO4186S7/C1</v>
      </c>
      <c r="E1495" s="1" t="str">
        <f>"41"</f>
        <v>41</v>
      </c>
      <c r="F1495" s="1" t="str">
        <f t="shared" si="953"/>
        <v>BONIS SPA</v>
      </c>
      <c r="G1495" s="1" t="str">
        <f t="shared" si="943"/>
        <v>STOCK SCAFFALE MP</v>
      </c>
      <c r="H1495" s="1" t="str">
        <f t="shared" si="978"/>
        <v>BLK</v>
      </c>
      <c r="K1495" s="1">
        <v>2</v>
      </c>
      <c r="L1495" s="1" t="str">
        <f t="shared" si="954"/>
        <v>01</v>
      </c>
      <c r="M1495" s="1" t="str">
        <f t="shared" si="945"/>
        <v>409</v>
      </c>
      <c r="N1495" s="1" t="str">
        <f t="shared" si="968"/>
        <v>016</v>
      </c>
      <c r="O1495" s="1" t="str">
        <f t="shared" si="955"/>
        <v>00</v>
      </c>
      <c r="P1495" s="1" t="str">
        <f t="shared" si="956"/>
        <v>S</v>
      </c>
      <c r="Q1495" s="1" t="str">
        <f t="shared" si="957"/>
        <v>P</v>
      </c>
      <c r="R1495" s="1" t="str">
        <f t="shared" si="958"/>
        <v>01</v>
      </c>
      <c r="S1495" s="1" t="str">
        <f t="shared" si="944"/>
        <v>04</v>
      </c>
      <c r="T1495" s="1" t="str">
        <f t="shared" si="959"/>
        <v>False</v>
      </c>
      <c r="U1495" s="1" t="str">
        <f t="shared" si="960"/>
        <v>True</v>
      </c>
      <c r="V1495" s="1" t="str">
        <f>"U0028272"</f>
        <v>U0028272</v>
      </c>
      <c r="W1495" s="1">
        <v>1</v>
      </c>
      <c r="Y1495" s="1">
        <v>0</v>
      </c>
      <c r="Z1495" s="1">
        <v>0</v>
      </c>
      <c r="AB1495" s="1" t="str">
        <f t="shared" si="946"/>
        <v>SMU</v>
      </c>
      <c r="AI1495" s="1" t="str">
        <f t="shared" si="961"/>
        <v>F11</v>
      </c>
      <c r="AJ1495" s="1" t="str">
        <f t="shared" si="970"/>
        <v>MAN</v>
      </c>
      <c r="AK1495" s="1" t="str">
        <f t="shared" si="962"/>
        <v>PA</v>
      </c>
      <c r="AP1495" s="1" t="str">
        <f t="shared" si="963"/>
        <v>False</v>
      </c>
      <c r="AR1495" s="1" t="str">
        <f>"RUMBO"</f>
        <v>RUMBO</v>
      </c>
      <c r="AY1495" s="1" t="str">
        <f t="shared" si="964"/>
        <v>PF</v>
      </c>
      <c r="AZ1495" s="1">
        <v>0</v>
      </c>
      <c r="BA1495" s="1">
        <v>0</v>
      </c>
      <c r="BB1495" s="1">
        <v>0</v>
      </c>
      <c r="BC1495" s="1">
        <v>0</v>
      </c>
      <c r="BD1495" s="1">
        <v>0</v>
      </c>
      <c r="BE1495" s="1" t="str">
        <f>"MBO TWILL CANVAS"</f>
        <v>MBO TWILL CANVAS</v>
      </c>
      <c r="BF1495" s="1" t="str">
        <f t="shared" si="965"/>
        <v>Bonis SpA</v>
      </c>
    </row>
    <row r="1496" spans="2:58" x14ac:dyDescent="0.25">
      <c r="B1496" s="1">
        <v>2566</v>
      </c>
      <c r="C1496" s="1" t="str">
        <f>"RUMBO4186S7/C1"</f>
        <v>RUMBO4186S7/C1</v>
      </c>
      <c r="E1496" s="1" t="str">
        <f>"42"</f>
        <v>42</v>
      </c>
      <c r="F1496" s="1" t="str">
        <f t="shared" si="953"/>
        <v>BONIS SPA</v>
      </c>
      <c r="G1496" s="1" t="str">
        <f t="shared" si="943"/>
        <v>STOCK SCAFFALE MP</v>
      </c>
      <c r="H1496" s="1" t="str">
        <f t="shared" si="978"/>
        <v>BLK</v>
      </c>
      <c r="K1496" s="1">
        <v>1</v>
      </c>
      <c r="L1496" s="1" t="str">
        <f t="shared" si="954"/>
        <v>01</v>
      </c>
      <c r="M1496" s="1" t="str">
        <f t="shared" si="945"/>
        <v>409</v>
      </c>
      <c r="N1496" s="1" t="str">
        <f t="shared" si="968"/>
        <v>016</v>
      </c>
      <c r="O1496" s="1" t="str">
        <f t="shared" si="955"/>
        <v>00</v>
      </c>
      <c r="P1496" s="1" t="str">
        <f t="shared" si="956"/>
        <v>S</v>
      </c>
      <c r="Q1496" s="1" t="str">
        <f t="shared" si="957"/>
        <v>P</v>
      </c>
      <c r="R1496" s="1" t="str">
        <f t="shared" si="958"/>
        <v>01</v>
      </c>
      <c r="S1496" s="1" t="str">
        <f t="shared" si="944"/>
        <v>04</v>
      </c>
      <c r="T1496" s="1" t="str">
        <f t="shared" si="959"/>
        <v>False</v>
      </c>
      <c r="U1496" s="1" t="str">
        <f t="shared" si="960"/>
        <v>True</v>
      </c>
      <c r="V1496" s="1" t="str">
        <f>"U0028272"</f>
        <v>U0028272</v>
      </c>
      <c r="W1496" s="1">
        <v>1</v>
      </c>
      <c r="Y1496" s="1">
        <v>0</v>
      </c>
      <c r="Z1496" s="1">
        <v>0</v>
      </c>
      <c r="AB1496" s="1" t="str">
        <f t="shared" si="946"/>
        <v>SMU</v>
      </c>
      <c r="AI1496" s="1" t="str">
        <f t="shared" si="961"/>
        <v>F11</v>
      </c>
      <c r="AJ1496" s="1" t="str">
        <f t="shared" si="970"/>
        <v>MAN</v>
      </c>
      <c r="AK1496" s="1" t="str">
        <f t="shared" si="962"/>
        <v>PA</v>
      </c>
      <c r="AP1496" s="1" t="str">
        <f t="shared" si="963"/>
        <v>False</v>
      </c>
      <c r="AR1496" s="1" t="str">
        <f>"RUMBO"</f>
        <v>RUMBO</v>
      </c>
      <c r="AY1496" s="1" t="str">
        <f t="shared" si="964"/>
        <v>PF</v>
      </c>
      <c r="AZ1496" s="1">
        <v>0</v>
      </c>
      <c r="BA1496" s="1">
        <v>0</v>
      </c>
      <c r="BB1496" s="1">
        <v>0</v>
      </c>
      <c r="BC1496" s="1">
        <v>0</v>
      </c>
      <c r="BD1496" s="1">
        <v>0</v>
      </c>
      <c r="BE1496" s="1" t="str">
        <f>"MBO TWILL CANVAS"</f>
        <v>MBO TWILL CANVAS</v>
      </c>
      <c r="BF1496" s="1" t="str">
        <f t="shared" si="965"/>
        <v>Bonis SpA</v>
      </c>
    </row>
    <row r="1497" spans="2:58" x14ac:dyDescent="0.25">
      <c r="B1497" s="1">
        <v>2566</v>
      </c>
      <c r="C1497" s="1" t="str">
        <f>"RUMBO4186S7/C1"</f>
        <v>RUMBO4186S7/C1</v>
      </c>
      <c r="E1497" s="1" t="str">
        <f>"43"</f>
        <v>43</v>
      </c>
      <c r="F1497" s="1" t="str">
        <f t="shared" si="953"/>
        <v>BONIS SPA</v>
      </c>
      <c r="G1497" s="1" t="str">
        <f t="shared" si="943"/>
        <v>STOCK SCAFFALE MP</v>
      </c>
      <c r="H1497" s="1" t="str">
        <f t="shared" si="978"/>
        <v>BLK</v>
      </c>
      <c r="K1497" s="1">
        <v>3</v>
      </c>
      <c r="L1497" s="1" t="str">
        <f t="shared" si="954"/>
        <v>01</v>
      </c>
      <c r="M1497" s="1" t="str">
        <f t="shared" si="945"/>
        <v>409</v>
      </c>
      <c r="N1497" s="1" t="str">
        <f t="shared" si="968"/>
        <v>016</v>
      </c>
      <c r="O1497" s="1" t="str">
        <f t="shared" si="955"/>
        <v>00</v>
      </c>
      <c r="P1497" s="1" t="str">
        <f t="shared" si="956"/>
        <v>S</v>
      </c>
      <c r="Q1497" s="1" t="str">
        <f t="shared" si="957"/>
        <v>P</v>
      </c>
      <c r="R1497" s="1" t="str">
        <f t="shared" si="958"/>
        <v>01</v>
      </c>
      <c r="S1497" s="1" t="str">
        <f t="shared" si="944"/>
        <v>04</v>
      </c>
      <c r="T1497" s="1" t="str">
        <f t="shared" si="959"/>
        <v>False</v>
      </c>
      <c r="U1497" s="1" t="str">
        <f t="shared" si="960"/>
        <v>True</v>
      </c>
      <c r="V1497" s="1" t="str">
        <f>"U0028272"</f>
        <v>U0028272</v>
      </c>
      <c r="W1497" s="1">
        <v>1</v>
      </c>
      <c r="Y1497" s="1">
        <v>0</v>
      </c>
      <c r="Z1497" s="1">
        <v>0</v>
      </c>
      <c r="AB1497" s="1" t="str">
        <f t="shared" si="946"/>
        <v>SMU</v>
      </c>
      <c r="AI1497" s="1" t="str">
        <f t="shared" si="961"/>
        <v>F11</v>
      </c>
      <c r="AJ1497" s="1" t="str">
        <f t="shared" si="970"/>
        <v>MAN</v>
      </c>
      <c r="AK1497" s="1" t="str">
        <f t="shared" si="962"/>
        <v>PA</v>
      </c>
      <c r="AP1497" s="1" t="str">
        <f t="shared" si="963"/>
        <v>False</v>
      </c>
      <c r="AR1497" s="1" t="str">
        <f>"RUMBO"</f>
        <v>RUMBO</v>
      </c>
      <c r="AY1497" s="1" t="str">
        <f t="shared" si="964"/>
        <v>PF</v>
      </c>
      <c r="AZ1497" s="1">
        <v>0</v>
      </c>
      <c r="BA1497" s="1">
        <v>0</v>
      </c>
      <c r="BB1497" s="1">
        <v>0</v>
      </c>
      <c r="BC1497" s="1">
        <v>0</v>
      </c>
      <c r="BD1497" s="1">
        <v>0</v>
      </c>
      <c r="BE1497" s="1" t="str">
        <f>"MBO TWILL CANVAS"</f>
        <v>MBO TWILL CANVAS</v>
      </c>
      <c r="BF1497" s="1" t="str">
        <f t="shared" si="965"/>
        <v>Bonis SpA</v>
      </c>
    </row>
    <row r="1498" spans="2:58" x14ac:dyDescent="0.25">
      <c r="B1498" s="1">
        <v>2566</v>
      </c>
      <c r="C1498" s="1" t="str">
        <f>"RUMBO4186S7/C1"</f>
        <v>RUMBO4186S7/C1</v>
      </c>
      <c r="E1498" s="1" t="str">
        <f>"44"</f>
        <v>44</v>
      </c>
      <c r="F1498" s="1" t="str">
        <f t="shared" si="953"/>
        <v>BONIS SPA</v>
      </c>
      <c r="G1498" s="1" t="str">
        <f t="shared" si="943"/>
        <v>STOCK SCAFFALE MP</v>
      </c>
      <c r="H1498" s="1" t="str">
        <f t="shared" si="978"/>
        <v>BLK</v>
      </c>
      <c r="K1498" s="1">
        <v>1</v>
      </c>
      <c r="L1498" s="1" t="str">
        <f t="shared" si="954"/>
        <v>01</v>
      </c>
      <c r="M1498" s="1" t="str">
        <f t="shared" si="945"/>
        <v>409</v>
      </c>
      <c r="N1498" s="1" t="str">
        <f t="shared" si="968"/>
        <v>016</v>
      </c>
      <c r="O1498" s="1" t="str">
        <f t="shared" si="955"/>
        <v>00</v>
      </c>
      <c r="P1498" s="1" t="str">
        <f t="shared" si="956"/>
        <v>S</v>
      </c>
      <c r="Q1498" s="1" t="str">
        <f t="shared" si="957"/>
        <v>P</v>
      </c>
      <c r="R1498" s="1" t="str">
        <f t="shared" si="958"/>
        <v>01</v>
      </c>
      <c r="S1498" s="1" t="str">
        <f t="shared" si="944"/>
        <v>04</v>
      </c>
      <c r="T1498" s="1" t="str">
        <f t="shared" si="959"/>
        <v>False</v>
      </c>
      <c r="U1498" s="1" t="str">
        <f t="shared" si="960"/>
        <v>True</v>
      </c>
      <c r="V1498" s="1" t="str">
        <f>"U0028272"</f>
        <v>U0028272</v>
      </c>
      <c r="W1498" s="1">
        <v>1</v>
      </c>
      <c r="Y1498" s="1">
        <v>0</v>
      </c>
      <c r="Z1498" s="1">
        <v>0</v>
      </c>
      <c r="AB1498" s="1" t="str">
        <f t="shared" si="946"/>
        <v>SMU</v>
      </c>
      <c r="AI1498" s="1" t="str">
        <f t="shared" si="961"/>
        <v>F11</v>
      </c>
      <c r="AJ1498" s="1" t="str">
        <f t="shared" si="970"/>
        <v>MAN</v>
      </c>
      <c r="AK1498" s="1" t="str">
        <f t="shared" si="962"/>
        <v>PA</v>
      </c>
      <c r="AP1498" s="1" t="str">
        <f t="shared" si="963"/>
        <v>False</v>
      </c>
      <c r="AR1498" s="1" t="str">
        <f>"RUMBO"</f>
        <v>RUMBO</v>
      </c>
      <c r="AY1498" s="1" t="str">
        <f t="shared" si="964"/>
        <v>PF</v>
      </c>
      <c r="AZ1498" s="1">
        <v>0</v>
      </c>
      <c r="BA1498" s="1">
        <v>0</v>
      </c>
      <c r="BB1498" s="1">
        <v>0</v>
      </c>
      <c r="BC1498" s="1">
        <v>0</v>
      </c>
      <c r="BD1498" s="1">
        <v>0</v>
      </c>
      <c r="BE1498" s="1" t="str">
        <f>"MBO TWILL CANVAS"</f>
        <v>MBO TWILL CANVAS</v>
      </c>
      <c r="BF1498" s="1" t="str">
        <f t="shared" si="965"/>
        <v>Bonis SpA</v>
      </c>
    </row>
    <row r="1499" spans="2:58" x14ac:dyDescent="0.25">
      <c r="B1499" s="1">
        <v>2566</v>
      </c>
      <c r="C1499" s="1" t="str">
        <f t="shared" ref="C1499:C1505" si="979">"RUMBA4187S7/C1"</f>
        <v>RUMBA4187S7/C1</v>
      </c>
      <c r="E1499" s="1" t="str">
        <f>"37"</f>
        <v>37</v>
      </c>
      <c r="F1499" s="1" t="str">
        <f t="shared" si="953"/>
        <v>BONIS SPA</v>
      </c>
      <c r="G1499" s="1" t="str">
        <f t="shared" si="943"/>
        <v>STOCK SCAFFALE MP</v>
      </c>
      <c r="H1499" s="1" t="str">
        <f t="shared" si="978"/>
        <v>BLK</v>
      </c>
      <c r="K1499" s="1">
        <v>2</v>
      </c>
      <c r="L1499" s="1" t="str">
        <f t="shared" si="954"/>
        <v>01</v>
      </c>
      <c r="M1499" s="1" t="str">
        <f t="shared" si="945"/>
        <v>409</v>
      </c>
      <c r="N1499" s="1" t="str">
        <f t="shared" si="968"/>
        <v>016</v>
      </c>
      <c r="O1499" s="1" t="str">
        <f t="shared" si="955"/>
        <v>00</v>
      </c>
      <c r="P1499" s="1" t="str">
        <f t="shared" si="956"/>
        <v>S</v>
      </c>
      <c r="Q1499" s="1" t="str">
        <f t="shared" si="957"/>
        <v>P</v>
      </c>
      <c r="R1499" s="1" t="str">
        <f t="shared" si="958"/>
        <v>01</v>
      </c>
      <c r="S1499" s="1" t="str">
        <f t="shared" si="944"/>
        <v>04</v>
      </c>
      <c r="T1499" s="1" t="str">
        <f t="shared" si="959"/>
        <v>False</v>
      </c>
      <c r="U1499" s="1" t="str">
        <f t="shared" si="960"/>
        <v>True</v>
      </c>
      <c r="V1499" s="1" t="str">
        <f t="shared" ref="V1499:V1505" si="980">"U0028273"</f>
        <v>U0028273</v>
      </c>
      <c r="W1499" s="1">
        <v>1</v>
      </c>
      <c r="Y1499" s="1">
        <v>0</v>
      </c>
      <c r="Z1499" s="1">
        <v>0</v>
      </c>
      <c r="AB1499" s="1" t="str">
        <f t="shared" si="946"/>
        <v>SMU</v>
      </c>
      <c r="AI1499" s="1" t="str">
        <f t="shared" si="961"/>
        <v>F11</v>
      </c>
      <c r="AJ1499" s="1" t="str">
        <f t="shared" ref="AJ1499:AJ1505" si="981">"WOMAN"</f>
        <v>WOMAN</v>
      </c>
      <c r="AK1499" s="1" t="str">
        <f t="shared" si="962"/>
        <v>PA</v>
      </c>
      <c r="AP1499" s="1" t="str">
        <f t="shared" si="963"/>
        <v>False</v>
      </c>
      <c r="AR1499" s="1" t="str">
        <f t="shared" ref="AR1499:AR1505" si="982">"RUMBA"</f>
        <v>RUMBA</v>
      </c>
      <c r="AY1499" s="1" t="str">
        <f t="shared" si="964"/>
        <v>PF</v>
      </c>
      <c r="AZ1499" s="1">
        <v>0</v>
      </c>
      <c r="BA1499" s="1">
        <v>0</v>
      </c>
      <c r="BB1499" s="1">
        <v>0</v>
      </c>
      <c r="BC1499" s="1">
        <v>0</v>
      </c>
      <c r="BD1499" s="1">
        <v>0</v>
      </c>
      <c r="BE1499" s="1" t="str">
        <f t="shared" ref="BE1499:BE1505" si="983">"SUOLA RUMBA TWILL CANVAS"</f>
        <v>SUOLA RUMBA TWILL CANVAS</v>
      </c>
      <c r="BF1499" s="1" t="str">
        <f t="shared" si="965"/>
        <v>Bonis SpA</v>
      </c>
    </row>
    <row r="1500" spans="2:58" x14ac:dyDescent="0.25">
      <c r="B1500" s="1">
        <v>2566</v>
      </c>
      <c r="C1500" s="1" t="str">
        <f t="shared" si="979"/>
        <v>RUMBA4187S7/C1</v>
      </c>
      <c r="E1500" s="1" t="str">
        <f>"36"</f>
        <v>36</v>
      </c>
      <c r="F1500" s="1" t="str">
        <f t="shared" si="953"/>
        <v>BONIS SPA</v>
      </c>
      <c r="G1500" s="1" t="str">
        <f t="shared" si="943"/>
        <v>STOCK SCAFFALE MP</v>
      </c>
      <c r="H1500" s="1" t="str">
        <f t="shared" si="978"/>
        <v>BLK</v>
      </c>
      <c r="K1500" s="1">
        <v>1</v>
      </c>
      <c r="L1500" s="1" t="str">
        <f t="shared" si="954"/>
        <v>01</v>
      </c>
      <c r="M1500" s="1" t="str">
        <f t="shared" si="945"/>
        <v>409</v>
      </c>
      <c r="N1500" s="1" t="str">
        <f t="shared" si="968"/>
        <v>016</v>
      </c>
      <c r="O1500" s="1" t="str">
        <f t="shared" si="955"/>
        <v>00</v>
      </c>
      <c r="P1500" s="1" t="str">
        <f t="shared" si="956"/>
        <v>S</v>
      </c>
      <c r="Q1500" s="1" t="str">
        <f t="shared" si="957"/>
        <v>P</v>
      </c>
      <c r="R1500" s="1" t="str">
        <f t="shared" si="958"/>
        <v>01</v>
      </c>
      <c r="S1500" s="1" t="str">
        <f t="shared" si="944"/>
        <v>04</v>
      </c>
      <c r="T1500" s="1" t="str">
        <f t="shared" si="959"/>
        <v>False</v>
      </c>
      <c r="U1500" s="1" t="str">
        <f t="shared" si="960"/>
        <v>True</v>
      </c>
      <c r="V1500" s="1" t="str">
        <f t="shared" si="980"/>
        <v>U0028273</v>
      </c>
      <c r="W1500" s="1">
        <v>1</v>
      </c>
      <c r="Y1500" s="1">
        <v>0</v>
      </c>
      <c r="Z1500" s="1">
        <v>0</v>
      </c>
      <c r="AB1500" s="1" t="str">
        <f t="shared" si="946"/>
        <v>SMU</v>
      </c>
      <c r="AI1500" s="1" t="str">
        <f t="shared" si="961"/>
        <v>F11</v>
      </c>
      <c r="AJ1500" s="1" t="str">
        <f t="shared" si="981"/>
        <v>WOMAN</v>
      </c>
      <c r="AK1500" s="1" t="str">
        <f t="shared" si="962"/>
        <v>PA</v>
      </c>
      <c r="AP1500" s="1" t="str">
        <f t="shared" si="963"/>
        <v>False</v>
      </c>
      <c r="AR1500" s="1" t="str">
        <f t="shared" si="982"/>
        <v>RUMBA</v>
      </c>
      <c r="AY1500" s="1" t="str">
        <f t="shared" si="964"/>
        <v>PF</v>
      </c>
      <c r="AZ1500" s="1">
        <v>0</v>
      </c>
      <c r="BA1500" s="1">
        <v>0</v>
      </c>
      <c r="BB1500" s="1">
        <v>0</v>
      </c>
      <c r="BC1500" s="1">
        <v>0</v>
      </c>
      <c r="BD1500" s="1">
        <v>0</v>
      </c>
      <c r="BE1500" s="1" t="str">
        <f t="shared" si="983"/>
        <v>SUOLA RUMBA TWILL CANVAS</v>
      </c>
      <c r="BF1500" s="1" t="str">
        <f t="shared" si="965"/>
        <v>Bonis SpA</v>
      </c>
    </row>
    <row r="1501" spans="2:58" x14ac:dyDescent="0.25">
      <c r="B1501" s="1">
        <v>2566</v>
      </c>
      <c r="C1501" s="1" t="str">
        <f t="shared" si="979"/>
        <v>RUMBA4187S7/C1</v>
      </c>
      <c r="E1501" s="1" t="str">
        <f>"39"</f>
        <v>39</v>
      </c>
      <c r="F1501" s="1" t="str">
        <f t="shared" si="953"/>
        <v>BONIS SPA</v>
      </c>
      <c r="G1501" s="1" t="str">
        <f t="shared" si="943"/>
        <v>STOCK SCAFFALE MP</v>
      </c>
      <c r="H1501" s="1" t="str">
        <f t="shared" si="978"/>
        <v>BLK</v>
      </c>
      <c r="K1501" s="1">
        <v>2</v>
      </c>
      <c r="L1501" s="1" t="str">
        <f t="shared" si="954"/>
        <v>01</v>
      </c>
      <c r="M1501" s="1" t="str">
        <f t="shared" si="945"/>
        <v>409</v>
      </c>
      <c r="N1501" s="1" t="str">
        <f t="shared" si="968"/>
        <v>016</v>
      </c>
      <c r="O1501" s="1" t="str">
        <f t="shared" si="955"/>
        <v>00</v>
      </c>
      <c r="P1501" s="1" t="str">
        <f t="shared" si="956"/>
        <v>S</v>
      </c>
      <c r="Q1501" s="1" t="str">
        <f t="shared" si="957"/>
        <v>P</v>
      </c>
      <c r="R1501" s="1" t="str">
        <f t="shared" si="958"/>
        <v>01</v>
      </c>
      <c r="S1501" s="1" t="str">
        <f t="shared" si="944"/>
        <v>04</v>
      </c>
      <c r="T1501" s="1" t="str">
        <f t="shared" si="959"/>
        <v>False</v>
      </c>
      <c r="U1501" s="1" t="str">
        <f t="shared" si="960"/>
        <v>True</v>
      </c>
      <c r="V1501" s="1" t="str">
        <f t="shared" si="980"/>
        <v>U0028273</v>
      </c>
      <c r="W1501" s="1">
        <v>1</v>
      </c>
      <c r="Y1501" s="1">
        <v>0</v>
      </c>
      <c r="Z1501" s="1">
        <v>0</v>
      </c>
      <c r="AB1501" s="1" t="str">
        <f t="shared" si="946"/>
        <v>SMU</v>
      </c>
      <c r="AI1501" s="1" t="str">
        <f t="shared" si="961"/>
        <v>F11</v>
      </c>
      <c r="AJ1501" s="1" t="str">
        <f t="shared" si="981"/>
        <v>WOMAN</v>
      </c>
      <c r="AK1501" s="1" t="str">
        <f t="shared" si="962"/>
        <v>PA</v>
      </c>
      <c r="AP1501" s="1" t="str">
        <f t="shared" si="963"/>
        <v>False</v>
      </c>
      <c r="AR1501" s="1" t="str">
        <f t="shared" si="982"/>
        <v>RUMBA</v>
      </c>
      <c r="AY1501" s="1" t="str">
        <f t="shared" si="964"/>
        <v>PF</v>
      </c>
      <c r="AZ1501" s="1">
        <v>0</v>
      </c>
      <c r="BA1501" s="1">
        <v>0</v>
      </c>
      <c r="BB1501" s="1">
        <v>0</v>
      </c>
      <c r="BC1501" s="1">
        <v>0</v>
      </c>
      <c r="BD1501" s="1">
        <v>0</v>
      </c>
      <c r="BE1501" s="1" t="str">
        <f t="shared" si="983"/>
        <v>SUOLA RUMBA TWILL CANVAS</v>
      </c>
      <c r="BF1501" s="1" t="str">
        <f t="shared" si="965"/>
        <v>Bonis SpA</v>
      </c>
    </row>
    <row r="1502" spans="2:58" x14ac:dyDescent="0.25">
      <c r="B1502" s="1">
        <v>2566</v>
      </c>
      <c r="C1502" s="1" t="str">
        <f t="shared" si="979"/>
        <v>RUMBA4187S7/C1</v>
      </c>
      <c r="E1502" s="1" t="str">
        <f>"41"</f>
        <v>41</v>
      </c>
      <c r="F1502" s="1" t="str">
        <f t="shared" si="953"/>
        <v>BONIS SPA</v>
      </c>
      <c r="G1502" s="1" t="str">
        <f t="shared" si="943"/>
        <v>STOCK SCAFFALE MP</v>
      </c>
      <c r="H1502" s="1" t="str">
        <f t="shared" si="978"/>
        <v>BLK</v>
      </c>
      <c r="K1502" s="1">
        <v>1</v>
      </c>
      <c r="L1502" s="1" t="str">
        <f t="shared" si="954"/>
        <v>01</v>
      </c>
      <c r="M1502" s="1" t="str">
        <f t="shared" si="945"/>
        <v>409</v>
      </c>
      <c r="N1502" s="1" t="str">
        <f t="shared" si="968"/>
        <v>016</v>
      </c>
      <c r="O1502" s="1" t="str">
        <f t="shared" si="955"/>
        <v>00</v>
      </c>
      <c r="P1502" s="1" t="str">
        <f t="shared" si="956"/>
        <v>S</v>
      </c>
      <c r="Q1502" s="1" t="str">
        <f t="shared" si="957"/>
        <v>P</v>
      </c>
      <c r="R1502" s="1" t="str">
        <f t="shared" si="958"/>
        <v>01</v>
      </c>
      <c r="S1502" s="1" t="str">
        <f t="shared" si="944"/>
        <v>04</v>
      </c>
      <c r="T1502" s="1" t="str">
        <f t="shared" si="959"/>
        <v>False</v>
      </c>
      <c r="U1502" s="1" t="str">
        <f t="shared" si="960"/>
        <v>True</v>
      </c>
      <c r="V1502" s="1" t="str">
        <f t="shared" si="980"/>
        <v>U0028273</v>
      </c>
      <c r="W1502" s="1">
        <v>1</v>
      </c>
      <c r="Y1502" s="1">
        <v>0</v>
      </c>
      <c r="Z1502" s="1">
        <v>0</v>
      </c>
      <c r="AB1502" s="1" t="str">
        <f t="shared" si="946"/>
        <v>SMU</v>
      </c>
      <c r="AI1502" s="1" t="str">
        <f t="shared" si="961"/>
        <v>F11</v>
      </c>
      <c r="AJ1502" s="1" t="str">
        <f t="shared" si="981"/>
        <v>WOMAN</v>
      </c>
      <c r="AK1502" s="1" t="str">
        <f t="shared" si="962"/>
        <v>PA</v>
      </c>
      <c r="AP1502" s="1" t="str">
        <f t="shared" si="963"/>
        <v>False</v>
      </c>
      <c r="AR1502" s="1" t="str">
        <f t="shared" si="982"/>
        <v>RUMBA</v>
      </c>
      <c r="AY1502" s="1" t="str">
        <f t="shared" si="964"/>
        <v>PF</v>
      </c>
      <c r="AZ1502" s="1">
        <v>0</v>
      </c>
      <c r="BA1502" s="1">
        <v>0</v>
      </c>
      <c r="BB1502" s="1">
        <v>0</v>
      </c>
      <c r="BC1502" s="1">
        <v>0</v>
      </c>
      <c r="BD1502" s="1">
        <v>0</v>
      </c>
      <c r="BE1502" s="1" t="str">
        <f t="shared" si="983"/>
        <v>SUOLA RUMBA TWILL CANVAS</v>
      </c>
      <c r="BF1502" s="1" t="str">
        <f t="shared" si="965"/>
        <v>Bonis SpA</v>
      </c>
    </row>
    <row r="1503" spans="2:58" x14ac:dyDescent="0.25">
      <c r="B1503" s="1">
        <v>2566</v>
      </c>
      <c r="C1503" s="1" t="str">
        <f t="shared" si="979"/>
        <v>RUMBA4187S7/C1</v>
      </c>
      <c r="E1503" s="1" t="str">
        <f>"40"</f>
        <v>40</v>
      </c>
      <c r="F1503" s="1" t="str">
        <f t="shared" si="953"/>
        <v>BONIS SPA</v>
      </c>
      <c r="G1503" s="1" t="str">
        <f t="shared" si="943"/>
        <v>STOCK SCAFFALE MP</v>
      </c>
      <c r="H1503" s="1" t="str">
        <f t="shared" si="978"/>
        <v>BLK</v>
      </c>
      <c r="K1503" s="1">
        <v>1</v>
      </c>
      <c r="L1503" s="1" t="str">
        <f t="shared" si="954"/>
        <v>01</v>
      </c>
      <c r="M1503" s="1" t="str">
        <f t="shared" si="945"/>
        <v>409</v>
      </c>
      <c r="N1503" s="1" t="str">
        <f t="shared" si="968"/>
        <v>016</v>
      </c>
      <c r="O1503" s="1" t="str">
        <f t="shared" si="955"/>
        <v>00</v>
      </c>
      <c r="P1503" s="1" t="str">
        <f t="shared" si="956"/>
        <v>S</v>
      </c>
      <c r="Q1503" s="1" t="str">
        <f t="shared" si="957"/>
        <v>P</v>
      </c>
      <c r="R1503" s="1" t="str">
        <f t="shared" si="958"/>
        <v>01</v>
      </c>
      <c r="S1503" s="1" t="str">
        <f t="shared" si="944"/>
        <v>04</v>
      </c>
      <c r="T1503" s="1" t="str">
        <f t="shared" si="959"/>
        <v>False</v>
      </c>
      <c r="U1503" s="1" t="str">
        <f t="shared" si="960"/>
        <v>True</v>
      </c>
      <c r="V1503" s="1" t="str">
        <f t="shared" si="980"/>
        <v>U0028273</v>
      </c>
      <c r="W1503" s="1">
        <v>1</v>
      </c>
      <c r="Y1503" s="1">
        <v>0</v>
      </c>
      <c r="Z1503" s="1">
        <v>0</v>
      </c>
      <c r="AB1503" s="1" t="str">
        <f t="shared" si="946"/>
        <v>SMU</v>
      </c>
      <c r="AI1503" s="1" t="str">
        <f t="shared" si="961"/>
        <v>F11</v>
      </c>
      <c r="AJ1503" s="1" t="str">
        <f t="shared" si="981"/>
        <v>WOMAN</v>
      </c>
      <c r="AK1503" s="1" t="str">
        <f t="shared" si="962"/>
        <v>PA</v>
      </c>
      <c r="AP1503" s="1" t="str">
        <f t="shared" si="963"/>
        <v>False</v>
      </c>
      <c r="AR1503" s="1" t="str">
        <f t="shared" si="982"/>
        <v>RUMBA</v>
      </c>
      <c r="AY1503" s="1" t="str">
        <f t="shared" si="964"/>
        <v>PF</v>
      </c>
      <c r="AZ1503" s="1">
        <v>0</v>
      </c>
      <c r="BA1503" s="1">
        <v>0</v>
      </c>
      <c r="BB1503" s="1">
        <v>0</v>
      </c>
      <c r="BC1503" s="1">
        <v>0</v>
      </c>
      <c r="BD1503" s="1">
        <v>0</v>
      </c>
      <c r="BE1503" s="1" t="str">
        <f t="shared" si="983"/>
        <v>SUOLA RUMBA TWILL CANVAS</v>
      </c>
      <c r="BF1503" s="1" t="str">
        <f t="shared" si="965"/>
        <v>Bonis SpA</v>
      </c>
    </row>
    <row r="1504" spans="2:58" x14ac:dyDescent="0.25">
      <c r="B1504" s="1">
        <v>2566</v>
      </c>
      <c r="C1504" s="1" t="str">
        <f t="shared" si="979"/>
        <v>RUMBA4187S7/C1</v>
      </c>
      <c r="E1504" s="1" t="str">
        <f>"40"</f>
        <v>40</v>
      </c>
      <c r="F1504" s="1" t="str">
        <f t="shared" si="953"/>
        <v>BONIS SPA</v>
      </c>
      <c r="G1504" s="1" t="str">
        <f t="shared" si="943"/>
        <v>STOCK SCAFFALE MP</v>
      </c>
      <c r="H1504" s="1" t="str">
        <f>"WHI"</f>
        <v>WHI</v>
      </c>
      <c r="K1504" s="1">
        <v>2</v>
      </c>
      <c r="L1504" s="1" t="str">
        <f t="shared" si="954"/>
        <v>01</v>
      </c>
      <c r="M1504" s="1" t="str">
        <f t="shared" si="945"/>
        <v>409</v>
      </c>
      <c r="N1504" s="1" t="str">
        <f t="shared" si="968"/>
        <v>016</v>
      </c>
      <c r="O1504" s="1" t="str">
        <f t="shared" si="955"/>
        <v>00</v>
      </c>
      <c r="P1504" s="1" t="str">
        <f t="shared" si="956"/>
        <v>S</v>
      </c>
      <c r="Q1504" s="1" t="str">
        <f t="shared" si="957"/>
        <v>P</v>
      </c>
      <c r="R1504" s="1" t="str">
        <f t="shared" si="958"/>
        <v>01</v>
      </c>
      <c r="S1504" s="1" t="str">
        <f t="shared" si="944"/>
        <v>04</v>
      </c>
      <c r="T1504" s="1" t="str">
        <f t="shared" si="959"/>
        <v>False</v>
      </c>
      <c r="U1504" s="1" t="str">
        <f t="shared" si="960"/>
        <v>True</v>
      </c>
      <c r="V1504" s="1" t="str">
        <f t="shared" si="980"/>
        <v>U0028273</v>
      </c>
      <c r="W1504" s="1">
        <v>1</v>
      </c>
      <c r="Y1504" s="1">
        <v>0</v>
      </c>
      <c r="Z1504" s="1">
        <v>0</v>
      </c>
      <c r="AB1504" s="1" t="str">
        <f t="shared" si="946"/>
        <v>SMU</v>
      </c>
      <c r="AI1504" s="1" t="str">
        <f>"106"</f>
        <v>106</v>
      </c>
      <c r="AJ1504" s="1" t="str">
        <f t="shared" si="981"/>
        <v>WOMAN</v>
      </c>
      <c r="AK1504" s="1" t="str">
        <f t="shared" si="962"/>
        <v>PA</v>
      </c>
      <c r="AP1504" s="1" t="str">
        <f t="shared" si="963"/>
        <v>False</v>
      </c>
      <c r="AR1504" s="1" t="str">
        <f t="shared" si="982"/>
        <v>RUMBA</v>
      </c>
      <c r="AY1504" s="1" t="str">
        <f t="shared" si="964"/>
        <v>PF</v>
      </c>
      <c r="AZ1504" s="1">
        <v>0</v>
      </c>
      <c r="BA1504" s="1">
        <v>0</v>
      </c>
      <c r="BB1504" s="1">
        <v>0</v>
      </c>
      <c r="BC1504" s="1">
        <v>0</v>
      </c>
      <c r="BD1504" s="1">
        <v>0</v>
      </c>
      <c r="BE1504" s="1" t="str">
        <f t="shared" si="983"/>
        <v>SUOLA RUMBA TWILL CANVAS</v>
      </c>
      <c r="BF1504" s="1" t="str">
        <f t="shared" si="965"/>
        <v>Bonis SpA</v>
      </c>
    </row>
    <row r="1505" spans="2:58" x14ac:dyDescent="0.25">
      <c r="B1505" s="1">
        <v>2566</v>
      </c>
      <c r="C1505" s="1" t="str">
        <f t="shared" si="979"/>
        <v>RUMBA4187S7/C1</v>
      </c>
      <c r="E1505" s="1" t="str">
        <f>"36"</f>
        <v>36</v>
      </c>
      <c r="F1505" s="1" t="str">
        <f t="shared" si="953"/>
        <v>BONIS SPA</v>
      </c>
      <c r="G1505" s="1" t="str">
        <f t="shared" si="943"/>
        <v>STOCK SCAFFALE MP</v>
      </c>
      <c r="H1505" s="1" t="str">
        <f>"WHI"</f>
        <v>WHI</v>
      </c>
      <c r="K1505" s="1">
        <v>1</v>
      </c>
      <c r="L1505" s="1" t="str">
        <f t="shared" si="954"/>
        <v>01</v>
      </c>
      <c r="M1505" s="1" t="str">
        <f t="shared" si="945"/>
        <v>409</v>
      </c>
      <c r="N1505" s="1" t="str">
        <f t="shared" si="968"/>
        <v>016</v>
      </c>
      <c r="O1505" s="1" t="str">
        <f t="shared" si="955"/>
        <v>00</v>
      </c>
      <c r="P1505" s="1" t="str">
        <f t="shared" si="956"/>
        <v>S</v>
      </c>
      <c r="Q1505" s="1" t="str">
        <f t="shared" si="957"/>
        <v>P</v>
      </c>
      <c r="R1505" s="1" t="str">
        <f t="shared" si="958"/>
        <v>01</v>
      </c>
      <c r="S1505" s="1" t="str">
        <f t="shared" si="944"/>
        <v>04</v>
      </c>
      <c r="T1505" s="1" t="str">
        <f t="shared" si="959"/>
        <v>False</v>
      </c>
      <c r="U1505" s="1" t="str">
        <f t="shared" si="960"/>
        <v>True</v>
      </c>
      <c r="V1505" s="1" t="str">
        <f t="shared" si="980"/>
        <v>U0028273</v>
      </c>
      <c r="W1505" s="1">
        <v>1</v>
      </c>
      <c r="Y1505" s="1">
        <v>0</v>
      </c>
      <c r="Z1505" s="1">
        <v>0</v>
      </c>
      <c r="AB1505" s="1" t="str">
        <f t="shared" si="946"/>
        <v>SMU</v>
      </c>
      <c r="AI1505" s="1" t="str">
        <f>"106"</f>
        <v>106</v>
      </c>
      <c r="AJ1505" s="1" t="str">
        <f t="shared" si="981"/>
        <v>WOMAN</v>
      </c>
      <c r="AK1505" s="1" t="str">
        <f t="shared" si="962"/>
        <v>PA</v>
      </c>
      <c r="AP1505" s="1" t="str">
        <f t="shared" si="963"/>
        <v>False</v>
      </c>
      <c r="AR1505" s="1" t="str">
        <f t="shared" si="982"/>
        <v>RUMBA</v>
      </c>
      <c r="AY1505" s="1" t="str">
        <f t="shared" si="964"/>
        <v>PF</v>
      </c>
      <c r="AZ1505" s="1">
        <v>0</v>
      </c>
      <c r="BA1505" s="1">
        <v>0</v>
      </c>
      <c r="BB1505" s="1">
        <v>0</v>
      </c>
      <c r="BC1505" s="1">
        <v>0</v>
      </c>
      <c r="BD1505" s="1">
        <v>0</v>
      </c>
      <c r="BE1505" s="1" t="str">
        <f t="shared" si="983"/>
        <v>SUOLA RUMBA TWILL CANVAS</v>
      </c>
      <c r="BF1505" s="1" t="str">
        <f t="shared" si="965"/>
        <v>Bonis SpA</v>
      </c>
    </row>
    <row r="1506" spans="2:58" x14ac:dyDescent="0.25">
      <c r="B1506" s="1">
        <v>2566</v>
      </c>
      <c r="C1506" s="1" t="str">
        <f t="shared" ref="C1506:C1511" si="984">"SOLAN4189S7/C1"</f>
        <v>SOLAN4189S7/C1</v>
      </c>
      <c r="E1506" s="1" t="str">
        <f>"40"</f>
        <v>40</v>
      </c>
      <c r="F1506" s="1" t="str">
        <f t="shared" si="953"/>
        <v>BONIS SPA</v>
      </c>
      <c r="G1506" s="1" t="str">
        <f t="shared" si="943"/>
        <v>STOCK SCAFFALE MP</v>
      </c>
      <c r="H1506" s="1" t="str">
        <f t="shared" ref="H1506:H1511" si="985">"BEI"</f>
        <v>BEI</v>
      </c>
      <c r="K1506" s="1">
        <v>1</v>
      </c>
      <c r="L1506" s="1" t="str">
        <f t="shared" si="954"/>
        <v>01</v>
      </c>
      <c r="M1506" s="1" t="str">
        <f t="shared" si="945"/>
        <v>409</v>
      </c>
      <c r="N1506" s="1" t="str">
        <f t="shared" si="968"/>
        <v>016</v>
      </c>
      <c r="O1506" s="1" t="str">
        <f t="shared" si="955"/>
        <v>00</v>
      </c>
      <c r="P1506" s="1" t="str">
        <f t="shared" si="956"/>
        <v>S</v>
      </c>
      <c r="Q1506" s="1" t="str">
        <f t="shared" si="957"/>
        <v>P</v>
      </c>
      <c r="R1506" s="1" t="str">
        <f t="shared" si="958"/>
        <v>01</v>
      </c>
      <c r="S1506" s="1" t="str">
        <f t="shared" si="944"/>
        <v>04</v>
      </c>
      <c r="T1506" s="1" t="str">
        <f t="shared" si="959"/>
        <v>False</v>
      </c>
      <c r="U1506" s="1" t="str">
        <f t="shared" si="960"/>
        <v>True</v>
      </c>
      <c r="V1506" s="1" t="str">
        <f t="shared" ref="V1506:V1511" si="986">"U0028275"</f>
        <v>U0028275</v>
      </c>
      <c r="W1506" s="1">
        <v>1</v>
      </c>
      <c r="Y1506" s="1">
        <v>0</v>
      </c>
      <c r="Z1506" s="1">
        <v>0</v>
      </c>
      <c r="AB1506" s="1" t="str">
        <f t="shared" si="946"/>
        <v>SMU</v>
      </c>
      <c r="AI1506" s="1" t="str">
        <f t="shared" ref="AI1506:AI1511" si="987">"F11"</f>
        <v>F11</v>
      </c>
      <c r="AJ1506" s="1" t="str">
        <f t="shared" ref="AJ1506:AJ1511" si="988">"MAN"</f>
        <v>MAN</v>
      </c>
      <c r="AK1506" s="1" t="str">
        <f t="shared" si="962"/>
        <v>PA</v>
      </c>
      <c r="AP1506" s="1" t="str">
        <f t="shared" si="963"/>
        <v>False</v>
      </c>
      <c r="AR1506" s="1" t="str">
        <f t="shared" ref="AR1506:AR1511" si="989">"SOLAN"</f>
        <v>SOLAN</v>
      </c>
      <c r="AY1506" s="1" t="str">
        <f t="shared" si="964"/>
        <v>PF</v>
      </c>
      <c r="AZ1506" s="1">
        <v>0</v>
      </c>
      <c r="BA1506" s="1">
        <v>0</v>
      </c>
      <c r="BB1506" s="1">
        <v>0</v>
      </c>
      <c r="BC1506" s="1">
        <v>0</v>
      </c>
      <c r="BD1506" s="1">
        <v>0</v>
      </c>
      <c r="BE1506" s="1" t="str">
        <f t="shared" ref="BE1506:BE1511" si="990">"S.CADET GOMMA  TWILL CANVAS"</f>
        <v>S.CADET GOMMA  TWILL CANVAS</v>
      </c>
      <c r="BF1506" s="1" t="str">
        <f t="shared" si="965"/>
        <v>Bonis SpA</v>
      </c>
    </row>
    <row r="1507" spans="2:58" x14ac:dyDescent="0.25">
      <c r="B1507" s="1">
        <v>2566</v>
      </c>
      <c r="C1507" s="1" t="str">
        <f t="shared" si="984"/>
        <v>SOLAN4189S7/C1</v>
      </c>
      <c r="E1507" s="1" t="str">
        <f>"41"</f>
        <v>41</v>
      </c>
      <c r="F1507" s="1" t="str">
        <f t="shared" si="953"/>
        <v>BONIS SPA</v>
      </c>
      <c r="G1507" s="1" t="str">
        <f t="shared" si="943"/>
        <v>STOCK SCAFFALE MP</v>
      </c>
      <c r="H1507" s="1" t="str">
        <f t="shared" si="985"/>
        <v>BEI</v>
      </c>
      <c r="K1507" s="1">
        <v>1</v>
      </c>
      <c r="L1507" s="1" t="str">
        <f t="shared" si="954"/>
        <v>01</v>
      </c>
      <c r="M1507" s="1" t="str">
        <f t="shared" si="945"/>
        <v>409</v>
      </c>
      <c r="N1507" s="1" t="str">
        <f t="shared" si="968"/>
        <v>016</v>
      </c>
      <c r="O1507" s="1" t="str">
        <f t="shared" si="955"/>
        <v>00</v>
      </c>
      <c r="P1507" s="1" t="str">
        <f t="shared" si="956"/>
        <v>S</v>
      </c>
      <c r="Q1507" s="1" t="str">
        <f t="shared" si="957"/>
        <v>P</v>
      </c>
      <c r="R1507" s="1" t="str">
        <f t="shared" si="958"/>
        <v>01</v>
      </c>
      <c r="S1507" s="1" t="str">
        <f t="shared" si="944"/>
        <v>04</v>
      </c>
      <c r="T1507" s="1" t="str">
        <f t="shared" si="959"/>
        <v>False</v>
      </c>
      <c r="U1507" s="1" t="str">
        <f t="shared" si="960"/>
        <v>True</v>
      </c>
      <c r="V1507" s="1" t="str">
        <f t="shared" si="986"/>
        <v>U0028275</v>
      </c>
      <c r="W1507" s="1">
        <v>1</v>
      </c>
      <c r="Y1507" s="1">
        <v>0</v>
      </c>
      <c r="Z1507" s="1">
        <v>0</v>
      </c>
      <c r="AB1507" s="1" t="str">
        <f t="shared" si="946"/>
        <v>SMU</v>
      </c>
      <c r="AI1507" s="1" t="str">
        <f t="shared" si="987"/>
        <v>F11</v>
      </c>
      <c r="AJ1507" s="1" t="str">
        <f t="shared" si="988"/>
        <v>MAN</v>
      </c>
      <c r="AK1507" s="1" t="str">
        <f t="shared" si="962"/>
        <v>PA</v>
      </c>
      <c r="AP1507" s="1" t="str">
        <f t="shared" si="963"/>
        <v>False</v>
      </c>
      <c r="AR1507" s="1" t="str">
        <f t="shared" si="989"/>
        <v>SOLAN</v>
      </c>
      <c r="AY1507" s="1" t="str">
        <f t="shared" si="964"/>
        <v>PF</v>
      </c>
      <c r="AZ1507" s="1">
        <v>0</v>
      </c>
      <c r="BA1507" s="1">
        <v>0</v>
      </c>
      <c r="BB1507" s="1">
        <v>0</v>
      </c>
      <c r="BC1507" s="1">
        <v>0</v>
      </c>
      <c r="BD1507" s="1">
        <v>0</v>
      </c>
      <c r="BE1507" s="1" t="str">
        <f t="shared" si="990"/>
        <v>S.CADET GOMMA  TWILL CANVAS</v>
      </c>
      <c r="BF1507" s="1" t="str">
        <f t="shared" si="965"/>
        <v>Bonis SpA</v>
      </c>
    </row>
    <row r="1508" spans="2:58" x14ac:dyDescent="0.25">
      <c r="B1508" s="1">
        <v>2566</v>
      </c>
      <c r="C1508" s="1" t="str">
        <f t="shared" si="984"/>
        <v>SOLAN4189S7/C1</v>
      </c>
      <c r="E1508" s="1" t="str">
        <f>"42"</f>
        <v>42</v>
      </c>
      <c r="F1508" s="1" t="str">
        <f t="shared" si="953"/>
        <v>BONIS SPA</v>
      </c>
      <c r="G1508" s="1" t="str">
        <f t="shared" si="943"/>
        <v>STOCK SCAFFALE MP</v>
      </c>
      <c r="H1508" s="1" t="str">
        <f t="shared" si="985"/>
        <v>BEI</v>
      </c>
      <c r="K1508" s="1">
        <v>3</v>
      </c>
      <c r="L1508" s="1" t="str">
        <f t="shared" si="954"/>
        <v>01</v>
      </c>
      <c r="M1508" s="1" t="str">
        <f t="shared" si="945"/>
        <v>409</v>
      </c>
      <c r="N1508" s="1" t="str">
        <f t="shared" si="968"/>
        <v>016</v>
      </c>
      <c r="O1508" s="1" t="str">
        <f t="shared" si="955"/>
        <v>00</v>
      </c>
      <c r="P1508" s="1" t="str">
        <f t="shared" si="956"/>
        <v>S</v>
      </c>
      <c r="Q1508" s="1" t="str">
        <f t="shared" si="957"/>
        <v>P</v>
      </c>
      <c r="R1508" s="1" t="str">
        <f t="shared" si="958"/>
        <v>01</v>
      </c>
      <c r="S1508" s="1" t="str">
        <f t="shared" si="944"/>
        <v>04</v>
      </c>
      <c r="T1508" s="1" t="str">
        <f t="shared" si="959"/>
        <v>False</v>
      </c>
      <c r="U1508" s="1" t="str">
        <f t="shared" si="960"/>
        <v>True</v>
      </c>
      <c r="V1508" s="1" t="str">
        <f t="shared" si="986"/>
        <v>U0028275</v>
      </c>
      <c r="W1508" s="1">
        <v>1</v>
      </c>
      <c r="Y1508" s="1">
        <v>0</v>
      </c>
      <c r="Z1508" s="1">
        <v>0</v>
      </c>
      <c r="AB1508" s="1" t="str">
        <f t="shared" si="946"/>
        <v>SMU</v>
      </c>
      <c r="AI1508" s="1" t="str">
        <f t="shared" si="987"/>
        <v>F11</v>
      </c>
      <c r="AJ1508" s="1" t="str">
        <f t="shared" si="988"/>
        <v>MAN</v>
      </c>
      <c r="AK1508" s="1" t="str">
        <f t="shared" si="962"/>
        <v>PA</v>
      </c>
      <c r="AP1508" s="1" t="str">
        <f t="shared" si="963"/>
        <v>False</v>
      </c>
      <c r="AR1508" s="1" t="str">
        <f t="shared" si="989"/>
        <v>SOLAN</v>
      </c>
      <c r="AY1508" s="1" t="str">
        <f t="shared" si="964"/>
        <v>PF</v>
      </c>
      <c r="AZ1508" s="1">
        <v>0</v>
      </c>
      <c r="BA1508" s="1">
        <v>0</v>
      </c>
      <c r="BB1508" s="1">
        <v>0</v>
      </c>
      <c r="BC1508" s="1">
        <v>0</v>
      </c>
      <c r="BD1508" s="1">
        <v>0</v>
      </c>
      <c r="BE1508" s="1" t="str">
        <f t="shared" si="990"/>
        <v>S.CADET GOMMA  TWILL CANVAS</v>
      </c>
      <c r="BF1508" s="1" t="str">
        <f t="shared" si="965"/>
        <v>Bonis SpA</v>
      </c>
    </row>
    <row r="1509" spans="2:58" x14ac:dyDescent="0.25">
      <c r="B1509" s="1">
        <v>2566</v>
      </c>
      <c r="C1509" s="1" t="str">
        <f t="shared" si="984"/>
        <v>SOLAN4189S7/C1</v>
      </c>
      <c r="E1509" s="1" t="str">
        <f>"43"</f>
        <v>43</v>
      </c>
      <c r="F1509" s="1" t="str">
        <f t="shared" si="953"/>
        <v>BONIS SPA</v>
      </c>
      <c r="G1509" s="1" t="str">
        <f t="shared" si="943"/>
        <v>STOCK SCAFFALE MP</v>
      </c>
      <c r="H1509" s="1" t="str">
        <f t="shared" si="985"/>
        <v>BEI</v>
      </c>
      <c r="K1509" s="1">
        <v>1</v>
      </c>
      <c r="L1509" s="1" t="str">
        <f t="shared" si="954"/>
        <v>01</v>
      </c>
      <c r="M1509" s="1" t="str">
        <f t="shared" si="945"/>
        <v>409</v>
      </c>
      <c r="N1509" s="1" t="str">
        <f t="shared" si="968"/>
        <v>016</v>
      </c>
      <c r="O1509" s="1" t="str">
        <f t="shared" si="955"/>
        <v>00</v>
      </c>
      <c r="P1509" s="1" t="str">
        <f t="shared" si="956"/>
        <v>S</v>
      </c>
      <c r="Q1509" s="1" t="str">
        <f t="shared" si="957"/>
        <v>P</v>
      </c>
      <c r="R1509" s="1" t="str">
        <f t="shared" si="958"/>
        <v>01</v>
      </c>
      <c r="S1509" s="1" t="str">
        <f t="shared" si="944"/>
        <v>04</v>
      </c>
      <c r="T1509" s="1" t="str">
        <f t="shared" si="959"/>
        <v>False</v>
      </c>
      <c r="U1509" s="1" t="str">
        <f t="shared" si="960"/>
        <v>True</v>
      </c>
      <c r="V1509" s="1" t="str">
        <f t="shared" si="986"/>
        <v>U0028275</v>
      </c>
      <c r="W1509" s="1">
        <v>1</v>
      </c>
      <c r="Y1509" s="1">
        <v>0</v>
      </c>
      <c r="Z1509" s="1">
        <v>0</v>
      </c>
      <c r="AB1509" s="1" t="str">
        <f t="shared" si="946"/>
        <v>SMU</v>
      </c>
      <c r="AI1509" s="1" t="str">
        <f t="shared" si="987"/>
        <v>F11</v>
      </c>
      <c r="AJ1509" s="1" t="str">
        <f t="shared" si="988"/>
        <v>MAN</v>
      </c>
      <c r="AK1509" s="1" t="str">
        <f t="shared" si="962"/>
        <v>PA</v>
      </c>
      <c r="AP1509" s="1" t="str">
        <f t="shared" si="963"/>
        <v>False</v>
      </c>
      <c r="AR1509" s="1" t="str">
        <f t="shared" si="989"/>
        <v>SOLAN</v>
      </c>
      <c r="AY1509" s="1" t="str">
        <f t="shared" si="964"/>
        <v>PF</v>
      </c>
      <c r="AZ1509" s="1">
        <v>0</v>
      </c>
      <c r="BA1509" s="1">
        <v>0</v>
      </c>
      <c r="BB1509" s="1">
        <v>0</v>
      </c>
      <c r="BC1509" s="1">
        <v>0</v>
      </c>
      <c r="BD1509" s="1">
        <v>0</v>
      </c>
      <c r="BE1509" s="1" t="str">
        <f t="shared" si="990"/>
        <v>S.CADET GOMMA  TWILL CANVAS</v>
      </c>
      <c r="BF1509" s="1" t="str">
        <f t="shared" si="965"/>
        <v>Bonis SpA</v>
      </c>
    </row>
    <row r="1510" spans="2:58" x14ac:dyDescent="0.25">
      <c r="B1510" s="1">
        <v>2566</v>
      </c>
      <c r="C1510" s="1" t="str">
        <f t="shared" si="984"/>
        <v>SOLAN4189S7/C1</v>
      </c>
      <c r="E1510" s="1" t="str">
        <f>"44"</f>
        <v>44</v>
      </c>
      <c r="F1510" s="1" t="str">
        <f t="shared" si="953"/>
        <v>BONIS SPA</v>
      </c>
      <c r="G1510" s="1" t="str">
        <f t="shared" si="943"/>
        <v>STOCK SCAFFALE MP</v>
      </c>
      <c r="H1510" s="1" t="str">
        <f t="shared" si="985"/>
        <v>BEI</v>
      </c>
      <c r="K1510" s="1">
        <v>2</v>
      </c>
      <c r="L1510" s="1" t="str">
        <f t="shared" si="954"/>
        <v>01</v>
      </c>
      <c r="M1510" s="1" t="str">
        <f t="shared" si="945"/>
        <v>409</v>
      </c>
      <c r="N1510" s="1" t="str">
        <f t="shared" si="968"/>
        <v>016</v>
      </c>
      <c r="O1510" s="1" t="str">
        <f t="shared" si="955"/>
        <v>00</v>
      </c>
      <c r="P1510" s="1" t="str">
        <f t="shared" si="956"/>
        <v>S</v>
      </c>
      <c r="Q1510" s="1" t="str">
        <f t="shared" si="957"/>
        <v>P</v>
      </c>
      <c r="R1510" s="1" t="str">
        <f t="shared" si="958"/>
        <v>01</v>
      </c>
      <c r="S1510" s="1" t="str">
        <f t="shared" si="944"/>
        <v>04</v>
      </c>
      <c r="T1510" s="1" t="str">
        <f t="shared" si="959"/>
        <v>False</v>
      </c>
      <c r="U1510" s="1" t="str">
        <f t="shared" si="960"/>
        <v>True</v>
      </c>
      <c r="V1510" s="1" t="str">
        <f t="shared" si="986"/>
        <v>U0028275</v>
      </c>
      <c r="W1510" s="1">
        <v>1</v>
      </c>
      <c r="Y1510" s="1">
        <v>0</v>
      </c>
      <c r="Z1510" s="1">
        <v>0</v>
      </c>
      <c r="AB1510" s="1" t="str">
        <f t="shared" si="946"/>
        <v>SMU</v>
      </c>
      <c r="AI1510" s="1" t="str">
        <f t="shared" si="987"/>
        <v>F11</v>
      </c>
      <c r="AJ1510" s="1" t="str">
        <f t="shared" si="988"/>
        <v>MAN</v>
      </c>
      <c r="AK1510" s="1" t="str">
        <f t="shared" si="962"/>
        <v>PA</v>
      </c>
      <c r="AP1510" s="1" t="str">
        <f t="shared" si="963"/>
        <v>False</v>
      </c>
      <c r="AR1510" s="1" t="str">
        <f t="shared" si="989"/>
        <v>SOLAN</v>
      </c>
      <c r="AY1510" s="1" t="str">
        <f t="shared" si="964"/>
        <v>PF</v>
      </c>
      <c r="AZ1510" s="1">
        <v>0</v>
      </c>
      <c r="BA1510" s="1">
        <v>0</v>
      </c>
      <c r="BB1510" s="1">
        <v>0</v>
      </c>
      <c r="BC1510" s="1">
        <v>0</v>
      </c>
      <c r="BD1510" s="1">
        <v>0</v>
      </c>
      <c r="BE1510" s="1" t="str">
        <f t="shared" si="990"/>
        <v>S.CADET GOMMA  TWILL CANVAS</v>
      </c>
      <c r="BF1510" s="1" t="str">
        <f t="shared" si="965"/>
        <v>Bonis SpA</v>
      </c>
    </row>
    <row r="1511" spans="2:58" x14ac:dyDescent="0.25">
      <c r="B1511" s="1">
        <v>2566</v>
      </c>
      <c r="C1511" s="1" t="str">
        <f t="shared" si="984"/>
        <v>SOLAN4189S7/C1</v>
      </c>
      <c r="E1511" s="1" t="str">
        <f>"45"</f>
        <v>45</v>
      </c>
      <c r="F1511" s="1" t="str">
        <f t="shared" si="953"/>
        <v>BONIS SPA</v>
      </c>
      <c r="G1511" s="1" t="str">
        <f t="shared" si="943"/>
        <v>STOCK SCAFFALE MP</v>
      </c>
      <c r="H1511" s="1" t="str">
        <f t="shared" si="985"/>
        <v>BEI</v>
      </c>
      <c r="K1511" s="1">
        <v>1</v>
      </c>
      <c r="L1511" s="1" t="str">
        <f t="shared" si="954"/>
        <v>01</v>
      </c>
      <c r="M1511" s="1" t="str">
        <f t="shared" si="945"/>
        <v>409</v>
      </c>
      <c r="N1511" s="1" t="str">
        <f t="shared" si="968"/>
        <v>016</v>
      </c>
      <c r="O1511" s="1" t="str">
        <f t="shared" si="955"/>
        <v>00</v>
      </c>
      <c r="P1511" s="1" t="str">
        <f t="shared" si="956"/>
        <v>S</v>
      </c>
      <c r="Q1511" s="1" t="str">
        <f t="shared" si="957"/>
        <v>P</v>
      </c>
      <c r="R1511" s="1" t="str">
        <f t="shared" si="958"/>
        <v>01</v>
      </c>
      <c r="S1511" s="1" t="str">
        <f t="shared" si="944"/>
        <v>04</v>
      </c>
      <c r="T1511" s="1" t="str">
        <f t="shared" si="959"/>
        <v>False</v>
      </c>
      <c r="U1511" s="1" t="str">
        <f t="shared" si="960"/>
        <v>True</v>
      </c>
      <c r="V1511" s="1" t="str">
        <f t="shared" si="986"/>
        <v>U0028275</v>
      </c>
      <c r="W1511" s="1">
        <v>1</v>
      </c>
      <c r="Y1511" s="1">
        <v>0</v>
      </c>
      <c r="Z1511" s="1">
        <v>0</v>
      </c>
      <c r="AB1511" s="1" t="str">
        <f t="shared" si="946"/>
        <v>SMU</v>
      </c>
      <c r="AI1511" s="1" t="str">
        <f t="shared" si="987"/>
        <v>F11</v>
      </c>
      <c r="AJ1511" s="1" t="str">
        <f t="shared" si="988"/>
        <v>MAN</v>
      </c>
      <c r="AK1511" s="1" t="str">
        <f t="shared" si="962"/>
        <v>PA</v>
      </c>
      <c r="AP1511" s="1" t="str">
        <f t="shared" si="963"/>
        <v>False</v>
      </c>
      <c r="AR1511" s="1" t="str">
        <f t="shared" si="989"/>
        <v>SOLAN</v>
      </c>
      <c r="AY1511" s="1" t="str">
        <f t="shared" si="964"/>
        <v>PF</v>
      </c>
      <c r="AZ1511" s="1">
        <v>0</v>
      </c>
      <c r="BA1511" s="1">
        <v>0</v>
      </c>
      <c r="BB1511" s="1">
        <v>0</v>
      </c>
      <c r="BC1511" s="1">
        <v>0</v>
      </c>
      <c r="BD1511" s="1">
        <v>0</v>
      </c>
      <c r="BE1511" s="1" t="str">
        <f t="shared" si="990"/>
        <v>S.CADET GOMMA  TWILL CANVAS</v>
      </c>
      <c r="BF1511" s="1" t="str">
        <f t="shared" si="965"/>
        <v>Bonis SpA</v>
      </c>
    </row>
    <row r="1512" spans="2:58" x14ac:dyDescent="0.25">
      <c r="B1512" s="1">
        <v>2566</v>
      </c>
      <c r="C1512" s="1" t="str">
        <f t="shared" ref="C1512:C1518" si="991">"RUMBA4187S7/C1"</f>
        <v>RUMBA4187S7/C1</v>
      </c>
      <c r="E1512" s="1" t="str">
        <f>"40"</f>
        <v>40</v>
      </c>
      <c r="F1512" s="1" t="str">
        <f t="shared" si="953"/>
        <v>BONIS SPA</v>
      </c>
      <c r="G1512" s="1" t="str">
        <f t="shared" si="943"/>
        <v>STOCK SCAFFALE MP</v>
      </c>
      <c r="H1512" s="1" t="str">
        <f>"WHI"</f>
        <v>WHI</v>
      </c>
      <c r="K1512" s="1">
        <v>1</v>
      </c>
      <c r="L1512" s="1" t="str">
        <f t="shared" si="954"/>
        <v>01</v>
      </c>
      <c r="M1512" s="1" t="str">
        <f t="shared" si="945"/>
        <v>409</v>
      </c>
      <c r="N1512" s="1" t="str">
        <f t="shared" si="968"/>
        <v>016</v>
      </c>
      <c r="O1512" s="1" t="str">
        <f t="shared" si="955"/>
        <v>00</v>
      </c>
      <c r="P1512" s="1" t="str">
        <f t="shared" si="956"/>
        <v>S</v>
      </c>
      <c r="Q1512" s="1" t="str">
        <f t="shared" si="957"/>
        <v>P</v>
      </c>
      <c r="R1512" s="1" t="str">
        <f t="shared" si="958"/>
        <v>01</v>
      </c>
      <c r="S1512" s="1" t="str">
        <f t="shared" si="944"/>
        <v>04</v>
      </c>
      <c r="T1512" s="1" t="str">
        <f t="shared" si="959"/>
        <v>False</v>
      </c>
      <c r="U1512" s="1" t="str">
        <f t="shared" si="960"/>
        <v>True</v>
      </c>
      <c r="V1512" s="1" t="str">
        <f>"U0028382"</f>
        <v>U0028382</v>
      </c>
      <c r="W1512" s="1">
        <v>1</v>
      </c>
      <c r="Y1512" s="1">
        <v>0</v>
      </c>
      <c r="Z1512" s="1">
        <v>0</v>
      </c>
      <c r="AB1512" s="1" t="str">
        <f t="shared" si="946"/>
        <v>SMU</v>
      </c>
      <c r="AI1512" s="1" t="str">
        <f>"106"</f>
        <v>106</v>
      </c>
      <c r="AJ1512" s="1" t="str">
        <f t="shared" ref="AJ1512:AJ1525" si="992">"WOMAN"</f>
        <v>WOMAN</v>
      </c>
      <c r="AK1512" s="1" t="str">
        <f t="shared" si="962"/>
        <v>PA</v>
      </c>
      <c r="AP1512" s="1" t="str">
        <f t="shared" si="963"/>
        <v>False</v>
      </c>
      <c r="AR1512" s="1" t="str">
        <f t="shared" ref="AR1512:AR1518" si="993">"RUMBA"</f>
        <v>RUMBA</v>
      </c>
      <c r="AY1512" s="1" t="str">
        <f t="shared" si="964"/>
        <v>PF</v>
      </c>
      <c r="AZ1512" s="1">
        <v>0</v>
      </c>
      <c r="BA1512" s="1">
        <v>0</v>
      </c>
      <c r="BB1512" s="1">
        <v>0</v>
      </c>
      <c r="BC1512" s="1">
        <v>0</v>
      </c>
      <c r="BD1512" s="1">
        <v>0</v>
      </c>
      <c r="BE1512" s="1" t="str">
        <f t="shared" ref="BE1512:BE1518" si="994">"SUOLA RUMBA TWILL CANVAS"</f>
        <v>SUOLA RUMBA TWILL CANVAS</v>
      </c>
      <c r="BF1512" s="1" t="str">
        <f t="shared" si="965"/>
        <v>Bonis SpA</v>
      </c>
    </row>
    <row r="1513" spans="2:58" x14ac:dyDescent="0.25">
      <c r="B1513" s="1">
        <v>2566</v>
      </c>
      <c r="C1513" s="1" t="str">
        <f t="shared" si="991"/>
        <v>RUMBA4187S7/C1</v>
      </c>
      <c r="E1513" s="1" t="str">
        <f>"40"</f>
        <v>40</v>
      </c>
      <c r="F1513" s="1" t="str">
        <f t="shared" si="953"/>
        <v>BONIS SPA</v>
      </c>
      <c r="G1513" s="1" t="str">
        <f t="shared" si="943"/>
        <v>STOCK SCAFFALE MP</v>
      </c>
      <c r="H1513" s="1" t="str">
        <f>"WHI"</f>
        <v>WHI</v>
      </c>
      <c r="K1513" s="1">
        <v>1</v>
      </c>
      <c r="L1513" s="1" t="str">
        <f t="shared" si="954"/>
        <v>01</v>
      </c>
      <c r="M1513" s="1" t="str">
        <f t="shared" si="945"/>
        <v>409</v>
      </c>
      <c r="N1513" s="1" t="str">
        <f t="shared" si="968"/>
        <v>016</v>
      </c>
      <c r="O1513" s="1" t="str">
        <f t="shared" si="955"/>
        <v>00</v>
      </c>
      <c r="P1513" s="1" t="str">
        <f t="shared" si="956"/>
        <v>S</v>
      </c>
      <c r="Q1513" s="1" t="str">
        <f t="shared" si="957"/>
        <v>P</v>
      </c>
      <c r="R1513" s="1" t="str">
        <f t="shared" si="958"/>
        <v>01</v>
      </c>
      <c r="S1513" s="1" t="str">
        <f t="shared" si="944"/>
        <v>04</v>
      </c>
      <c r="T1513" s="1" t="str">
        <f t="shared" si="959"/>
        <v>False</v>
      </c>
      <c r="U1513" s="1" t="str">
        <f t="shared" si="960"/>
        <v>True</v>
      </c>
      <c r="V1513" s="1" t="str">
        <f>"U0028271"</f>
        <v>U0028271</v>
      </c>
      <c r="W1513" s="1">
        <v>1</v>
      </c>
      <c r="Y1513" s="1">
        <v>0</v>
      </c>
      <c r="Z1513" s="1">
        <v>0</v>
      </c>
      <c r="AB1513" s="1" t="str">
        <f t="shared" si="946"/>
        <v>SMU</v>
      </c>
      <c r="AI1513" s="1" t="str">
        <f>"106"</f>
        <v>106</v>
      </c>
      <c r="AJ1513" s="1" t="str">
        <f t="shared" si="992"/>
        <v>WOMAN</v>
      </c>
      <c r="AK1513" s="1" t="str">
        <f t="shared" si="962"/>
        <v>PA</v>
      </c>
      <c r="AP1513" s="1" t="str">
        <f t="shared" si="963"/>
        <v>False</v>
      </c>
      <c r="AR1513" s="1" t="str">
        <f t="shared" si="993"/>
        <v>RUMBA</v>
      </c>
      <c r="AY1513" s="1" t="str">
        <f t="shared" si="964"/>
        <v>PF</v>
      </c>
      <c r="AZ1513" s="1">
        <v>0</v>
      </c>
      <c r="BA1513" s="1">
        <v>0</v>
      </c>
      <c r="BB1513" s="1">
        <v>0</v>
      </c>
      <c r="BC1513" s="1">
        <v>0</v>
      </c>
      <c r="BD1513" s="1">
        <v>0</v>
      </c>
      <c r="BE1513" s="1" t="str">
        <f t="shared" si="994"/>
        <v>SUOLA RUMBA TWILL CANVAS</v>
      </c>
      <c r="BF1513" s="1" t="str">
        <f t="shared" si="965"/>
        <v>Bonis SpA</v>
      </c>
    </row>
    <row r="1514" spans="2:58" x14ac:dyDescent="0.25">
      <c r="B1514" s="1">
        <v>2566</v>
      </c>
      <c r="C1514" s="1" t="str">
        <f t="shared" si="991"/>
        <v>RUMBA4187S7/C1</v>
      </c>
      <c r="E1514" s="1" t="str">
        <f>"36"</f>
        <v>36</v>
      </c>
      <c r="F1514" s="1" t="str">
        <f t="shared" si="953"/>
        <v>BONIS SPA</v>
      </c>
      <c r="G1514" s="1" t="str">
        <f t="shared" si="943"/>
        <v>STOCK SCAFFALE MP</v>
      </c>
      <c r="H1514" s="1" t="str">
        <f>"BLUE"</f>
        <v>BLUE</v>
      </c>
      <c r="K1514" s="1">
        <v>1</v>
      </c>
      <c r="L1514" s="1" t="str">
        <f t="shared" si="954"/>
        <v>01</v>
      </c>
      <c r="M1514" s="1" t="str">
        <f t="shared" si="945"/>
        <v>409</v>
      </c>
      <c r="N1514" s="1" t="str">
        <f t="shared" si="968"/>
        <v>016</v>
      </c>
      <c r="O1514" s="1" t="str">
        <f t="shared" si="955"/>
        <v>00</v>
      </c>
      <c r="P1514" s="1" t="str">
        <f t="shared" si="956"/>
        <v>S</v>
      </c>
      <c r="Q1514" s="1" t="str">
        <f t="shared" si="957"/>
        <v>P</v>
      </c>
      <c r="R1514" s="1" t="str">
        <f t="shared" si="958"/>
        <v>01</v>
      </c>
      <c r="S1514" s="1" t="str">
        <f t="shared" si="944"/>
        <v>04</v>
      </c>
      <c r="T1514" s="1" t="str">
        <f t="shared" si="959"/>
        <v>False</v>
      </c>
      <c r="U1514" s="1" t="str">
        <f t="shared" si="960"/>
        <v>True</v>
      </c>
      <c r="V1514" s="1" t="str">
        <f>"U0028277"</f>
        <v>U0028277</v>
      </c>
      <c r="W1514" s="1">
        <v>1</v>
      </c>
      <c r="Y1514" s="1">
        <v>0</v>
      </c>
      <c r="Z1514" s="1">
        <v>0</v>
      </c>
      <c r="AB1514" s="1" t="str">
        <f t="shared" si="946"/>
        <v>SMU</v>
      </c>
      <c r="AI1514" s="1" t="str">
        <f t="shared" ref="AI1514:AI1519" si="995">"F11"</f>
        <v>F11</v>
      </c>
      <c r="AJ1514" s="1" t="str">
        <f t="shared" si="992"/>
        <v>WOMAN</v>
      </c>
      <c r="AK1514" s="1" t="str">
        <f t="shared" si="962"/>
        <v>PA</v>
      </c>
      <c r="AP1514" s="1" t="str">
        <f t="shared" si="963"/>
        <v>False</v>
      </c>
      <c r="AR1514" s="1" t="str">
        <f t="shared" si="993"/>
        <v>RUMBA</v>
      </c>
      <c r="AY1514" s="1" t="str">
        <f t="shared" si="964"/>
        <v>PF</v>
      </c>
      <c r="AZ1514" s="1">
        <v>0</v>
      </c>
      <c r="BA1514" s="1">
        <v>0</v>
      </c>
      <c r="BB1514" s="1">
        <v>0</v>
      </c>
      <c r="BC1514" s="1">
        <v>0</v>
      </c>
      <c r="BD1514" s="1">
        <v>0</v>
      </c>
      <c r="BE1514" s="1" t="str">
        <f t="shared" si="994"/>
        <v>SUOLA RUMBA TWILL CANVAS</v>
      </c>
      <c r="BF1514" s="1" t="str">
        <f t="shared" si="965"/>
        <v>Bonis SpA</v>
      </c>
    </row>
    <row r="1515" spans="2:58" x14ac:dyDescent="0.25">
      <c r="B1515" s="1">
        <v>2566</v>
      </c>
      <c r="C1515" s="1" t="str">
        <f t="shared" si="991"/>
        <v>RUMBA4187S7/C1</v>
      </c>
      <c r="E1515" s="1" t="str">
        <f>"37"</f>
        <v>37</v>
      </c>
      <c r="F1515" s="1" t="str">
        <f t="shared" si="953"/>
        <v>BONIS SPA</v>
      </c>
      <c r="G1515" s="1" t="str">
        <f t="shared" si="943"/>
        <v>STOCK SCAFFALE MP</v>
      </c>
      <c r="H1515" s="1" t="str">
        <f>"BLUE"</f>
        <v>BLUE</v>
      </c>
      <c r="K1515" s="1">
        <v>1</v>
      </c>
      <c r="L1515" s="1" t="str">
        <f t="shared" si="954"/>
        <v>01</v>
      </c>
      <c r="M1515" s="1" t="str">
        <f t="shared" si="945"/>
        <v>409</v>
      </c>
      <c r="N1515" s="1" t="str">
        <f t="shared" si="968"/>
        <v>016</v>
      </c>
      <c r="O1515" s="1" t="str">
        <f t="shared" si="955"/>
        <v>00</v>
      </c>
      <c r="P1515" s="1" t="str">
        <f t="shared" si="956"/>
        <v>S</v>
      </c>
      <c r="Q1515" s="1" t="str">
        <f t="shared" si="957"/>
        <v>P</v>
      </c>
      <c r="R1515" s="1" t="str">
        <f t="shared" si="958"/>
        <v>01</v>
      </c>
      <c r="S1515" s="1" t="str">
        <f t="shared" si="944"/>
        <v>04</v>
      </c>
      <c r="T1515" s="1" t="str">
        <f t="shared" si="959"/>
        <v>False</v>
      </c>
      <c r="U1515" s="1" t="str">
        <f t="shared" si="960"/>
        <v>True</v>
      </c>
      <c r="V1515" s="1" t="str">
        <f>"U0028277"</f>
        <v>U0028277</v>
      </c>
      <c r="W1515" s="1">
        <v>1</v>
      </c>
      <c r="Y1515" s="1">
        <v>0</v>
      </c>
      <c r="Z1515" s="1">
        <v>0</v>
      </c>
      <c r="AB1515" s="1" t="str">
        <f t="shared" si="946"/>
        <v>SMU</v>
      </c>
      <c r="AI1515" s="1" t="str">
        <f t="shared" si="995"/>
        <v>F11</v>
      </c>
      <c r="AJ1515" s="1" t="str">
        <f t="shared" si="992"/>
        <v>WOMAN</v>
      </c>
      <c r="AK1515" s="1" t="str">
        <f t="shared" si="962"/>
        <v>PA</v>
      </c>
      <c r="AP1515" s="1" t="str">
        <f t="shared" si="963"/>
        <v>False</v>
      </c>
      <c r="AR1515" s="1" t="str">
        <f t="shared" si="993"/>
        <v>RUMBA</v>
      </c>
      <c r="AY1515" s="1" t="str">
        <f t="shared" si="964"/>
        <v>PF</v>
      </c>
      <c r="AZ1515" s="1">
        <v>0</v>
      </c>
      <c r="BA1515" s="1">
        <v>0</v>
      </c>
      <c r="BB1515" s="1">
        <v>0</v>
      </c>
      <c r="BC1515" s="1">
        <v>0</v>
      </c>
      <c r="BD1515" s="1">
        <v>0</v>
      </c>
      <c r="BE1515" s="1" t="str">
        <f t="shared" si="994"/>
        <v>SUOLA RUMBA TWILL CANVAS</v>
      </c>
      <c r="BF1515" s="1" t="str">
        <f t="shared" si="965"/>
        <v>Bonis SpA</v>
      </c>
    </row>
    <row r="1516" spans="2:58" x14ac:dyDescent="0.25">
      <c r="B1516" s="1">
        <v>2566</v>
      </c>
      <c r="C1516" s="1" t="str">
        <f t="shared" si="991"/>
        <v>RUMBA4187S7/C1</v>
      </c>
      <c r="E1516" s="1" t="str">
        <f>"38"</f>
        <v>38</v>
      </c>
      <c r="F1516" s="1" t="str">
        <f t="shared" si="953"/>
        <v>BONIS SPA</v>
      </c>
      <c r="G1516" s="1" t="str">
        <f t="shared" si="943"/>
        <v>STOCK SCAFFALE MP</v>
      </c>
      <c r="H1516" s="1" t="str">
        <f>"BLUE"</f>
        <v>BLUE</v>
      </c>
      <c r="K1516" s="1">
        <v>3</v>
      </c>
      <c r="L1516" s="1" t="str">
        <f t="shared" si="954"/>
        <v>01</v>
      </c>
      <c r="M1516" s="1" t="str">
        <f t="shared" si="945"/>
        <v>409</v>
      </c>
      <c r="N1516" s="1" t="str">
        <f t="shared" si="968"/>
        <v>016</v>
      </c>
      <c r="O1516" s="1" t="str">
        <f t="shared" si="955"/>
        <v>00</v>
      </c>
      <c r="P1516" s="1" t="str">
        <f t="shared" si="956"/>
        <v>S</v>
      </c>
      <c r="Q1516" s="1" t="str">
        <f t="shared" si="957"/>
        <v>P</v>
      </c>
      <c r="R1516" s="1" t="str">
        <f t="shared" si="958"/>
        <v>01</v>
      </c>
      <c r="S1516" s="1" t="str">
        <f t="shared" si="944"/>
        <v>04</v>
      </c>
      <c r="T1516" s="1" t="str">
        <f t="shared" si="959"/>
        <v>False</v>
      </c>
      <c r="U1516" s="1" t="str">
        <f t="shared" si="960"/>
        <v>True</v>
      </c>
      <c r="V1516" s="1" t="str">
        <f>"U0028277"</f>
        <v>U0028277</v>
      </c>
      <c r="W1516" s="1">
        <v>1</v>
      </c>
      <c r="Y1516" s="1">
        <v>0</v>
      </c>
      <c r="Z1516" s="1">
        <v>0</v>
      </c>
      <c r="AB1516" s="1" t="str">
        <f t="shared" si="946"/>
        <v>SMU</v>
      </c>
      <c r="AI1516" s="1" t="str">
        <f t="shared" si="995"/>
        <v>F11</v>
      </c>
      <c r="AJ1516" s="1" t="str">
        <f t="shared" si="992"/>
        <v>WOMAN</v>
      </c>
      <c r="AK1516" s="1" t="str">
        <f t="shared" si="962"/>
        <v>PA</v>
      </c>
      <c r="AP1516" s="1" t="str">
        <f t="shared" si="963"/>
        <v>False</v>
      </c>
      <c r="AR1516" s="1" t="str">
        <f t="shared" si="993"/>
        <v>RUMBA</v>
      </c>
      <c r="AY1516" s="1" t="str">
        <f t="shared" si="964"/>
        <v>PF</v>
      </c>
      <c r="AZ1516" s="1">
        <v>0</v>
      </c>
      <c r="BA1516" s="1">
        <v>0</v>
      </c>
      <c r="BB1516" s="1">
        <v>0</v>
      </c>
      <c r="BC1516" s="1">
        <v>0</v>
      </c>
      <c r="BD1516" s="1">
        <v>0</v>
      </c>
      <c r="BE1516" s="1" t="str">
        <f t="shared" si="994"/>
        <v>SUOLA RUMBA TWILL CANVAS</v>
      </c>
      <c r="BF1516" s="1" t="str">
        <f t="shared" si="965"/>
        <v>Bonis SpA</v>
      </c>
    </row>
    <row r="1517" spans="2:58" x14ac:dyDescent="0.25">
      <c r="B1517" s="1">
        <v>2566</v>
      </c>
      <c r="C1517" s="1" t="str">
        <f t="shared" si="991"/>
        <v>RUMBA4187S7/C1</v>
      </c>
      <c r="E1517" s="1" t="str">
        <f>"39"</f>
        <v>39</v>
      </c>
      <c r="F1517" s="1" t="str">
        <f t="shared" si="953"/>
        <v>BONIS SPA</v>
      </c>
      <c r="G1517" s="1" t="str">
        <f t="shared" si="943"/>
        <v>STOCK SCAFFALE MP</v>
      </c>
      <c r="H1517" s="1" t="str">
        <f>"BLUE"</f>
        <v>BLUE</v>
      </c>
      <c r="K1517" s="1">
        <v>3</v>
      </c>
      <c r="L1517" s="1" t="str">
        <f t="shared" si="954"/>
        <v>01</v>
      </c>
      <c r="M1517" s="1" t="str">
        <f t="shared" si="945"/>
        <v>409</v>
      </c>
      <c r="N1517" s="1" t="str">
        <f t="shared" si="968"/>
        <v>016</v>
      </c>
      <c r="O1517" s="1" t="str">
        <f t="shared" si="955"/>
        <v>00</v>
      </c>
      <c r="P1517" s="1" t="str">
        <f t="shared" si="956"/>
        <v>S</v>
      </c>
      <c r="Q1517" s="1" t="str">
        <f t="shared" si="957"/>
        <v>P</v>
      </c>
      <c r="R1517" s="1" t="str">
        <f t="shared" si="958"/>
        <v>01</v>
      </c>
      <c r="S1517" s="1" t="str">
        <f t="shared" si="944"/>
        <v>04</v>
      </c>
      <c r="T1517" s="1" t="str">
        <f t="shared" si="959"/>
        <v>False</v>
      </c>
      <c r="U1517" s="1" t="str">
        <f t="shared" si="960"/>
        <v>True</v>
      </c>
      <c r="V1517" s="1" t="str">
        <f>"U0028277"</f>
        <v>U0028277</v>
      </c>
      <c r="W1517" s="1">
        <v>1</v>
      </c>
      <c r="Y1517" s="1">
        <v>0</v>
      </c>
      <c r="Z1517" s="1">
        <v>0</v>
      </c>
      <c r="AB1517" s="1" t="str">
        <f t="shared" si="946"/>
        <v>SMU</v>
      </c>
      <c r="AI1517" s="1" t="str">
        <f t="shared" si="995"/>
        <v>F11</v>
      </c>
      <c r="AJ1517" s="1" t="str">
        <f t="shared" si="992"/>
        <v>WOMAN</v>
      </c>
      <c r="AK1517" s="1" t="str">
        <f t="shared" si="962"/>
        <v>PA</v>
      </c>
      <c r="AP1517" s="1" t="str">
        <f t="shared" si="963"/>
        <v>False</v>
      </c>
      <c r="AR1517" s="1" t="str">
        <f t="shared" si="993"/>
        <v>RUMBA</v>
      </c>
      <c r="AY1517" s="1" t="str">
        <f t="shared" si="964"/>
        <v>PF</v>
      </c>
      <c r="AZ1517" s="1">
        <v>0</v>
      </c>
      <c r="BA1517" s="1">
        <v>0</v>
      </c>
      <c r="BB1517" s="1">
        <v>0</v>
      </c>
      <c r="BC1517" s="1">
        <v>0</v>
      </c>
      <c r="BD1517" s="1">
        <v>0</v>
      </c>
      <c r="BE1517" s="1" t="str">
        <f t="shared" si="994"/>
        <v>SUOLA RUMBA TWILL CANVAS</v>
      </c>
      <c r="BF1517" s="1" t="str">
        <f t="shared" si="965"/>
        <v>Bonis SpA</v>
      </c>
    </row>
    <row r="1518" spans="2:58" x14ac:dyDescent="0.25">
      <c r="B1518" s="1">
        <v>2566</v>
      </c>
      <c r="C1518" s="1" t="str">
        <f t="shared" si="991"/>
        <v>RUMBA4187S7/C1</v>
      </c>
      <c r="E1518" s="1" t="str">
        <f>"40"</f>
        <v>40</v>
      </c>
      <c r="F1518" s="1" t="str">
        <f t="shared" si="953"/>
        <v>BONIS SPA</v>
      </c>
      <c r="G1518" s="1" t="str">
        <f t="shared" si="943"/>
        <v>STOCK SCAFFALE MP</v>
      </c>
      <c r="H1518" s="1" t="str">
        <f>"BLUE"</f>
        <v>BLUE</v>
      </c>
      <c r="K1518" s="1">
        <v>1</v>
      </c>
      <c r="L1518" s="1" t="str">
        <f t="shared" si="954"/>
        <v>01</v>
      </c>
      <c r="M1518" s="1" t="str">
        <f t="shared" si="945"/>
        <v>409</v>
      </c>
      <c r="N1518" s="1" t="str">
        <f t="shared" si="968"/>
        <v>016</v>
      </c>
      <c r="O1518" s="1" t="str">
        <f t="shared" si="955"/>
        <v>00</v>
      </c>
      <c r="P1518" s="1" t="str">
        <f t="shared" si="956"/>
        <v>S</v>
      </c>
      <c r="Q1518" s="1" t="str">
        <f t="shared" si="957"/>
        <v>P</v>
      </c>
      <c r="R1518" s="1" t="str">
        <f t="shared" si="958"/>
        <v>01</v>
      </c>
      <c r="S1518" s="1" t="str">
        <f t="shared" si="944"/>
        <v>04</v>
      </c>
      <c r="T1518" s="1" t="str">
        <f t="shared" si="959"/>
        <v>False</v>
      </c>
      <c r="U1518" s="1" t="str">
        <f t="shared" si="960"/>
        <v>True</v>
      </c>
      <c r="V1518" s="1" t="str">
        <f>"U0028277"</f>
        <v>U0028277</v>
      </c>
      <c r="W1518" s="1">
        <v>1</v>
      </c>
      <c r="Y1518" s="1">
        <v>0</v>
      </c>
      <c r="Z1518" s="1">
        <v>0</v>
      </c>
      <c r="AB1518" s="1" t="str">
        <f t="shared" si="946"/>
        <v>SMU</v>
      </c>
      <c r="AI1518" s="1" t="str">
        <f t="shared" si="995"/>
        <v>F11</v>
      </c>
      <c r="AJ1518" s="1" t="str">
        <f t="shared" si="992"/>
        <v>WOMAN</v>
      </c>
      <c r="AK1518" s="1" t="str">
        <f t="shared" si="962"/>
        <v>PA</v>
      </c>
      <c r="AP1518" s="1" t="str">
        <f t="shared" si="963"/>
        <v>False</v>
      </c>
      <c r="AR1518" s="1" t="str">
        <f t="shared" si="993"/>
        <v>RUMBA</v>
      </c>
      <c r="AY1518" s="1" t="str">
        <f t="shared" si="964"/>
        <v>PF</v>
      </c>
      <c r="AZ1518" s="1">
        <v>0</v>
      </c>
      <c r="BA1518" s="1">
        <v>0</v>
      </c>
      <c r="BB1518" s="1">
        <v>0</v>
      </c>
      <c r="BC1518" s="1">
        <v>0</v>
      </c>
      <c r="BD1518" s="1">
        <v>0</v>
      </c>
      <c r="BE1518" s="1" t="str">
        <f t="shared" si="994"/>
        <v>SUOLA RUMBA TWILL CANVAS</v>
      </c>
      <c r="BF1518" s="1" t="str">
        <f t="shared" si="965"/>
        <v>Bonis SpA</v>
      </c>
    </row>
    <row r="1519" spans="2:58" x14ac:dyDescent="0.25">
      <c r="B1519" s="1">
        <v>2572</v>
      </c>
      <c r="C1519" s="1" t="str">
        <f>"NOBIW4193S7/CH1"</f>
        <v>NOBIW4193S7/CH1</v>
      </c>
      <c r="E1519" s="1" t="str">
        <f>"38"</f>
        <v>38</v>
      </c>
      <c r="F1519" s="1" t="str">
        <f t="shared" si="953"/>
        <v>BONIS SPA</v>
      </c>
      <c r="G1519" s="1" t="str">
        <f t="shared" si="943"/>
        <v>STOCK SCAFFALE MP</v>
      </c>
      <c r="H1519" s="1" t="str">
        <f>"FUX"</f>
        <v>FUX</v>
      </c>
      <c r="K1519" s="1">
        <v>3</v>
      </c>
      <c r="L1519" s="1" t="str">
        <f t="shared" si="954"/>
        <v>01</v>
      </c>
      <c r="M1519" s="1" t="str">
        <f t="shared" si="945"/>
        <v>409</v>
      </c>
      <c r="N1519" s="1" t="str">
        <f>"018"</f>
        <v>018</v>
      </c>
      <c r="O1519" s="1" t="str">
        <f t="shared" si="955"/>
        <v>00</v>
      </c>
      <c r="P1519" s="1" t="str">
        <f t="shared" si="956"/>
        <v>S</v>
      </c>
      <c r="Q1519" s="1" t="str">
        <f t="shared" si="957"/>
        <v>P</v>
      </c>
      <c r="R1519" s="1" t="str">
        <f t="shared" si="958"/>
        <v>01</v>
      </c>
      <c r="S1519" s="1" t="str">
        <f t="shared" si="944"/>
        <v>04</v>
      </c>
      <c r="T1519" s="1" t="str">
        <f t="shared" si="959"/>
        <v>False</v>
      </c>
      <c r="U1519" s="1" t="str">
        <f t="shared" si="960"/>
        <v>True</v>
      </c>
      <c r="V1519" s="1" t="str">
        <f>"U0028279"</f>
        <v>U0028279</v>
      </c>
      <c r="W1519" s="1">
        <v>1</v>
      </c>
      <c r="Y1519" s="1">
        <v>0</v>
      </c>
      <c r="Z1519" s="1">
        <v>0</v>
      </c>
      <c r="AB1519" s="1" t="str">
        <f t="shared" si="946"/>
        <v>SMU</v>
      </c>
      <c r="AI1519" s="1" t="str">
        <f t="shared" si="995"/>
        <v>F11</v>
      </c>
      <c r="AJ1519" s="1" t="str">
        <f t="shared" si="992"/>
        <v>WOMAN</v>
      </c>
      <c r="AK1519" s="1" t="str">
        <f t="shared" si="962"/>
        <v>PA</v>
      </c>
      <c r="AP1519" s="1" t="str">
        <f t="shared" si="963"/>
        <v>False</v>
      </c>
      <c r="AR1519" s="1" t="str">
        <f>"NOBIW"</f>
        <v>NOBIW</v>
      </c>
      <c r="AY1519" s="1" t="str">
        <f t="shared" si="964"/>
        <v>PF</v>
      </c>
      <c r="AZ1519" s="1">
        <v>0</v>
      </c>
      <c r="BA1519" s="1">
        <v>0</v>
      </c>
      <c r="BB1519" s="1">
        <v>0</v>
      </c>
      <c r="BC1519" s="1">
        <v>0</v>
      </c>
      <c r="BD1519" s="1">
        <v>0</v>
      </c>
      <c r="BE1519" s="1" t="str">
        <f>"UBBER FLAT MOL.CANVAS+MICROSUE"</f>
        <v>UBBER FLAT MOL.CANVAS+MICROSUE</v>
      </c>
      <c r="BF1519" s="1" t="str">
        <f t="shared" si="965"/>
        <v>Bonis SpA</v>
      </c>
    </row>
    <row r="1520" spans="2:58" x14ac:dyDescent="0.25">
      <c r="B1520" s="1">
        <v>2566</v>
      </c>
      <c r="C1520" s="1" t="str">
        <f>"RUMBA4187S7/C1"</f>
        <v>RUMBA4187S7/C1</v>
      </c>
      <c r="E1520" s="1" t="str">
        <f>"38"</f>
        <v>38</v>
      </c>
      <c r="F1520" s="1" t="str">
        <f t="shared" si="953"/>
        <v>BONIS SPA</v>
      </c>
      <c r="G1520" s="1" t="str">
        <f t="shared" ref="G1520:G1583" si="996">"STOCK SCAFFALE MP"</f>
        <v>STOCK SCAFFALE MP</v>
      </c>
      <c r="H1520" s="1" t="str">
        <f>"RED"</f>
        <v>RED</v>
      </c>
      <c r="K1520" s="1">
        <v>2</v>
      </c>
      <c r="L1520" s="1" t="str">
        <f t="shared" si="954"/>
        <v>01</v>
      </c>
      <c r="M1520" s="1" t="str">
        <f t="shared" si="945"/>
        <v>409</v>
      </c>
      <c r="N1520" s="1" t="str">
        <f>"016"</f>
        <v>016</v>
      </c>
      <c r="O1520" s="1" t="str">
        <f t="shared" si="955"/>
        <v>00</v>
      </c>
      <c r="P1520" s="1" t="str">
        <f t="shared" si="956"/>
        <v>S</v>
      </c>
      <c r="Q1520" s="1" t="str">
        <f t="shared" si="957"/>
        <v>P</v>
      </c>
      <c r="R1520" s="1" t="str">
        <f t="shared" si="958"/>
        <v>01</v>
      </c>
      <c r="S1520" s="1" t="str">
        <f t="shared" ref="S1520:S1583" si="997">"04"</f>
        <v>04</v>
      </c>
      <c r="T1520" s="1" t="str">
        <f t="shared" si="959"/>
        <v>False</v>
      </c>
      <c r="U1520" s="1" t="str">
        <f t="shared" si="960"/>
        <v>True</v>
      </c>
      <c r="V1520" s="1" t="str">
        <f>"U0028273"</f>
        <v>U0028273</v>
      </c>
      <c r="W1520" s="1">
        <v>1</v>
      </c>
      <c r="Y1520" s="1">
        <v>0</v>
      </c>
      <c r="Z1520" s="1">
        <v>0</v>
      </c>
      <c r="AB1520" s="1" t="str">
        <f t="shared" si="946"/>
        <v>SMU</v>
      </c>
      <c r="AI1520" s="1" t="str">
        <f>"106"</f>
        <v>106</v>
      </c>
      <c r="AJ1520" s="1" t="str">
        <f t="shared" si="992"/>
        <v>WOMAN</v>
      </c>
      <c r="AK1520" s="1" t="str">
        <f t="shared" si="962"/>
        <v>PA</v>
      </c>
      <c r="AP1520" s="1" t="str">
        <f t="shared" si="963"/>
        <v>False</v>
      </c>
      <c r="AR1520" s="1" t="str">
        <f>"RUMBA"</f>
        <v>RUMBA</v>
      </c>
      <c r="AY1520" s="1" t="str">
        <f t="shared" si="964"/>
        <v>PF</v>
      </c>
      <c r="AZ1520" s="1">
        <v>0</v>
      </c>
      <c r="BA1520" s="1">
        <v>0</v>
      </c>
      <c r="BB1520" s="1">
        <v>0</v>
      </c>
      <c r="BC1520" s="1">
        <v>0</v>
      </c>
      <c r="BD1520" s="1">
        <v>0</v>
      </c>
      <c r="BE1520" s="1" t="str">
        <f>"SUOLA RUMBA TWILL CANVAS"</f>
        <v>SUOLA RUMBA TWILL CANVAS</v>
      </c>
      <c r="BF1520" s="1" t="str">
        <f t="shared" si="965"/>
        <v>Bonis SpA</v>
      </c>
    </row>
    <row r="1521" spans="2:58" x14ac:dyDescent="0.25">
      <c r="B1521" s="1">
        <v>2566</v>
      </c>
      <c r="C1521" s="1" t="str">
        <f>"RUMBA4187S7/C1"</f>
        <v>RUMBA4187S7/C1</v>
      </c>
      <c r="E1521" s="1" t="str">
        <f>"38"</f>
        <v>38</v>
      </c>
      <c r="F1521" s="1" t="str">
        <f t="shared" si="953"/>
        <v>BONIS SPA</v>
      </c>
      <c r="G1521" s="1" t="str">
        <f t="shared" si="996"/>
        <v>STOCK SCAFFALE MP</v>
      </c>
      <c r="H1521" s="1" t="str">
        <f>"RED"</f>
        <v>RED</v>
      </c>
      <c r="K1521" s="1">
        <v>1</v>
      </c>
      <c r="L1521" s="1" t="str">
        <f t="shared" si="954"/>
        <v>01</v>
      </c>
      <c r="M1521" s="1" t="str">
        <f t="shared" si="945"/>
        <v>409</v>
      </c>
      <c r="N1521" s="1" t="str">
        <f>"016"</f>
        <v>016</v>
      </c>
      <c r="O1521" s="1" t="str">
        <f t="shared" si="955"/>
        <v>00</v>
      </c>
      <c r="P1521" s="1" t="str">
        <f t="shared" si="956"/>
        <v>S</v>
      </c>
      <c r="Q1521" s="1" t="str">
        <f t="shared" si="957"/>
        <v>P</v>
      </c>
      <c r="R1521" s="1" t="str">
        <f t="shared" si="958"/>
        <v>01</v>
      </c>
      <c r="S1521" s="1" t="str">
        <f t="shared" si="997"/>
        <v>04</v>
      </c>
      <c r="T1521" s="1" t="str">
        <f t="shared" si="959"/>
        <v>False</v>
      </c>
      <c r="U1521" s="1" t="str">
        <f t="shared" si="960"/>
        <v>True</v>
      </c>
      <c r="V1521" s="1" t="str">
        <f>"U0028277"</f>
        <v>U0028277</v>
      </c>
      <c r="W1521" s="1">
        <v>1</v>
      </c>
      <c r="Y1521" s="1">
        <v>0</v>
      </c>
      <c r="Z1521" s="1">
        <v>0</v>
      </c>
      <c r="AB1521" s="1" t="str">
        <f t="shared" si="946"/>
        <v>SMU</v>
      </c>
      <c r="AI1521" s="1" t="str">
        <f>"106"</f>
        <v>106</v>
      </c>
      <c r="AJ1521" s="1" t="str">
        <f t="shared" si="992"/>
        <v>WOMAN</v>
      </c>
      <c r="AK1521" s="1" t="str">
        <f t="shared" si="962"/>
        <v>PA</v>
      </c>
      <c r="AP1521" s="1" t="str">
        <f t="shared" si="963"/>
        <v>False</v>
      </c>
      <c r="AR1521" s="1" t="str">
        <f>"RUMBA"</f>
        <v>RUMBA</v>
      </c>
      <c r="AY1521" s="1" t="str">
        <f t="shared" si="964"/>
        <v>PF</v>
      </c>
      <c r="AZ1521" s="1">
        <v>0</v>
      </c>
      <c r="BA1521" s="1">
        <v>0</v>
      </c>
      <c r="BB1521" s="1">
        <v>0</v>
      </c>
      <c r="BC1521" s="1">
        <v>0</v>
      </c>
      <c r="BD1521" s="1">
        <v>0</v>
      </c>
      <c r="BE1521" s="1" t="str">
        <f>"SUOLA RUMBA TWILL CANVAS"</f>
        <v>SUOLA RUMBA TWILL CANVAS</v>
      </c>
      <c r="BF1521" s="1" t="str">
        <f t="shared" si="965"/>
        <v>Bonis SpA</v>
      </c>
    </row>
    <row r="1522" spans="2:58" x14ac:dyDescent="0.25">
      <c r="B1522" s="1">
        <v>2566</v>
      </c>
      <c r="C1522" s="1" t="str">
        <f>"RUMBA4187S7/C1"</f>
        <v>RUMBA4187S7/C1</v>
      </c>
      <c r="E1522" s="1" t="str">
        <f>"40"</f>
        <v>40</v>
      </c>
      <c r="F1522" s="1" t="str">
        <f t="shared" si="953"/>
        <v>BONIS SPA</v>
      </c>
      <c r="G1522" s="1" t="str">
        <f t="shared" si="996"/>
        <v>STOCK SCAFFALE MP</v>
      </c>
      <c r="H1522" s="1" t="str">
        <f>"RED"</f>
        <v>RED</v>
      </c>
      <c r="K1522" s="1">
        <v>2</v>
      </c>
      <c r="L1522" s="1" t="str">
        <f t="shared" si="954"/>
        <v>01</v>
      </c>
      <c r="M1522" s="1" t="str">
        <f t="shared" si="945"/>
        <v>409</v>
      </c>
      <c r="N1522" s="1" t="str">
        <f>"016"</f>
        <v>016</v>
      </c>
      <c r="O1522" s="1" t="str">
        <f t="shared" si="955"/>
        <v>00</v>
      </c>
      <c r="P1522" s="1" t="str">
        <f t="shared" si="956"/>
        <v>S</v>
      </c>
      <c r="Q1522" s="1" t="str">
        <f t="shared" si="957"/>
        <v>P</v>
      </c>
      <c r="R1522" s="1" t="str">
        <f t="shared" si="958"/>
        <v>01</v>
      </c>
      <c r="S1522" s="1" t="str">
        <f t="shared" si="997"/>
        <v>04</v>
      </c>
      <c r="T1522" s="1" t="str">
        <f t="shared" si="959"/>
        <v>False</v>
      </c>
      <c r="U1522" s="1" t="str">
        <f t="shared" si="960"/>
        <v>True</v>
      </c>
      <c r="V1522" s="1" t="str">
        <f>"U0028277"</f>
        <v>U0028277</v>
      </c>
      <c r="W1522" s="1">
        <v>1</v>
      </c>
      <c r="Y1522" s="1">
        <v>0</v>
      </c>
      <c r="Z1522" s="1">
        <v>0</v>
      </c>
      <c r="AB1522" s="1" t="str">
        <f t="shared" si="946"/>
        <v>SMU</v>
      </c>
      <c r="AI1522" s="1" t="str">
        <f>"106"</f>
        <v>106</v>
      </c>
      <c r="AJ1522" s="1" t="str">
        <f t="shared" si="992"/>
        <v>WOMAN</v>
      </c>
      <c r="AK1522" s="1" t="str">
        <f t="shared" si="962"/>
        <v>PA</v>
      </c>
      <c r="AP1522" s="1" t="str">
        <f t="shared" si="963"/>
        <v>False</v>
      </c>
      <c r="AR1522" s="1" t="str">
        <f>"RUMBA"</f>
        <v>RUMBA</v>
      </c>
      <c r="AY1522" s="1" t="str">
        <f t="shared" si="964"/>
        <v>PF</v>
      </c>
      <c r="AZ1522" s="1">
        <v>0</v>
      </c>
      <c r="BA1522" s="1">
        <v>0</v>
      </c>
      <c r="BB1522" s="1">
        <v>0</v>
      </c>
      <c r="BC1522" s="1">
        <v>0</v>
      </c>
      <c r="BD1522" s="1">
        <v>0</v>
      </c>
      <c r="BE1522" s="1" t="str">
        <f>"SUOLA RUMBA TWILL CANVAS"</f>
        <v>SUOLA RUMBA TWILL CANVAS</v>
      </c>
      <c r="BF1522" s="1" t="str">
        <f t="shared" si="965"/>
        <v>Bonis SpA</v>
      </c>
    </row>
    <row r="1523" spans="2:58" x14ac:dyDescent="0.25">
      <c r="B1523" s="1">
        <v>2572</v>
      </c>
      <c r="C1523" s="1" t="str">
        <f>"NOBIW4193S7/CH1"</f>
        <v>NOBIW4193S7/CH1</v>
      </c>
      <c r="E1523" s="1" t="str">
        <f>"36"</f>
        <v>36</v>
      </c>
      <c r="F1523" s="1" t="str">
        <f t="shared" si="953"/>
        <v>BONIS SPA</v>
      </c>
      <c r="G1523" s="1" t="str">
        <f t="shared" si="996"/>
        <v>STOCK SCAFFALE MP</v>
      </c>
      <c r="H1523" s="1" t="str">
        <f>"FUX"</f>
        <v>FUX</v>
      </c>
      <c r="K1523" s="1">
        <v>1</v>
      </c>
      <c r="L1523" s="1" t="str">
        <f t="shared" si="954"/>
        <v>01</v>
      </c>
      <c r="M1523" s="1" t="str">
        <f t="shared" si="945"/>
        <v>409</v>
      </c>
      <c r="N1523" s="1" t="str">
        <f>"018"</f>
        <v>018</v>
      </c>
      <c r="O1523" s="1" t="str">
        <f t="shared" si="955"/>
        <v>00</v>
      </c>
      <c r="P1523" s="1" t="str">
        <f t="shared" si="956"/>
        <v>S</v>
      </c>
      <c r="Q1523" s="1" t="str">
        <f t="shared" si="957"/>
        <v>P</v>
      </c>
      <c r="R1523" s="1" t="str">
        <f t="shared" si="958"/>
        <v>01</v>
      </c>
      <c r="S1523" s="1" t="str">
        <f t="shared" si="997"/>
        <v>04</v>
      </c>
      <c r="T1523" s="1" t="str">
        <f t="shared" si="959"/>
        <v>False</v>
      </c>
      <c r="U1523" s="1" t="str">
        <f t="shared" si="960"/>
        <v>True</v>
      </c>
      <c r="V1523" s="1" t="str">
        <f>"U0028279"</f>
        <v>U0028279</v>
      </c>
      <c r="W1523" s="1">
        <v>1</v>
      </c>
      <c r="Y1523" s="1">
        <v>0</v>
      </c>
      <c r="Z1523" s="1">
        <v>0</v>
      </c>
      <c r="AB1523" s="1" t="str">
        <f t="shared" si="946"/>
        <v>SMU</v>
      </c>
      <c r="AI1523" s="1" t="str">
        <f t="shared" ref="AI1523:AI1548" si="998">"F11"</f>
        <v>F11</v>
      </c>
      <c r="AJ1523" s="1" t="str">
        <f t="shared" si="992"/>
        <v>WOMAN</v>
      </c>
      <c r="AK1523" s="1" t="str">
        <f t="shared" si="962"/>
        <v>PA</v>
      </c>
      <c r="AP1523" s="1" t="str">
        <f t="shared" si="963"/>
        <v>False</v>
      </c>
      <c r="AR1523" s="1" t="str">
        <f>"NOBIW"</f>
        <v>NOBIW</v>
      </c>
      <c r="AY1523" s="1" t="str">
        <f t="shared" si="964"/>
        <v>PF</v>
      </c>
      <c r="AZ1523" s="1">
        <v>0</v>
      </c>
      <c r="BA1523" s="1">
        <v>0</v>
      </c>
      <c r="BB1523" s="1">
        <v>0</v>
      </c>
      <c r="BC1523" s="1">
        <v>0</v>
      </c>
      <c r="BD1523" s="1">
        <v>0</v>
      </c>
      <c r="BE1523" s="1" t="str">
        <f>"UBBER FLAT MOL.CANVAS+MICROSUE"</f>
        <v>UBBER FLAT MOL.CANVAS+MICROSUE</v>
      </c>
      <c r="BF1523" s="1" t="str">
        <f t="shared" si="965"/>
        <v>Bonis SpA</v>
      </c>
    </row>
    <row r="1524" spans="2:58" x14ac:dyDescent="0.25">
      <c r="B1524" s="1">
        <v>2572</v>
      </c>
      <c r="C1524" s="1" t="str">
        <f>"NOBIW4193S7/CH1"</f>
        <v>NOBIW4193S7/CH1</v>
      </c>
      <c r="E1524" s="1" t="str">
        <f>"40"</f>
        <v>40</v>
      </c>
      <c r="F1524" s="1" t="str">
        <f t="shared" si="953"/>
        <v>BONIS SPA</v>
      </c>
      <c r="G1524" s="1" t="str">
        <f t="shared" si="996"/>
        <v>STOCK SCAFFALE MP</v>
      </c>
      <c r="H1524" s="1" t="str">
        <f>"FUX"</f>
        <v>FUX</v>
      </c>
      <c r="K1524" s="1">
        <v>2</v>
      </c>
      <c r="L1524" s="1" t="str">
        <f t="shared" si="954"/>
        <v>01</v>
      </c>
      <c r="M1524" s="1" t="str">
        <f t="shared" si="945"/>
        <v>409</v>
      </c>
      <c r="N1524" s="1" t="str">
        <f>"018"</f>
        <v>018</v>
      </c>
      <c r="O1524" s="1" t="str">
        <f t="shared" si="955"/>
        <v>00</v>
      </c>
      <c r="P1524" s="1" t="str">
        <f t="shared" si="956"/>
        <v>S</v>
      </c>
      <c r="Q1524" s="1" t="str">
        <f t="shared" si="957"/>
        <v>P</v>
      </c>
      <c r="R1524" s="1" t="str">
        <f t="shared" si="958"/>
        <v>01</v>
      </c>
      <c r="S1524" s="1" t="str">
        <f t="shared" si="997"/>
        <v>04</v>
      </c>
      <c r="T1524" s="1" t="str">
        <f t="shared" si="959"/>
        <v>False</v>
      </c>
      <c r="U1524" s="1" t="str">
        <f t="shared" si="960"/>
        <v>True</v>
      </c>
      <c r="V1524" s="1" t="str">
        <f>"U0028279"</f>
        <v>U0028279</v>
      </c>
      <c r="W1524" s="1">
        <v>1</v>
      </c>
      <c r="Y1524" s="1">
        <v>0</v>
      </c>
      <c r="Z1524" s="1">
        <v>0</v>
      </c>
      <c r="AB1524" s="1" t="str">
        <f t="shared" si="946"/>
        <v>SMU</v>
      </c>
      <c r="AI1524" s="1" t="str">
        <f t="shared" si="998"/>
        <v>F11</v>
      </c>
      <c r="AJ1524" s="1" t="str">
        <f t="shared" si="992"/>
        <v>WOMAN</v>
      </c>
      <c r="AK1524" s="1" t="str">
        <f t="shared" si="962"/>
        <v>PA</v>
      </c>
      <c r="AP1524" s="1" t="str">
        <f t="shared" si="963"/>
        <v>False</v>
      </c>
      <c r="AR1524" s="1" t="str">
        <f>"NOBIW"</f>
        <v>NOBIW</v>
      </c>
      <c r="AY1524" s="1" t="str">
        <f t="shared" si="964"/>
        <v>PF</v>
      </c>
      <c r="AZ1524" s="1">
        <v>0</v>
      </c>
      <c r="BA1524" s="1">
        <v>0</v>
      </c>
      <c r="BB1524" s="1">
        <v>0</v>
      </c>
      <c r="BC1524" s="1">
        <v>0</v>
      </c>
      <c r="BD1524" s="1">
        <v>0</v>
      </c>
      <c r="BE1524" s="1" t="str">
        <f>"UBBER FLAT MOL.CANVAS+MICROSUE"</f>
        <v>UBBER FLAT MOL.CANVAS+MICROSUE</v>
      </c>
      <c r="BF1524" s="1" t="str">
        <f t="shared" si="965"/>
        <v>Bonis SpA</v>
      </c>
    </row>
    <row r="1525" spans="2:58" x14ac:dyDescent="0.25">
      <c r="B1525" s="1">
        <v>2572</v>
      </c>
      <c r="C1525" s="1" t="str">
        <f>"NOBIW4193S7/CH1"</f>
        <v>NOBIW4193S7/CH1</v>
      </c>
      <c r="E1525" s="1" t="str">
        <f>"39"</f>
        <v>39</v>
      </c>
      <c r="F1525" s="1" t="str">
        <f t="shared" si="953"/>
        <v>BONIS SPA</v>
      </c>
      <c r="G1525" s="1" t="str">
        <f t="shared" si="996"/>
        <v>STOCK SCAFFALE MP</v>
      </c>
      <c r="H1525" s="1" t="str">
        <f>"FUX"</f>
        <v>FUX</v>
      </c>
      <c r="K1525" s="1">
        <v>2</v>
      </c>
      <c r="L1525" s="1" t="str">
        <f t="shared" si="954"/>
        <v>01</v>
      </c>
      <c r="M1525" s="1" t="str">
        <f t="shared" si="945"/>
        <v>409</v>
      </c>
      <c r="N1525" s="1" t="str">
        <f>"018"</f>
        <v>018</v>
      </c>
      <c r="O1525" s="1" t="str">
        <f t="shared" si="955"/>
        <v>00</v>
      </c>
      <c r="P1525" s="1" t="str">
        <f t="shared" si="956"/>
        <v>S</v>
      </c>
      <c r="Q1525" s="1" t="str">
        <f t="shared" si="957"/>
        <v>P</v>
      </c>
      <c r="R1525" s="1" t="str">
        <f t="shared" si="958"/>
        <v>01</v>
      </c>
      <c r="S1525" s="1" t="str">
        <f t="shared" si="997"/>
        <v>04</v>
      </c>
      <c r="T1525" s="1" t="str">
        <f t="shared" si="959"/>
        <v>False</v>
      </c>
      <c r="U1525" s="1" t="str">
        <f t="shared" si="960"/>
        <v>True</v>
      </c>
      <c r="V1525" s="1" t="str">
        <f>"U0028279"</f>
        <v>U0028279</v>
      </c>
      <c r="W1525" s="1">
        <v>1</v>
      </c>
      <c r="Y1525" s="1">
        <v>0</v>
      </c>
      <c r="Z1525" s="1">
        <v>0</v>
      </c>
      <c r="AB1525" s="1" t="str">
        <f t="shared" si="946"/>
        <v>SMU</v>
      </c>
      <c r="AI1525" s="1" t="str">
        <f t="shared" si="998"/>
        <v>F11</v>
      </c>
      <c r="AJ1525" s="1" t="str">
        <f t="shared" si="992"/>
        <v>WOMAN</v>
      </c>
      <c r="AK1525" s="1" t="str">
        <f t="shared" si="962"/>
        <v>PA</v>
      </c>
      <c r="AP1525" s="1" t="str">
        <f t="shared" si="963"/>
        <v>False</v>
      </c>
      <c r="AR1525" s="1" t="str">
        <f>"NOBIW"</f>
        <v>NOBIW</v>
      </c>
      <c r="AY1525" s="1" t="str">
        <f t="shared" si="964"/>
        <v>PF</v>
      </c>
      <c r="AZ1525" s="1">
        <v>0</v>
      </c>
      <c r="BA1525" s="1">
        <v>0</v>
      </c>
      <c r="BB1525" s="1">
        <v>0</v>
      </c>
      <c r="BC1525" s="1">
        <v>0</v>
      </c>
      <c r="BD1525" s="1">
        <v>0</v>
      </c>
      <c r="BE1525" s="1" t="str">
        <f>"UBBER FLAT MOL.CANVAS+MICROSUE"</f>
        <v>UBBER FLAT MOL.CANVAS+MICROSUE</v>
      </c>
      <c r="BF1525" s="1" t="str">
        <f t="shared" si="965"/>
        <v>Bonis SpA</v>
      </c>
    </row>
    <row r="1526" spans="2:58" x14ac:dyDescent="0.25">
      <c r="B1526" s="1">
        <v>2566</v>
      </c>
      <c r="C1526" s="1" t="str">
        <f>"GALAN4182S7/CY1"</f>
        <v>GALAN4182S7/CY1</v>
      </c>
      <c r="E1526" s="1" t="str">
        <f>"44"</f>
        <v>44</v>
      </c>
      <c r="F1526" s="1" t="str">
        <f t="shared" si="953"/>
        <v>BONIS SPA</v>
      </c>
      <c r="G1526" s="1" t="str">
        <f t="shared" si="996"/>
        <v>STOCK SCAFFALE MP</v>
      </c>
      <c r="H1526" s="1" t="str">
        <f>"DKBL"</f>
        <v>DKBL</v>
      </c>
      <c r="K1526" s="1">
        <v>2</v>
      </c>
      <c r="L1526" s="1" t="str">
        <f t="shared" si="954"/>
        <v>01</v>
      </c>
      <c r="M1526" s="1" t="str">
        <f t="shared" ref="M1526:M1589" si="999">"409"</f>
        <v>409</v>
      </c>
      <c r="N1526" s="1" t="str">
        <f>"016"</f>
        <v>016</v>
      </c>
      <c r="O1526" s="1" t="str">
        <f t="shared" si="955"/>
        <v>00</v>
      </c>
      <c r="P1526" s="1" t="str">
        <f t="shared" si="956"/>
        <v>S</v>
      </c>
      <c r="Q1526" s="1" t="str">
        <f t="shared" si="957"/>
        <v>P</v>
      </c>
      <c r="R1526" s="1" t="str">
        <f t="shared" si="958"/>
        <v>01</v>
      </c>
      <c r="S1526" s="1" t="str">
        <f t="shared" si="997"/>
        <v>04</v>
      </c>
      <c r="T1526" s="1" t="str">
        <f t="shared" si="959"/>
        <v>False</v>
      </c>
      <c r="U1526" s="1" t="str">
        <f t="shared" si="960"/>
        <v>True</v>
      </c>
      <c r="V1526" s="1" t="str">
        <f>"U0028280"</f>
        <v>U0028280</v>
      </c>
      <c r="W1526" s="1">
        <v>1</v>
      </c>
      <c r="Y1526" s="1">
        <v>0</v>
      </c>
      <c r="Z1526" s="1">
        <v>0</v>
      </c>
      <c r="AB1526" s="1" t="str">
        <f t="shared" ref="AB1526:AB1589" si="1000">"SMU"</f>
        <v>SMU</v>
      </c>
      <c r="AI1526" s="1" t="str">
        <f t="shared" si="998"/>
        <v>F11</v>
      </c>
      <c r="AJ1526" s="1" t="str">
        <f>"MAN"</f>
        <v>MAN</v>
      </c>
      <c r="AK1526" s="1" t="str">
        <f t="shared" si="962"/>
        <v>PA</v>
      </c>
      <c r="AP1526" s="1" t="str">
        <f t="shared" si="963"/>
        <v>False</v>
      </c>
      <c r="AR1526" s="1" t="str">
        <f>"GALAN"</f>
        <v>GALAN</v>
      </c>
      <c r="AY1526" s="1" t="str">
        <f t="shared" si="964"/>
        <v>PF</v>
      </c>
      <c r="AZ1526" s="1">
        <v>0</v>
      </c>
      <c r="BA1526" s="1">
        <v>0</v>
      </c>
      <c r="BB1526" s="1">
        <v>0</v>
      </c>
      <c r="BC1526" s="1">
        <v>0</v>
      </c>
      <c r="BD1526" s="1">
        <v>0</v>
      </c>
      <c r="BE1526" s="1" t="str">
        <f>"LAN+TWILL CANVAS + SIN.LEATHER"</f>
        <v>LAN+TWILL CANVAS + SIN.LEATHER</v>
      </c>
      <c r="BF1526" s="1" t="str">
        <f t="shared" si="965"/>
        <v>Bonis SpA</v>
      </c>
    </row>
    <row r="1527" spans="2:58" x14ac:dyDescent="0.25">
      <c r="B1527" s="1">
        <v>2566</v>
      </c>
      <c r="C1527" s="1" t="str">
        <f>"GALAN4182S7/CY1"</f>
        <v>GALAN4182S7/CY1</v>
      </c>
      <c r="E1527" s="1" t="str">
        <f>"43"</f>
        <v>43</v>
      </c>
      <c r="F1527" s="1" t="str">
        <f t="shared" si="953"/>
        <v>BONIS SPA</v>
      </c>
      <c r="G1527" s="1" t="str">
        <f t="shared" si="996"/>
        <v>STOCK SCAFFALE MP</v>
      </c>
      <c r="H1527" s="1" t="str">
        <f>"DKBL"</f>
        <v>DKBL</v>
      </c>
      <c r="K1527" s="1">
        <v>2</v>
      </c>
      <c r="L1527" s="1" t="str">
        <f t="shared" si="954"/>
        <v>01</v>
      </c>
      <c r="M1527" s="1" t="str">
        <f t="shared" si="999"/>
        <v>409</v>
      </c>
      <c r="N1527" s="1" t="str">
        <f>"016"</f>
        <v>016</v>
      </c>
      <c r="O1527" s="1" t="str">
        <f t="shared" si="955"/>
        <v>00</v>
      </c>
      <c r="P1527" s="1" t="str">
        <f t="shared" si="956"/>
        <v>S</v>
      </c>
      <c r="Q1527" s="1" t="str">
        <f t="shared" si="957"/>
        <v>P</v>
      </c>
      <c r="R1527" s="1" t="str">
        <f t="shared" si="958"/>
        <v>01</v>
      </c>
      <c r="S1527" s="1" t="str">
        <f t="shared" si="997"/>
        <v>04</v>
      </c>
      <c r="T1527" s="1" t="str">
        <f t="shared" si="959"/>
        <v>False</v>
      </c>
      <c r="U1527" s="1" t="str">
        <f t="shared" si="960"/>
        <v>True</v>
      </c>
      <c r="V1527" s="1" t="str">
        <f>"U0028280"</f>
        <v>U0028280</v>
      </c>
      <c r="W1527" s="1">
        <v>1</v>
      </c>
      <c r="Y1527" s="1">
        <v>0</v>
      </c>
      <c r="Z1527" s="1">
        <v>0</v>
      </c>
      <c r="AB1527" s="1" t="str">
        <f t="shared" si="1000"/>
        <v>SMU</v>
      </c>
      <c r="AI1527" s="1" t="str">
        <f t="shared" si="998"/>
        <v>F11</v>
      </c>
      <c r="AJ1527" s="1" t="str">
        <f>"MAN"</f>
        <v>MAN</v>
      </c>
      <c r="AK1527" s="1" t="str">
        <f t="shared" si="962"/>
        <v>PA</v>
      </c>
      <c r="AP1527" s="1" t="str">
        <f t="shared" si="963"/>
        <v>False</v>
      </c>
      <c r="AR1527" s="1" t="str">
        <f>"GALAN"</f>
        <v>GALAN</v>
      </c>
      <c r="AY1527" s="1" t="str">
        <f t="shared" si="964"/>
        <v>PF</v>
      </c>
      <c r="AZ1527" s="1">
        <v>0</v>
      </c>
      <c r="BA1527" s="1">
        <v>0</v>
      </c>
      <c r="BB1527" s="1">
        <v>0</v>
      </c>
      <c r="BC1527" s="1">
        <v>0</v>
      </c>
      <c r="BD1527" s="1">
        <v>0</v>
      </c>
      <c r="BE1527" s="1" t="str">
        <f>"LAN+TWILL CANVAS + SIN.LEATHER"</f>
        <v>LAN+TWILL CANVAS + SIN.LEATHER</v>
      </c>
      <c r="BF1527" s="1" t="str">
        <f t="shared" si="965"/>
        <v>Bonis SpA</v>
      </c>
    </row>
    <row r="1528" spans="2:58" x14ac:dyDescent="0.25">
      <c r="B1528" s="1">
        <v>2566</v>
      </c>
      <c r="C1528" s="1" t="str">
        <f>"GALAN4182S7/CY1"</f>
        <v>GALAN4182S7/CY1</v>
      </c>
      <c r="E1528" s="1" t="str">
        <f>"41"</f>
        <v>41</v>
      </c>
      <c r="F1528" s="1" t="str">
        <f t="shared" si="953"/>
        <v>BONIS SPA</v>
      </c>
      <c r="G1528" s="1" t="str">
        <f t="shared" si="996"/>
        <v>STOCK SCAFFALE MP</v>
      </c>
      <c r="H1528" s="1" t="str">
        <f>"DKBL"</f>
        <v>DKBL</v>
      </c>
      <c r="K1528" s="1">
        <v>2</v>
      </c>
      <c r="L1528" s="1" t="str">
        <f t="shared" si="954"/>
        <v>01</v>
      </c>
      <c r="M1528" s="1" t="str">
        <f t="shared" si="999"/>
        <v>409</v>
      </c>
      <c r="N1528" s="1" t="str">
        <f>"016"</f>
        <v>016</v>
      </c>
      <c r="O1528" s="1" t="str">
        <f t="shared" si="955"/>
        <v>00</v>
      </c>
      <c r="P1528" s="1" t="str">
        <f t="shared" si="956"/>
        <v>S</v>
      </c>
      <c r="Q1528" s="1" t="str">
        <f t="shared" si="957"/>
        <v>P</v>
      </c>
      <c r="R1528" s="1" t="str">
        <f t="shared" si="958"/>
        <v>01</v>
      </c>
      <c r="S1528" s="1" t="str">
        <f t="shared" si="997"/>
        <v>04</v>
      </c>
      <c r="T1528" s="1" t="str">
        <f t="shared" si="959"/>
        <v>False</v>
      </c>
      <c r="U1528" s="1" t="str">
        <f t="shared" si="960"/>
        <v>True</v>
      </c>
      <c r="V1528" s="1" t="str">
        <f>"U0028280"</f>
        <v>U0028280</v>
      </c>
      <c r="W1528" s="1">
        <v>1</v>
      </c>
      <c r="Y1528" s="1">
        <v>0</v>
      </c>
      <c r="Z1528" s="1">
        <v>0</v>
      </c>
      <c r="AB1528" s="1" t="str">
        <f t="shared" si="1000"/>
        <v>SMU</v>
      </c>
      <c r="AI1528" s="1" t="str">
        <f t="shared" si="998"/>
        <v>F11</v>
      </c>
      <c r="AJ1528" s="1" t="str">
        <f>"MAN"</f>
        <v>MAN</v>
      </c>
      <c r="AK1528" s="1" t="str">
        <f t="shared" si="962"/>
        <v>PA</v>
      </c>
      <c r="AP1528" s="1" t="str">
        <f t="shared" si="963"/>
        <v>False</v>
      </c>
      <c r="AR1528" s="1" t="str">
        <f>"GALAN"</f>
        <v>GALAN</v>
      </c>
      <c r="AY1528" s="1" t="str">
        <f t="shared" si="964"/>
        <v>PF</v>
      </c>
      <c r="AZ1528" s="1">
        <v>0</v>
      </c>
      <c r="BA1528" s="1">
        <v>0</v>
      </c>
      <c r="BB1528" s="1">
        <v>0</v>
      </c>
      <c r="BC1528" s="1">
        <v>0</v>
      </c>
      <c r="BD1528" s="1">
        <v>0</v>
      </c>
      <c r="BE1528" s="1" t="str">
        <f>"LAN+TWILL CANVAS + SIN.LEATHER"</f>
        <v>LAN+TWILL CANVAS + SIN.LEATHER</v>
      </c>
      <c r="BF1528" s="1" t="str">
        <f t="shared" si="965"/>
        <v>Bonis SpA</v>
      </c>
    </row>
    <row r="1529" spans="2:58" x14ac:dyDescent="0.25">
      <c r="B1529" s="1">
        <v>2566</v>
      </c>
      <c r="C1529" s="1" t="str">
        <f>"GALAN4182S7/CY1"</f>
        <v>GALAN4182S7/CY1</v>
      </c>
      <c r="E1529" s="1" t="str">
        <f>"40"</f>
        <v>40</v>
      </c>
      <c r="F1529" s="1" t="str">
        <f t="shared" si="953"/>
        <v>BONIS SPA</v>
      </c>
      <c r="G1529" s="1" t="str">
        <f t="shared" si="996"/>
        <v>STOCK SCAFFALE MP</v>
      </c>
      <c r="H1529" s="1" t="str">
        <f>"DKBL"</f>
        <v>DKBL</v>
      </c>
      <c r="K1529" s="1">
        <v>1</v>
      </c>
      <c r="L1529" s="1" t="str">
        <f t="shared" si="954"/>
        <v>01</v>
      </c>
      <c r="M1529" s="1" t="str">
        <f t="shared" si="999"/>
        <v>409</v>
      </c>
      <c r="N1529" s="1" t="str">
        <f>"016"</f>
        <v>016</v>
      </c>
      <c r="O1529" s="1" t="str">
        <f t="shared" si="955"/>
        <v>00</v>
      </c>
      <c r="P1529" s="1" t="str">
        <f t="shared" si="956"/>
        <v>S</v>
      </c>
      <c r="Q1529" s="1" t="str">
        <f t="shared" si="957"/>
        <v>P</v>
      </c>
      <c r="R1529" s="1" t="str">
        <f t="shared" si="958"/>
        <v>01</v>
      </c>
      <c r="S1529" s="1" t="str">
        <f t="shared" si="997"/>
        <v>04</v>
      </c>
      <c r="T1529" s="1" t="str">
        <f t="shared" si="959"/>
        <v>False</v>
      </c>
      <c r="U1529" s="1" t="str">
        <f t="shared" si="960"/>
        <v>True</v>
      </c>
      <c r="V1529" s="1" t="str">
        <f>"U0028280"</f>
        <v>U0028280</v>
      </c>
      <c r="W1529" s="1">
        <v>1</v>
      </c>
      <c r="Y1529" s="1">
        <v>0</v>
      </c>
      <c r="Z1529" s="1">
        <v>0</v>
      </c>
      <c r="AB1529" s="1" t="str">
        <f t="shared" si="1000"/>
        <v>SMU</v>
      </c>
      <c r="AI1529" s="1" t="str">
        <f t="shared" si="998"/>
        <v>F11</v>
      </c>
      <c r="AJ1529" s="1" t="str">
        <f>"MAN"</f>
        <v>MAN</v>
      </c>
      <c r="AK1529" s="1" t="str">
        <f t="shared" si="962"/>
        <v>PA</v>
      </c>
      <c r="AP1529" s="1" t="str">
        <f t="shared" si="963"/>
        <v>False</v>
      </c>
      <c r="AR1529" s="1" t="str">
        <f>"GALAN"</f>
        <v>GALAN</v>
      </c>
      <c r="AY1529" s="1" t="str">
        <f t="shared" si="964"/>
        <v>PF</v>
      </c>
      <c r="AZ1529" s="1">
        <v>0</v>
      </c>
      <c r="BA1529" s="1">
        <v>0</v>
      </c>
      <c r="BB1529" s="1">
        <v>0</v>
      </c>
      <c r="BC1529" s="1">
        <v>0</v>
      </c>
      <c r="BD1529" s="1">
        <v>0</v>
      </c>
      <c r="BE1529" s="1" t="str">
        <f>"LAN+TWILL CANVAS + SIN.LEATHER"</f>
        <v>LAN+TWILL CANVAS + SIN.LEATHER</v>
      </c>
      <c r="BF1529" s="1" t="str">
        <f t="shared" si="965"/>
        <v>Bonis SpA</v>
      </c>
    </row>
    <row r="1530" spans="2:58" x14ac:dyDescent="0.25">
      <c r="B1530" s="1">
        <v>2563</v>
      </c>
      <c r="C1530" s="1" t="str">
        <f t="shared" ref="C1530:C1543" si="1001">"DYON4190S7/C1"</f>
        <v>DYON4190S7/C1</v>
      </c>
      <c r="E1530" s="1" t="str">
        <f>"38"</f>
        <v>38</v>
      </c>
      <c r="F1530" s="1" t="str">
        <f t="shared" si="953"/>
        <v>BONIS SPA</v>
      </c>
      <c r="G1530" s="1" t="str">
        <f t="shared" si="996"/>
        <v>STOCK SCAFFALE MP</v>
      </c>
      <c r="H1530" s="1" t="str">
        <f t="shared" ref="H1530:H1550" si="1002">"AVIO"</f>
        <v>AVIO</v>
      </c>
      <c r="K1530" s="1">
        <v>3</v>
      </c>
      <c r="L1530" s="1" t="str">
        <f t="shared" si="954"/>
        <v>01</v>
      </c>
      <c r="M1530" s="1" t="str">
        <f t="shared" si="999"/>
        <v>409</v>
      </c>
      <c r="N1530" s="1" t="str">
        <f>"015"</f>
        <v>015</v>
      </c>
      <c r="O1530" s="1" t="str">
        <f t="shared" si="955"/>
        <v>00</v>
      </c>
      <c r="P1530" s="1" t="str">
        <f t="shared" si="956"/>
        <v>S</v>
      </c>
      <c r="Q1530" s="1" t="str">
        <f t="shared" si="957"/>
        <v>P</v>
      </c>
      <c r="R1530" s="1" t="str">
        <f t="shared" si="958"/>
        <v>01</v>
      </c>
      <c r="S1530" s="1" t="str">
        <f t="shared" si="997"/>
        <v>04</v>
      </c>
      <c r="T1530" s="1" t="str">
        <f t="shared" si="959"/>
        <v>False</v>
      </c>
      <c r="U1530" s="1" t="str">
        <f t="shared" si="960"/>
        <v>True</v>
      </c>
      <c r="V1530" s="1" t="str">
        <f>"U0028281"</f>
        <v>U0028281</v>
      </c>
      <c r="W1530" s="1">
        <v>1</v>
      </c>
      <c r="Y1530" s="1">
        <v>0</v>
      </c>
      <c r="Z1530" s="1">
        <v>0</v>
      </c>
      <c r="AB1530" s="1" t="str">
        <f t="shared" si="1000"/>
        <v>SMU</v>
      </c>
      <c r="AI1530" s="1" t="str">
        <f t="shared" si="998"/>
        <v>F11</v>
      </c>
      <c r="AJ1530" s="1" t="str">
        <f t="shared" ref="AJ1530:AJ1561" si="1003">"WOMAN"</f>
        <v>WOMAN</v>
      </c>
      <c r="AK1530" s="1" t="str">
        <f t="shared" si="962"/>
        <v>PA</v>
      </c>
      <c r="AP1530" s="1" t="str">
        <f t="shared" si="963"/>
        <v>False</v>
      </c>
      <c r="AR1530" s="1" t="str">
        <f t="shared" ref="AR1530:AR1561" si="1004">"DYON"</f>
        <v>DYON</v>
      </c>
      <c r="AY1530" s="1" t="str">
        <f t="shared" si="964"/>
        <v>PF</v>
      </c>
      <c r="AZ1530" s="1">
        <v>0</v>
      </c>
      <c r="BA1530" s="1">
        <v>0</v>
      </c>
      <c r="BB1530" s="1">
        <v>0</v>
      </c>
      <c r="BC1530" s="1">
        <v>0</v>
      </c>
      <c r="BD1530" s="1">
        <v>0</v>
      </c>
      <c r="BE1530" s="1" t="str">
        <f t="shared" ref="BE1530:BE1543" si="1005">"ION GOMMA TWILL CANVAS"</f>
        <v>ION GOMMA TWILL CANVAS</v>
      </c>
      <c r="BF1530" s="1" t="str">
        <f t="shared" si="965"/>
        <v>Bonis SpA</v>
      </c>
    </row>
    <row r="1531" spans="2:58" x14ac:dyDescent="0.25">
      <c r="B1531" s="1">
        <v>2563</v>
      </c>
      <c r="C1531" s="1" t="str">
        <f t="shared" si="1001"/>
        <v>DYON4190S7/C1</v>
      </c>
      <c r="E1531" s="1" t="str">
        <f>"37"</f>
        <v>37</v>
      </c>
      <c r="F1531" s="1" t="str">
        <f t="shared" si="953"/>
        <v>BONIS SPA</v>
      </c>
      <c r="G1531" s="1" t="str">
        <f t="shared" si="996"/>
        <v>STOCK SCAFFALE MP</v>
      </c>
      <c r="H1531" s="1" t="str">
        <f t="shared" si="1002"/>
        <v>AVIO</v>
      </c>
      <c r="K1531" s="1">
        <v>2</v>
      </c>
      <c r="L1531" s="1" t="str">
        <f t="shared" si="954"/>
        <v>01</v>
      </c>
      <c r="M1531" s="1" t="str">
        <f t="shared" si="999"/>
        <v>409</v>
      </c>
      <c r="N1531" s="1" t="str">
        <f>"015"</f>
        <v>015</v>
      </c>
      <c r="O1531" s="1" t="str">
        <f t="shared" si="955"/>
        <v>00</v>
      </c>
      <c r="P1531" s="1" t="str">
        <f t="shared" si="956"/>
        <v>S</v>
      </c>
      <c r="Q1531" s="1" t="str">
        <f t="shared" si="957"/>
        <v>P</v>
      </c>
      <c r="R1531" s="1" t="str">
        <f t="shared" si="958"/>
        <v>01</v>
      </c>
      <c r="S1531" s="1" t="str">
        <f t="shared" si="997"/>
        <v>04</v>
      </c>
      <c r="T1531" s="1" t="str">
        <f t="shared" si="959"/>
        <v>False</v>
      </c>
      <c r="U1531" s="1" t="str">
        <f t="shared" si="960"/>
        <v>True</v>
      </c>
      <c r="V1531" s="1" t="str">
        <f>"U0028281"</f>
        <v>U0028281</v>
      </c>
      <c r="W1531" s="1">
        <v>1</v>
      </c>
      <c r="Y1531" s="1">
        <v>0</v>
      </c>
      <c r="Z1531" s="1">
        <v>0</v>
      </c>
      <c r="AB1531" s="1" t="str">
        <f t="shared" si="1000"/>
        <v>SMU</v>
      </c>
      <c r="AI1531" s="1" t="str">
        <f t="shared" si="998"/>
        <v>F11</v>
      </c>
      <c r="AJ1531" s="1" t="str">
        <f t="shared" si="1003"/>
        <v>WOMAN</v>
      </c>
      <c r="AK1531" s="1" t="str">
        <f t="shared" si="962"/>
        <v>PA</v>
      </c>
      <c r="AP1531" s="1" t="str">
        <f t="shared" si="963"/>
        <v>False</v>
      </c>
      <c r="AR1531" s="1" t="str">
        <f t="shared" si="1004"/>
        <v>DYON</v>
      </c>
      <c r="AY1531" s="1" t="str">
        <f t="shared" si="964"/>
        <v>PF</v>
      </c>
      <c r="AZ1531" s="1">
        <v>0</v>
      </c>
      <c r="BA1531" s="1">
        <v>0</v>
      </c>
      <c r="BB1531" s="1">
        <v>0</v>
      </c>
      <c r="BC1531" s="1">
        <v>0</v>
      </c>
      <c r="BD1531" s="1">
        <v>0</v>
      </c>
      <c r="BE1531" s="1" t="str">
        <f t="shared" si="1005"/>
        <v>ION GOMMA TWILL CANVAS</v>
      </c>
      <c r="BF1531" s="1" t="str">
        <f t="shared" si="965"/>
        <v>Bonis SpA</v>
      </c>
    </row>
    <row r="1532" spans="2:58" x14ac:dyDescent="0.25">
      <c r="B1532" s="1">
        <v>2563</v>
      </c>
      <c r="C1532" s="1" t="str">
        <f t="shared" si="1001"/>
        <v>DYON4190S7/C1</v>
      </c>
      <c r="E1532" s="1" t="str">
        <f>"40"</f>
        <v>40</v>
      </c>
      <c r="F1532" s="1" t="str">
        <f t="shared" si="953"/>
        <v>BONIS SPA</v>
      </c>
      <c r="G1532" s="1" t="str">
        <f t="shared" si="996"/>
        <v>STOCK SCAFFALE MP</v>
      </c>
      <c r="H1532" s="1" t="str">
        <f t="shared" si="1002"/>
        <v>AVIO</v>
      </c>
      <c r="K1532" s="1">
        <v>2</v>
      </c>
      <c r="L1532" s="1" t="str">
        <f t="shared" si="954"/>
        <v>01</v>
      </c>
      <c r="M1532" s="1" t="str">
        <f t="shared" si="999"/>
        <v>409</v>
      </c>
      <c r="N1532" s="1" t="str">
        <f>"015"</f>
        <v>015</v>
      </c>
      <c r="O1532" s="1" t="str">
        <f t="shared" si="955"/>
        <v>00</v>
      </c>
      <c r="P1532" s="1" t="str">
        <f t="shared" si="956"/>
        <v>S</v>
      </c>
      <c r="Q1532" s="1" t="str">
        <f t="shared" si="957"/>
        <v>P</v>
      </c>
      <c r="R1532" s="1" t="str">
        <f t="shared" si="958"/>
        <v>01</v>
      </c>
      <c r="S1532" s="1" t="str">
        <f t="shared" si="997"/>
        <v>04</v>
      </c>
      <c r="T1532" s="1" t="str">
        <f t="shared" si="959"/>
        <v>False</v>
      </c>
      <c r="U1532" s="1" t="str">
        <f t="shared" si="960"/>
        <v>True</v>
      </c>
      <c r="V1532" s="1" t="str">
        <f>"U0028281"</f>
        <v>U0028281</v>
      </c>
      <c r="W1532" s="1">
        <v>1</v>
      </c>
      <c r="Y1532" s="1">
        <v>0</v>
      </c>
      <c r="Z1532" s="1">
        <v>0</v>
      </c>
      <c r="AB1532" s="1" t="str">
        <f t="shared" si="1000"/>
        <v>SMU</v>
      </c>
      <c r="AI1532" s="1" t="str">
        <f t="shared" si="998"/>
        <v>F11</v>
      </c>
      <c r="AJ1532" s="1" t="str">
        <f t="shared" si="1003"/>
        <v>WOMAN</v>
      </c>
      <c r="AK1532" s="1" t="str">
        <f t="shared" si="962"/>
        <v>PA</v>
      </c>
      <c r="AP1532" s="1" t="str">
        <f t="shared" si="963"/>
        <v>False</v>
      </c>
      <c r="AR1532" s="1" t="str">
        <f t="shared" si="1004"/>
        <v>DYON</v>
      </c>
      <c r="AY1532" s="1" t="str">
        <f t="shared" si="964"/>
        <v>PF</v>
      </c>
      <c r="AZ1532" s="1">
        <v>0</v>
      </c>
      <c r="BA1532" s="1">
        <v>0</v>
      </c>
      <c r="BB1532" s="1">
        <v>0</v>
      </c>
      <c r="BC1532" s="1">
        <v>0</v>
      </c>
      <c r="BD1532" s="1">
        <v>0</v>
      </c>
      <c r="BE1532" s="1" t="str">
        <f t="shared" si="1005"/>
        <v>ION GOMMA TWILL CANVAS</v>
      </c>
      <c r="BF1532" s="1" t="str">
        <f t="shared" si="965"/>
        <v>Bonis SpA</v>
      </c>
    </row>
    <row r="1533" spans="2:58" x14ac:dyDescent="0.25">
      <c r="B1533" s="1">
        <v>2563</v>
      </c>
      <c r="C1533" s="1" t="str">
        <f t="shared" si="1001"/>
        <v>DYON4190S7/C1</v>
      </c>
      <c r="E1533" s="1" t="str">
        <f>"39"</f>
        <v>39</v>
      </c>
      <c r="F1533" s="1" t="str">
        <f t="shared" si="953"/>
        <v>BONIS SPA</v>
      </c>
      <c r="G1533" s="1" t="str">
        <f t="shared" si="996"/>
        <v>STOCK SCAFFALE MP</v>
      </c>
      <c r="H1533" s="1" t="str">
        <f t="shared" si="1002"/>
        <v>AVIO</v>
      </c>
      <c r="K1533" s="1">
        <v>3</v>
      </c>
      <c r="L1533" s="1" t="str">
        <f t="shared" si="954"/>
        <v>01</v>
      </c>
      <c r="M1533" s="1" t="str">
        <f t="shared" si="999"/>
        <v>409</v>
      </c>
      <c r="N1533" s="1" t="str">
        <f>"015"</f>
        <v>015</v>
      </c>
      <c r="O1533" s="1" t="str">
        <f t="shared" si="955"/>
        <v>00</v>
      </c>
      <c r="P1533" s="1" t="str">
        <f t="shared" si="956"/>
        <v>S</v>
      </c>
      <c r="Q1533" s="1" t="str">
        <f t="shared" si="957"/>
        <v>P</v>
      </c>
      <c r="R1533" s="1" t="str">
        <f t="shared" si="958"/>
        <v>01</v>
      </c>
      <c r="S1533" s="1" t="str">
        <f t="shared" si="997"/>
        <v>04</v>
      </c>
      <c r="T1533" s="1" t="str">
        <f t="shared" si="959"/>
        <v>False</v>
      </c>
      <c r="U1533" s="1" t="str">
        <f t="shared" si="960"/>
        <v>True</v>
      </c>
      <c r="V1533" s="1" t="str">
        <f>"U0028281"</f>
        <v>U0028281</v>
      </c>
      <c r="W1533" s="1">
        <v>1</v>
      </c>
      <c r="Y1533" s="1">
        <v>0</v>
      </c>
      <c r="Z1533" s="1">
        <v>0</v>
      </c>
      <c r="AB1533" s="1" t="str">
        <f t="shared" si="1000"/>
        <v>SMU</v>
      </c>
      <c r="AI1533" s="1" t="str">
        <f t="shared" si="998"/>
        <v>F11</v>
      </c>
      <c r="AJ1533" s="1" t="str">
        <f t="shared" si="1003"/>
        <v>WOMAN</v>
      </c>
      <c r="AK1533" s="1" t="str">
        <f t="shared" si="962"/>
        <v>PA</v>
      </c>
      <c r="AP1533" s="1" t="str">
        <f t="shared" si="963"/>
        <v>False</v>
      </c>
      <c r="AR1533" s="1" t="str">
        <f t="shared" si="1004"/>
        <v>DYON</v>
      </c>
      <c r="AY1533" s="1" t="str">
        <f t="shared" si="964"/>
        <v>PF</v>
      </c>
      <c r="AZ1533" s="1">
        <v>0</v>
      </c>
      <c r="BA1533" s="1">
        <v>0</v>
      </c>
      <c r="BB1533" s="1">
        <v>0</v>
      </c>
      <c r="BC1533" s="1">
        <v>0</v>
      </c>
      <c r="BD1533" s="1">
        <v>0</v>
      </c>
      <c r="BE1533" s="1" t="str">
        <f t="shared" si="1005"/>
        <v>ION GOMMA TWILL CANVAS</v>
      </c>
      <c r="BF1533" s="1" t="str">
        <f t="shared" si="965"/>
        <v>Bonis SpA</v>
      </c>
    </row>
    <row r="1534" spans="2:58" x14ac:dyDescent="0.25">
      <c r="B1534" s="1">
        <v>2572</v>
      </c>
      <c r="C1534" s="1" t="str">
        <f t="shared" si="1001"/>
        <v>DYON4190S7/C1</v>
      </c>
      <c r="E1534" s="1" t="str">
        <f>"40"</f>
        <v>40</v>
      </c>
      <c r="F1534" s="1" t="str">
        <f t="shared" si="953"/>
        <v>BONIS SPA</v>
      </c>
      <c r="G1534" s="1" t="str">
        <f t="shared" si="996"/>
        <v>STOCK SCAFFALE MP</v>
      </c>
      <c r="H1534" s="1" t="str">
        <f t="shared" si="1002"/>
        <v>AVIO</v>
      </c>
      <c r="K1534" s="1">
        <v>2</v>
      </c>
      <c r="L1534" s="1" t="str">
        <f t="shared" si="954"/>
        <v>01</v>
      </c>
      <c r="M1534" s="1" t="str">
        <f t="shared" si="999"/>
        <v>409</v>
      </c>
      <c r="N1534" s="1" t="str">
        <f t="shared" ref="N1534:N1553" si="1006">"018"</f>
        <v>018</v>
      </c>
      <c r="O1534" s="1" t="str">
        <f t="shared" si="955"/>
        <v>00</v>
      </c>
      <c r="P1534" s="1" t="str">
        <f t="shared" si="956"/>
        <v>S</v>
      </c>
      <c r="Q1534" s="1" t="str">
        <f t="shared" si="957"/>
        <v>P</v>
      </c>
      <c r="R1534" s="1" t="str">
        <f t="shared" si="958"/>
        <v>01</v>
      </c>
      <c r="S1534" s="1" t="str">
        <f t="shared" si="997"/>
        <v>04</v>
      </c>
      <c r="T1534" s="1" t="str">
        <f t="shared" si="959"/>
        <v>False</v>
      </c>
      <c r="U1534" s="1" t="str">
        <f t="shared" si="960"/>
        <v>True</v>
      </c>
      <c r="V1534" s="1" t="str">
        <f>"U0028282"</f>
        <v>U0028282</v>
      </c>
      <c r="W1534" s="1">
        <v>1</v>
      </c>
      <c r="Y1534" s="1">
        <v>0</v>
      </c>
      <c r="Z1534" s="1">
        <v>0</v>
      </c>
      <c r="AB1534" s="1" t="str">
        <f t="shared" si="1000"/>
        <v>SMU</v>
      </c>
      <c r="AI1534" s="1" t="str">
        <f t="shared" si="998"/>
        <v>F11</v>
      </c>
      <c r="AJ1534" s="1" t="str">
        <f t="shared" si="1003"/>
        <v>WOMAN</v>
      </c>
      <c r="AK1534" s="1" t="str">
        <f t="shared" si="962"/>
        <v>PA</v>
      </c>
      <c r="AP1534" s="1" t="str">
        <f t="shared" si="963"/>
        <v>False</v>
      </c>
      <c r="AR1534" s="1" t="str">
        <f t="shared" si="1004"/>
        <v>DYON</v>
      </c>
      <c r="AY1534" s="1" t="str">
        <f t="shared" si="964"/>
        <v>PF</v>
      </c>
      <c r="AZ1534" s="1">
        <v>0</v>
      </c>
      <c r="BA1534" s="1">
        <v>0</v>
      </c>
      <c r="BB1534" s="1">
        <v>0</v>
      </c>
      <c r="BC1534" s="1">
        <v>0</v>
      </c>
      <c r="BD1534" s="1">
        <v>0</v>
      </c>
      <c r="BE1534" s="1" t="str">
        <f t="shared" si="1005"/>
        <v>ION GOMMA TWILL CANVAS</v>
      </c>
      <c r="BF1534" s="1" t="str">
        <f t="shared" si="965"/>
        <v>Bonis SpA</v>
      </c>
    </row>
    <row r="1535" spans="2:58" x14ac:dyDescent="0.25">
      <c r="B1535" s="1">
        <v>2572</v>
      </c>
      <c r="C1535" s="1" t="str">
        <f t="shared" si="1001"/>
        <v>DYON4190S7/C1</v>
      </c>
      <c r="E1535" s="1" t="str">
        <f>"39"</f>
        <v>39</v>
      </c>
      <c r="F1535" s="1" t="str">
        <f t="shared" si="953"/>
        <v>BONIS SPA</v>
      </c>
      <c r="G1535" s="1" t="str">
        <f t="shared" si="996"/>
        <v>STOCK SCAFFALE MP</v>
      </c>
      <c r="H1535" s="1" t="str">
        <f t="shared" si="1002"/>
        <v>AVIO</v>
      </c>
      <c r="K1535" s="1">
        <v>3</v>
      </c>
      <c r="L1535" s="1" t="str">
        <f t="shared" si="954"/>
        <v>01</v>
      </c>
      <c r="M1535" s="1" t="str">
        <f t="shared" si="999"/>
        <v>409</v>
      </c>
      <c r="N1535" s="1" t="str">
        <f t="shared" si="1006"/>
        <v>018</v>
      </c>
      <c r="O1535" s="1" t="str">
        <f t="shared" si="955"/>
        <v>00</v>
      </c>
      <c r="P1535" s="1" t="str">
        <f t="shared" si="956"/>
        <v>S</v>
      </c>
      <c r="Q1535" s="1" t="str">
        <f t="shared" si="957"/>
        <v>P</v>
      </c>
      <c r="R1535" s="1" t="str">
        <f t="shared" si="958"/>
        <v>01</v>
      </c>
      <c r="S1535" s="1" t="str">
        <f t="shared" si="997"/>
        <v>04</v>
      </c>
      <c r="T1535" s="1" t="str">
        <f t="shared" si="959"/>
        <v>False</v>
      </c>
      <c r="U1535" s="1" t="str">
        <f t="shared" si="960"/>
        <v>True</v>
      </c>
      <c r="V1535" s="1" t="str">
        <f>"U0028282"</f>
        <v>U0028282</v>
      </c>
      <c r="W1535" s="1">
        <v>1</v>
      </c>
      <c r="Y1535" s="1">
        <v>0</v>
      </c>
      <c r="Z1535" s="1">
        <v>0</v>
      </c>
      <c r="AB1535" s="1" t="str">
        <f t="shared" si="1000"/>
        <v>SMU</v>
      </c>
      <c r="AI1535" s="1" t="str">
        <f t="shared" si="998"/>
        <v>F11</v>
      </c>
      <c r="AJ1535" s="1" t="str">
        <f t="shared" si="1003"/>
        <v>WOMAN</v>
      </c>
      <c r="AK1535" s="1" t="str">
        <f t="shared" si="962"/>
        <v>PA</v>
      </c>
      <c r="AP1535" s="1" t="str">
        <f t="shared" si="963"/>
        <v>False</v>
      </c>
      <c r="AR1535" s="1" t="str">
        <f t="shared" si="1004"/>
        <v>DYON</v>
      </c>
      <c r="AY1535" s="1" t="str">
        <f t="shared" si="964"/>
        <v>PF</v>
      </c>
      <c r="AZ1535" s="1">
        <v>0</v>
      </c>
      <c r="BA1535" s="1">
        <v>0</v>
      </c>
      <c r="BB1535" s="1">
        <v>0</v>
      </c>
      <c r="BC1535" s="1">
        <v>0</v>
      </c>
      <c r="BD1535" s="1">
        <v>0</v>
      </c>
      <c r="BE1535" s="1" t="str">
        <f t="shared" si="1005"/>
        <v>ION GOMMA TWILL CANVAS</v>
      </c>
      <c r="BF1535" s="1" t="str">
        <f t="shared" si="965"/>
        <v>Bonis SpA</v>
      </c>
    </row>
    <row r="1536" spans="2:58" x14ac:dyDescent="0.25">
      <c r="B1536" s="1">
        <v>2572</v>
      </c>
      <c r="C1536" s="1" t="str">
        <f t="shared" si="1001"/>
        <v>DYON4190S7/C1</v>
      </c>
      <c r="E1536" s="1" t="str">
        <f>"36"</f>
        <v>36</v>
      </c>
      <c r="F1536" s="1" t="str">
        <f t="shared" si="953"/>
        <v>BONIS SPA</v>
      </c>
      <c r="G1536" s="1" t="str">
        <f t="shared" si="996"/>
        <v>STOCK SCAFFALE MP</v>
      </c>
      <c r="H1536" s="1" t="str">
        <f t="shared" si="1002"/>
        <v>AVIO</v>
      </c>
      <c r="K1536" s="1">
        <v>1</v>
      </c>
      <c r="L1536" s="1" t="str">
        <f t="shared" si="954"/>
        <v>01</v>
      </c>
      <c r="M1536" s="1" t="str">
        <f t="shared" si="999"/>
        <v>409</v>
      </c>
      <c r="N1536" s="1" t="str">
        <f t="shared" si="1006"/>
        <v>018</v>
      </c>
      <c r="O1536" s="1" t="str">
        <f t="shared" si="955"/>
        <v>00</v>
      </c>
      <c r="P1536" s="1" t="str">
        <f t="shared" si="956"/>
        <v>S</v>
      </c>
      <c r="Q1536" s="1" t="str">
        <f t="shared" si="957"/>
        <v>P</v>
      </c>
      <c r="R1536" s="1" t="str">
        <f t="shared" si="958"/>
        <v>01</v>
      </c>
      <c r="S1536" s="1" t="str">
        <f t="shared" si="997"/>
        <v>04</v>
      </c>
      <c r="T1536" s="1" t="str">
        <f t="shared" si="959"/>
        <v>False</v>
      </c>
      <c r="U1536" s="1" t="str">
        <f t="shared" si="960"/>
        <v>True</v>
      </c>
      <c r="V1536" s="1" t="str">
        <f>"U0028282"</f>
        <v>U0028282</v>
      </c>
      <c r="W1536" s="1">
        <v>1</v>
      </c>
      <c r="Y1536" s="1">
        <v>0</v>
      </c>
      <c r="Z1536" s="1">
        <v>0</v>
      </c>
      <c r="AB1536" s="1" t="str">
        <f t="shared" si="1000"/>
        <v>SMU</v>
      </c>
      <c r="AI1536" s="1" t="str">
        <f t="shared" si="998"/>
        <v>F11</v>
      </c>
      <c r="AJ1536" s="1" t="str">
        <f t="shared" si="1003"/>
        <v>WOMAN</v>
      </c>
      <c r="AK1536" s="1" t="str">
        <f t="shared" si="962"/>
        <v>PA</v>
      </c>
      <c r="AP1536" s="1" t="str">
        <f t="shared" si="963"/>
        <v>False</v>
      </c>
      <c r="AR1536" s="1" t="str">
        <f t="shared" si="1004"/>
        <v>DYON</v>
      </c>
      <c r="AY1536" s="1" t="str">
        <f t="shared" si="964"/>
        <v>PF</v>
      </c>
      <c r="AZ1536" s="1">
        <v>0</v>
      </c>
      <c r="BA1536" s="1">
        <v>0</v>
      </c>
      <c r="BB1536" s="1">
        <v>0</v>
      </c>
      <c r="BC1536" s="1">
        <v>0</v>
      </c>
      <c r="BD1536" s="1">
        <v>0</v>
      </c>
      <c r="BE1536" s="1" t="str">
        <f t="shared" si="1005"/>
        <v>ION GOMMA TWILL CANVAS</v>
      </c>
      <c r="BF1536" s="1" t="str">
        <f t="shared" si="965"/>
        <v>Bonis SpA</v>
      </c>
    </row>
    <row r="1537" spans="2:58" x14ac:dyDescent="0.25">
      <c r="B1537" s="1">
        <v>2572</v>
      </c>
      <c r="C1537" s="1" t="str">
        <f t="shared" si="1001"/>
        <v>DYON4190S7/C1</v>
      </c>
      <c r="E1537" s="1" t="str">
        <f>"37"</f>
        <v>37</v>
      </c>
      <c r="F1537" s="1" t="str">
        <f t="shared" si="953"/>
        <v>BONIS SPA</v>
      </c>
      <c r="G1537" s="1" t="str">
        <f t="shared" si="996"/>
        <v>STOCK SCAFFALE MP</v>
      </c>
      <c r="H1537" s="1" t="str">
        <f t="shared" si="1002"/>
        <v>AVIO</v>
      </c>
      <c r="K1537" s="1">
        <v>2</v>
      </c>
      <c r="L1537" s="1" t="str">
        <f t="shared" si="954"/>
        <v>01</v>
      </c>
      <c r="M1537" s="1" t="str">
        <f t="shared" si="999"/>
        <v>409</v>
      </c>
      <c r="N1537" s="1" t="str">
        <f t="shared" si="1006"/>
        <v>018</v>
      </c>
      <c r="O1537" s="1" t="str">
        <f t="shared" si="955"/>
        <v>00</v>
      </c>
      <c r="P1537" s="1" t="str">
        <f t="shared" si="956"/>
        <v>S</v>
      </c>
      <c r="Q1537" s="1" t="str">
        <f t="shared" si="957"/>
        <v>P</v>
      </c>
      <c r="R1537" s="1" t="str">
        <f t="shared" si="958"/>
        <v>01</v>
      </c>
      <c r="S1537" s="1" t="str">
        <f t="shared" si="997"/>
        <v>04</v>
      </c>
      <c r="T1537" s="1" t="str">
        <f t="shared" si="959"/>
        <v>False</v>
      </c>
      <c r="U1537" s="1" t="str">
        <f t="shared" si="960"/>
        <v>True</v>
      </c>
      <c r="V1537" s="1" t="str">
        <f>"U0028282"</f>
        <v>U0028282</v>
      </c>
      <c r="W1537" s="1">
        <v>1</v>
      </c>
      <c r="Y1537" s="1">
        <v>0</v>
      </c>
      <c r="Z1537" s="1">
        <v>0</v>
      </c>
      <c r="AB1537" s="1" t="str">
        <f t="shared" si="1000"/>
        <v>SMU</v>
      </c>
      <c r="AI1537" s="1" t="str">
        <f t="shared" si="998"/>
        <v>F11</v>
      </c>
      <c r="AJ1537" s="1" t="str">
        <f t="shared" si="1003"/>
        <v>WOMAN</v>
      </c>
      <c r="AK1537" s="1" t="str">
        <f t="shared" si="962"/>
        <v>PA</v>
      </c>
      <c r="AP1537" s="1" t="str">
        <f t="shared" si="963"/>
        <v>False</v>
      </c>
      <c r="AR1537" s="1" t="str">
        <f t="shared" si="1004"/>
        <v>DYON</v>
      </c>
      <c r="AY1537" s="1" t="str">
        <f t="shared" si="964"/>
        <v>PF</v>
      </c>
      <c r="AZ1537" s="1">
        <v>0</v>
      </c>
      <c r="BA1537" s="1">
        <v>0</v>
      </c>
      <c r="BB1537" s="1">
        <v>0</v>
      </c>
      <c r="BC1537" s="1">
        <v>0</v>
      </c>
      <c r="BD1537" s="1">
        <v>0</v>
      </c>
      <c r="BE1537" s="1" t="str">
        <f t="shared" si="1005"/>
        <v>ION GOMMA TWILL CANVAS</v>
      </c>
      <c r="BF1537" s="1" t="str">
        <f t="shared" si="965"/>
        <v>Bonis SpA</v>
      </c>
    </row>
    <row r="1538" spans="2:58" x14ac:dyDescent="0.25">
      <c r="B1538" s="1">
        <v>2572</v>
      </c>
      <c r="C1538" s="1" t="str">
        <f t="shared" si="1001"/>
        <v>DYON4190S7/C1</v>
      </c>
      <c r="E1538" s="1" t="str">
        <f>"38"</f>
        <v>38</v>
      </c>
      <c r="F1538" s="1" t="str">
        <f t="shared" ref="F1538:F1601" si="1007">"BONIS SPA"</f>
        <v>BONIS SPA</v>
      </c>
      <c r="G1538" s="1" t="str">
        <f t="shared" si="996"/>
        <v>STOCK SCAFFALE MP</v>
      </c>
      <c r="H1538" s="1" t="str">
        <f t="shared" si="1002"/>
        <v>AVIO</v>
      </c>
      <c r="K1538" s="1">
        <v>3</v>
      </c>
      <c r="L1538" s="1" t="str">
        <f t="shared" ref="L1538:L1601" si="1008">"01"</f>
        <v>01</v>
      </c>
      <c r="M1538" s="1" t="str">
        <f t="shared" si="999"/>
        <v>409</v>
      </c>
      <c r="N1538" s="1" t="str">
        <f t="shared" si="1006"/>
        <v>018</v>
      </c>
      <c r="O1538" s="1" t="str">
        <f t="shared" ref="O1538:O1601" si="1009">"00"</f>
        <v>00</v>
      </c>
      <c r="P1538" s="1" t="str">
        <f t="shared" ref="P1538:P1601" si="1010">"S"</f>
        <v>S</v>
      </c>
      <c r="Q1538" s="1" t="str">
        <f t="shared" ref="Q1538:Q1601" si="1011">"P"</f>
        <v>P</v>
      </c>
      <c r="R1538" s="1" t="str">
        <f t="shared" ref="R1538:R1601" si="1012">"01"</f>
        <v>01</v>
      </c>
      <c r="S1538" s="1" t="str">
        <f t="shared" si="997"/>
        <v>04</v>
      </c>
      <c r="T1538" s="1" t="str">
        <f t="shared" ref="T1538:T1601" si="1013">"False"</f>
        <v>False</v>
      </c>
      <c r="U1538" s="1" t="str">
        <f t="shared" ref="U1538:U1601" si="1014">"True"</f>
        <v>True</v>
      </c>
      <c r="V1538" s="1" t="str">
        <f>"U0028282"</f>
        <v>U0028282</v>
      </c>
      <c r="W1538" s="1">
        <v>1</v>
      </c>
      <c r="Y1538" s="1">
        <v>0</v>
      </c>
      <c r="Z1538" s="1">
        <v>0</v>
      </c>
      <c r="AB1538" s="1" t="str">
        <f t="shared" si="1000"/>
        <v>SMU</v>
      </c>
      <c r="AI1538" s="1" t="str">
        <f t="shared" si="998"/>
        <v>F11</v>
      </c>
      <c r="AJ1538" s="1" t="str">
        <f t="shared" si="1003"/>
        <v>WOMAN</v>
      </c>
      <c r="AK1538" s="1" t="str">
        <f t="shared" ref="AK1538:AK1601" si="1015">"PA"</f>
        <v>PA</v>
      </c>
      <c r="AP1538" s="1" t="str">
        <f t="shared" ref="AP1538:AP1601" si="1016">"False"</f>
        <v>False</v>
      </c>
      <c r="AR1538" s="1" t="str">
        <f t="shared" si="1004"/>
        <v>DYON</v>
      </c>
      <c r="AY1538" s="1" t="str">
        <f t="shared" ref="AY1538:AY1601" si="1017">"PF"</f>
        <v>PF</v>
      </c>
      <c r="AZ1538" s="1">
        <v>0</v>
      </c>
      <c r="BA1538" s="1">
        <v>0</v>
      </c>
      <c r="BB1538" s="1">
        <v>0</v>
      </c>
      <c r="BC1538" s="1">
        <v>0</v>
      </c>
      <c r="BD1538" s="1">
        <v>0</v>
      </c>
      <c r="BE1538" s="1" t="str">
        <f t="shared" si="1005"/>
        <v>ION GOMMA TWILL CANVAS</v>
      </c>
      <c r="BF1538" s="1" t="str">
        <f t="shared" ref="BF1538:BF1601" si="1018">"Bonis SpA"</f>
        <v>Bonis SpA</v>
      </c>
    </row>
    <row r="1539" spans="2:58" x14ac:dyDescent="0.25">
      <c r="B1539" s="1">
        <v>2572</v>
      </c>
      <c r="C1539" s="1" t="str">
        <f t="shared" si="1001"/>
        <v>DYON4190S7/C1</v>
      </c>
      <c r="E1539" s="1" t="str">
        <f>"38"</f>
        <v>38</v>
      </c>
      <c r="F1539" s="1" t="str">
        <f t="shared" si="1007"/>
        <v>BONIS SPA</v>
      </c>
      <c r="G1539" s="1" t="str">
        <f t="shared" si="996"/>
        <v>STOCK SCAFFALE MP</v>
      </c>
      <c r="H1539" s="1" t="str">
        <f t="shared" si="1002"/>
        <v>AVIO</v>
      </c>
      <c r="K1539" s="1">
        <v>3</v>
      </c>
      <c r="L1539" s="1" t="str">
        <f t="shared" si="1008"/>
        <v>01</v>
      </c>
      <c r="M1539" s="1" t="str">
        <f t="shared" si="999"/>
        <v>409</v>
      </c>
      <c r="N1539" s="1" t="str">
        <f t="shared" si="1006"/>
        <v>018</v>
      </c>
      <c r="O1539" s="1" t="str">
        <f t="shared" si="1009"/>
        <v>00</v>
      </c>
      <c r="P1539" s="1" t="str">
        <f t="shared" si="1010"/>
        <v>S</v>
      </c>
      <c r="Q1539" s="1" t="str">
        <f t="shared" si="1011"/>
        <v>P</v>
      </c>
      <c r="R1539" s="1" t="str">
        <f t="shared" si="1012"/>
        <v>01</v>
      </c>
      <c r="S1539" s="1" t="str">
        <f t="shared" si="997"/>
        <v>04</v>
      </c>
      <c r="T1539" s="1" t="str">
        <f t="shared" si="1013"/>
        <v>False</v>
      </c>
      <c r="U1539" s="1" t="str">
        <f t="shared" si="1014"/>
        <v>True</v>
      </c>
      <c r="V1539" s="1" t="str">
        <f>"U0028283"</f>
        <v>U0028283</v>
      </c>
      <c r="W1539" s="1">
        <v>1</v>
      </c>
      <c r="Y1539" s="1">
        <v>0</v>
      </c>
      <c r="Z1539" s="1">
        <v>0</v>
      </c>
      <c r="AB1539" s="1" t="str">
        <f t="shared" si="1000"/>
        <v>SMU</v>
      </c>
      <c r="AI1539" s="1" t="str">
        <f t="shared" si="998"/>
        <v>F11</v>
      </c>
      <c r="AJ1539" s="1" t="str">
        <f t="shared" si="1003"/>
        <v>WOMAN</v>
      </c>
      <c r="AK1539" s="1" t="str">
        <f t="shared" si="1015"/>
        <v>PA</v>
      </c>
      <c r="AP1539" s="1" t="str">
        <f t="shared" si="1016"/>
        <v>False</v>
      </c>
      <c r="AR1539" s="1" t="str">
        <f t="shared" si="1004"/>
        <v>DYON</v>
      </c>
      <c r="AY1539" s="1" t="str">
        <f t="shared" si="1017"/>
        <v>PF</v>
      </c>
      <c r="AZ1539" s="1">
        <v>0</v>
      </c>
      <c r="BA1539" s="1">
        <v>0</v>
      </c>
      <c r="BB1539" s="1">
        <v>0</v>
      </c>
      <c r="BC1539" s="1">
        <v>0</v>
      </c>
      <c r="BD1539" s="1">
        <v>0</v>
      </c>
      <c r="BE1539" s="1" t="str">
        <f t="shared" si="1005"/>
        <v>ION GOMMA TWILL CANVAS</v>
      </c>
      <c r="BF1539" s="1" t="str">
        <f t="shared" si="1018"/>
        <v>Bonis SpA</v>
      </c>
    </row>
    <row r="1540" spans="2:58" x14ac:dyDescent="0.25">
      <c r="B1540" s="1">
        <v>2572</v>
      </c>
      <c r="C1540" s="1" t="str">
        <f t="shared" si="1001"/>
        <v>DYON4190S7/C1</v>
      </c>
      <c r="E1540" s="1" t="str">
        <f>"37"</f>
        <v>37</v>
      </c>
      <c r="F1540" s="1" t="str">
        <f t="shared" si="1007"/>
        <v>BONIS SPA</v>
      </c>
      <c r="G1540" s="1" t="str">
        <f t="shared" si="996"/>
        <v>STOCK SCAFFALE MP</v>
      </c>
      <c r="H1540" s="1" t="str">
        <f t="shared" si="1002"/>
        <v>AVIO</v>
      </c>
      <c r="K1540" s="1">
        <v>2</v>
      </c>
      <c r="L1540" s="1" t="str">
        <f t="shared" si="1008"/>
        <v>01</v>
      </c>
      <c r="M1540" s="1" t="str">
        <f t="shared" si="999"/>
        <v>409</v>
      </c>
      <c r="N1540" s="1" t="str">
        <f t="shared" si="1006"/>
        <v>018</v>
      </c>
      <c r="O1540" s="1" t="str">
        <f t="shared" si="1009"/>
        <v>00</v>
      </c>
      <c r="P1540" s="1" t="str">
        <f t="shared" si="1010"/>
        <v>S</v>
      </c>
      <c r="Q1540" s="1" t="str">
        <f t="shared" si="1011"/>
        <v>P</v>
      </c>
      <c r="R1540" s="1" t="str">
        <f t="shared" si="1012"/>
        <v>01</v>
      </c>
      <c r="S1540" s="1" t="str">
        <f t="shared" si="997"/>
        <v>04</v>
      </c>
      <c r="T1540" s="1" t="str">
        <f t="shared" si="1013"/>
        <v>False</v>
      </c>
      <c r="U1540" s="1" t="str">
        <f t="shared" si="1014"/>
        <v>True</v>
      </c>
      <c r="V1540" s="1" t="str">
        <f>"U0028283"</f>
        <v>U0028283</v>
      </c>
      <c r="W1540" s="1">
        <v>1</v>
      </c>
      <c r="Y1540" s="1">
        <v>0</v>
      </c>
      <c r="Z1540" s="1">
        <v>0</v>
      </c>
      <c r="AB1540" s="1" t="str">
        <f t="shared" si="1000"/>
        <v>SMU</v>
      </c>
      <c r="AI1540" s="1" t="str">
        <f t="shared" si="998"/>
        <v>F11</v>
      </c>
      <c r="AJ1540" s="1" t="str">
        <f t="shared" si="1003"/>
        <v>WOMAN</v>
      </c>
      <c r="AK1540" s="1" t="str">
        <f t="shared" si="1015"/>
        <v>PA</v>
      </c>
      <c r="AP1540" s="1" t="str">
        <f t="shared" si="1016"/>
        <v>False</v>
      </c>
      <c r="AR1540" s="1" t="str">
        <f t="shared" si="1004"/>
        <v>DYON</v>
      </c>
      <c r="AY1540" s="1" t="str">
        <f t="shared" si="1017"/>
        <v>PF</v>
      </c>
      <c r="AZ1540" s="1">
        <v>0</v>
      </c>
      <c r="BA1540" s="1">
        <v>0</v>
      </c>
      <c r="BB1540" s="1">
        <v>0</v>
      </c>
      <c r="BC1540" s="1">
        <v>0</v>
      </c>
      <c r="BD1540" s="1">
        <v>0</v>
      </c>
      <c r="BE1540" s="1" t="str">
        <f t="shared" si="1005"/>
        <v>ION GOMMA TWILL CANVAS</v>
      </c>
      <c r="BF1540" s="1" t="str">
        <f t="shared" si="1018"/>
        <v>Bonis SpA</v>
      </c>
    </row>
    <row r="1541" spans="2:58" x14ac:dyDescent="0.25">
      <c r="B1541" s="1">
        <v>2572</v>
      </c>
      <c r="C1541" s="1" t="str">
        <f t="shared" si="1001"/>
        <v>DYON4190S7/C1</v>
      </c>
      <c r="E1541" s="1" t="str">
        <f>"36"</f>
        <v>36</v>
      </c>
      <c r="F1541" s="1" t="str">
        <f t="shared" si="1007"/>
        <v>BONIS SPA</v>
      </c>
      <c r="G1541" s="1" t="str">
        <f t="shared" si="996"/>
        <v>STOCK SCAFFALE MP</v>
      </c>
      <c r="H1541" s="1" t="str">
        <f t="shared" si="1002"/>
        <v>AVIO</v>
      </c>
      <c r="K1541" s="1">
        <v>1</v>
      </c>
      <c r="L1541" s="1" t="str">
        <f t="shared" si="1008"/>
        <v>01</v>
      </c>
      <c r="M1541" s="1" t="str">
        <f t="shared" si="999"/>
        <v>409</v>
      </c>
      <c r="N1541" s="1" t="str">
        <f t="shared" si="1006"/>
        <v>018</v>
      </c>
      <c r="O1541" s="1" t="str">
        <f t="shared" si="1009"/>
        <v>00</v>
      </c>
      <c r="P1541" s="1" t="str">
        <f t="shared" si="1010"/>
        <v>S</v>
      </c>
      <c r="Q1541" s="1" t="str">
        <f t="shared" si="1011"/>
        <v>P</v>
      </c>
      <c r="R1541" s="1" t="str">
        <f t="shared" si="1012"/>
        <v>01</v>
      </c>
      <c r="S1541" s="1" t="str">
        <f t="shared" si="997"/>
        <v>04</v>
      </c>
      <c r="T1541" s="1" t="str">
        <f t="shared" si="1013"/>
        <v>False</v>
      </c>
      <c r="U1541" s="1" t="str">
        <f t="shared" si="1014"/>
        <v>True</v>
      </c>
      <c r="V1541" s="1" t="str">
        <f>"U0028283"</f>
        <v>U0028283</v>
      </c>
      <c r="W1541" s="1">
        <v>1</v>
      </c>
      <c r="Y1541" s="1">
        <v>0</v>
      </c>
      <c r="Z1541" s="1">
        <v>0</v>
      </c>
      <c r="AB1541" s="1" t="str">
        <f t="shared" si="1000"/>
        <v>SMU</v>
      </c>
      <c r="AI1541" s="1" t="str">
        <f t="shared" si="998"/>
        <v>F11</v>
      </c>
      <c r="AJ1541" s="1" t="str">
        <f t="shared" si="1003"/>
        <v>WOMAN</v>
      </c>
      <c r="AK1541" s="1" t="str">
        <f t="shared" si="1015"/>
        <v>PA</v>
      </c>
      <c r="AP1541" s="1" t="str">
        <f t="shared" si="1016"/>
        <v>False</v>
      </c>
      <c r="AR1541" s="1" t="str">
        <f t="shared" si="1004"/>
        <v>DYON</v>
      </c>
      <c r="AY1541" s="1" t="str">
        <f t="shared" si="1017"/>
        <v>PF</v>
      </c>
      <c r="AZ1541" s="1">
        <v>0</v>
      </c>
      <c r="BA1541" s="1">
        <v>0</v>
      </c>
      <c r="BB1541" s="1">
        <v>0</v>
      </c>
      <c r="BC1541" s="1">
        <v>0</v>
      </c>
      <c r="BD1541" s="1">
        <v>0</v>
      </c>
      <c r="BE1541" s="1" t="str">
        <f t="shared" si="1005"/>
        <v>ION GOMMA TWILL CANVAS</v>
      </c>
      <c r="BF1541" s="1" t="str">
        <f t="shared" si="1018"/>
        <v>Bonis SpA</v>
      </c>
    </row>
    <row r="1542" spans="2:58" x14ac:dyDescent="0.25">
      <c r="B1542" s="1">
        <v>2572</v>
      </c>
      <c r="C1542" s="1" t="str">
        <f t="shared" si="1001"/>
        <v>DYON4190S7/C1</v>
      </c>
      <c r="E1542" s="1" t="str">
        <f>"40"</f>
        <v>40</v>
      </c>
      <c r="F1542" s="1" t="str">
        <f t="shared" si="1007"/>
        <v>BONIS SPA</v>
      </c>
      <c r="G1542" s="1" t="str">
        <f t="shared" si="996"/>
        <v>STOCK SCAFFALE MP</v>
      </c>
      <c r="H1542" s="1" t="str">
        <f t="shared" si="1002"/>
        <v>AVIO</v>
      </c>
      <c r="K1542" s="1">
        <v>2</v>
      </c>
      <c r="L1542" s="1" t="str">
        <f t="shared" si="1008"/>
        <v>01</v>
      </c>
      <c r="M1542" s="1" t="str">
        <f t="shared" si="999"/>
        <v>409</v>
      </c>
      <c r="N1542" s="1" t="str">
        <f t="shared" si="1006"/>
        <v>018</v>
      </c>
      <c r="O1542" s="1" t="str">
        <f t="shared" si="1009"/>
        <v>00</v>
      </c>
      <c r="P1542" s="1" t="str">
        <f t="shared" si="1010"/>
        <v>S</v>
      </c>
      <c r="Q1542" s="1" t="str">
        <f t="shared" si="1011"/>
        <v>P</v>
      </c>
      <c r="R1542" s="1" t="str">
        <f t="shared" si="1012"/>
        <v>01</v>
      </c>
      <c r="S1542" s="1" t="str">
        <f t="shared" si="997"/>
        <v>04</v>
      </c>
      <c r="T1542" s="1" t="str">
        <f t="shared" si="1013"/>
        <v>False</v>
      </c>
      <c r="U1542" s="1" t="str">
        <f t="shared" si="1014"/>
        <v>True</v>
      </c>
      <c r="V1542" s="1" t="str">
        <f>"U0028283"</f>
        <v>U0028283</v>
      </c>
      <c r="W1542" s="1">
        <v>1</v>
      </c>
      <c r="Y1542" s="1">
        <v>0</v>
      </c>
      <c r="Z1542" s="1">
        <v>0</v>
      </c>
      <c r="AB1542" s="1" t="str">
        <f t="shared" si="1000"/>
        <v>SMU</v>
      </c>
      <c r="AI1542" s="1" t="str">
        <f t="shared" si="998"/>
        <v>F11</v>
      </c>
      <c r="AJ1542" s="1" t="str">
        <f t="shared" si="1003"/>
        <v>WOMAN</v>
      </c>
      <c r="AK1542" s="1" t="str">
        <f t="shared" si="1015"/>
        <v>PA</v>
      </c>
      <c r="AP1542" s="1" t="str">
        <f t="shared" si="1016"/>
        <v>False</v>
      </c>
      <c r="AR1542" s="1" t="str">
        <f t="shared" si="1004"/>
        <v>DYON</v>
      </c>
      <c r="AY1542" s="1" t="str">
        <f t="shared" si="1017"/>
        <v>PF</v>
      </c>
      <c r="AZ1542" s="1">
        <v>0</v>
      </c>
      <c r="BA1542" s="1">
        <v>0</v>
      </c>
      <c r="BB1542" s="1">
        <v>0</v>
      </c>
      <c r="BC1542" s="1">
        <v>0</v>
      </c>
      <c r="BD1542" s="1">
        <v>0</v>
      </c>
      <c r="BE1542" s="1" t="str">
        <f t="shared" si="1005"/>
        <v>ION GOMMA TWILL CANVAS</v>
      </c>
      <c r="BF1542" s="1" t="str">
        <f t="shared" si="1018"/>
        <v>Bonis SpA</v>
      </c>
    </row>
    <row r="1543" spans="2:58" x14ac:dyDescent="0.25">
      <c r="B1543" s="1">
        <v>2572</v>
      </c>
      <c r="C1543" s="1" t="str">
        <f t="shared" si="1001"/>
        <v>DYON4190S7/C1</v>
      </c>
      <c r="E1543" s="1" t="str">
        <f>"39"</f>
        <v>39</v>
      </c>
      <c r="F1543" s="1" t="str">
        <f t="shared" si="1007"/>
        <v>BONIS SPA</v>
      </c>
      <c r="G1543" s="1" t="str">
        <f t="shared" si="996"/>
        <v>STOCK SCAFFALE MP</v>
      </c>
      <c r="H1543" s="1" t="str">
        <f t="shared" si="1002"/>
        <v>AVIO</v>
      </c>
      <c r="K1543" s="1">
        <v>3</v>
      </c>
      <c r="L1543" s="1" t="str">
        <f t="shared" si="1008"/>
        <v>01</v>
      </c>
      <c r="M1543" s="1" t="str">
        <f t="shared" si="999"/>
        <v>409</v>
      </c>
      <c r="N1543" s="1" t="str">
        <f t="shared" si="1006"/>
        <v>018</v>
      </c>
      <c r="O1543" s="1" t="str">
        <f t="shared" si="1009"/>
        <v>00</v>
      </c>
      <c r="P1543" s="1" t="str">
        <f t="shared" si="1010"/>
        <v>S</v>
      </c>
      <c r="Q1543" s="1" t="str">
        <f t="shared" si="1011"/>
        <v>P</v>
      </c>
      <c r="R1543" s="1" t="str">
        <f t="shared" si="1012"/>
        <v>01</v>
      </c>
      <c r="S1543" s="1" t="str">
        <f t="shared" si="997"/>
        <v>04</v>
      </c>
      <c r="T1543" s="1" t="str">
        <f t="shared" si="1013"/>
        <v>False</v>
      </c>
      <c r="U1543" s="1" t="str">
        <f t="shared" si="1014"/>
        <v>True</v>
      </c>
      <c r="V1543" s="1" t="str">
        <f>"U0028283"</f>
        <v>U0028283</v>
      </c>
      <c r="W1543" s="1">
        <v>1</v>
      </c>
      <c r="Y1543" s="1">
        <v>0</v>
      </c>
      <c r="Z1543" s="1">
        <v>0</v>
      </c>
      <c r="AB1543" s="1" t="str">
        <f t="shared" si="1000"/>
        <v>SMU</v>
      </c>
      <c r="AI1543" s="1" t="str">
        <f t="shared" si="998"/>
        <v>F11</v>
      </c>
      <c r="AJ1543" s="1" t="str">
        <f t="shared" si="1003"/>
        <v>WOMAN</v>
      </c>
      <c r="AK1543" s="1" t="str">
        <f t="shared" si="1015"/>
        <v>PA</v>
      </c>
      <c r="AP1543" s="1" t="str">
        <f t="shared" si="1016"/>
        <v>False</v>
      </c>
      <c r="AR1543" s="1" t="str">
        <f t="shared" si="1004"/>
        <v>DYON</v>
      </c>
      <c r="AY1543" s="1" t="str">
        <f t="shared" si="1017"/>
        <v>PF</v>
      </c>
      <c r="AZ1543" s="1">
        <v>0</v>
      </c>
      <c r="BA1543" s="1">
        <v>0</v>
      </c>
      <c r="BB1543" s="1">
        <v>0</v>
      </c>
      <c r="BC1543" s="1">
        <v>0</v>
      </c>
      <c r="BD1543" s="1">
        <v>0</v>
      </c>
      <c r="BE1543" s="1" t="str">
        <f t="shared" si="1005"/>
        <v>ION GOMMA TWILL CANVAS</v>
      </c>
      <c r="BF1543" s="1" t="str">
        <f t="shared" si="1018"/>
        <v>Bonis SpA</v>
      </c>
    </row>
    <row r="1544" spans="2:58" x14ac:dyDescent="0.25">
      <c r="B1544" s="1">
        <v>2572</v>
      </c>
      <c r="C1544" s="1" t="str">
        <f t="shared" ref="C1544:C1553" si="1019">"DYON4191S7/C1"</f>
        <v>DYON4191S7/C1</v>
      </c>
      <c r="E1544" s="1" t="str">
        <f>"41"</f>
        <v>41</v>
      </c>
      <c r="F1544" s="1" t="str">
        <f t="shared" si="1007"/>
        <v>BONIS SPA</v>
      </c>
      <c r="G1544" s="1" t="str">
        <f t="shared" si="996"/>
        <v>STOCK SCAFFALE MP</v>
      </c>
      <c r="H1544" s="1" t="str">
        <f t="shared" si="1002"/>
        <v>AVIO</v>
      </c>
      <c r="K1544" s="1">
        <v>1</v>
      </c>
      <c r="L1544" s="1" t="str">
        <f t="shared" si="1008"/>
        <v>01</v>
      </c>
      <c r="M1544" s="1" t="str">
        <f t="shared" si="999"/>
        <v>409</v>
      </c>
      <c r="N1544" s="1" t="str">
        <f t="shared" si="1006"/>
        <v>018</v>
      </c>
      <c r="O1544" s="1" t="str">
        <f t="shared" si="1009"/>
        <v>00</v>
      </c>
      <c r="P1544" s="1" t="str">
        <f t="shared" si="1010"/>
        <v>S</v>
      </c>
      <c r="Q1544" s="1" t="str">
        <f t="shared" si="1011"/>
        <v>P</v>
      </c>
      <c r="R1544" s="1" t="str">
        <f t="shared" si="1012"/>
        <v>01</v>
      </c>
      <c r="S1544" s="1" t="str">
        <f t="shared" si="997"/>
        <v>04</v>
      </c>
      <c r="T1544" s="1" t="str">
        <f t="shared" si="1013"/>
        <v>False</v>
      </c>
      <c r="U1544" s="1" t="str">
        <f t="shared" si="1014"/>
        <v>True</v>
      </c>
      <c r="V1544" s="1" t="str">
        <f t="shared" ref="V1544:V1549" si="1020">"U0028284"</f>
        <v>U0028284</v>
      </c>
      <c r="W1544" s="1">
        <v>1</v>
      </c>
      <c r="Y1544" s="1">
        <v>0</v>
      </c>
      <c r="Z1544" s="1">
        <v>0</v>
      </c>
      <c r="AB1544" s="1" t="str">
        <f t="shared" si="1000"/>
        <v>SMU</v>
      </c>
      <c r="AI1544" s="1" t="str">
        <f t="shared" si="998"/>
        <v>F11</v>
      </c>
      <c r="AJ1544" s="1" t="str">
        <f t="shared" si="1003"/>
        <v>WOMAN</v>
      </c>
      <c r="AK1544" s="1" t="str">
        <f t="shared" si="1015"/>
        <v>PA</v>
      </c>
      <c r="AP1544" s="1" t="str">
        <f t="shared" si="1016"/>
        <v>False</v>
      </c>
      <c r="AR1544" s="1" t="str">
        <f t="shared" si="1004"/>
        <v>DYON</v>
      </c>
      <c r="AY1544" s="1" t="str">
        <f t="shared" si="1017"/>
        <v>PF</v>
      </c>
      <c r="AZ1544" s="1">
        <v>0</v>
      </c>
      <c r="BA1544" s="1">
        <v>0</v>
      </c>
      <c r="BB1544" s="1">
        <v>0</v>
      </c>
      <c r="BC1544" s="1">
        <v>0</v>
      </c>
      <c r="BD1544" s="1">
        <v>0</v>
      </c>
      <c r="BE1544" s="1" t="str">
        <f t="shared" ref="BE1544:BE1553" si="1021">"YON GOMMA TWILL CANVAS"</f>
        <v>YON GOMMA TWILL CANVAS</v>
      </c>
      <c r="BF1544" s="1" t="str">
        <f t="shared" si="1018"/>
        <v>Bonis SpA</v>
      </c>
    </row>
    <row r="1545" spans="2:58" x14ac:dyDescent="0.25">
      <c r="B1545" s="1">
        <v>2572</v>
      </c>
      <c r="C1545" s="1" t="str">
        <f t="shared" si="1019"/>
        <v>DYON4191S7/C1</v>
      </c>
      <c r="E1545" s="1" t="str">
        <f>"40"</f>
        <v>40</v>
      </c>
      <c r="F1545" s="1" t="str">
        <f t="shared" si="1007"/>
        <v>BONIS SPA</v>
      </c>
      <c r="G1545" s="1" t="str">
        <f t="shared" si="996"/>
        <v>STOCK SCAFFALE MP</v>
      </c>
      <c r="H1545" s="1" t="str">
        <f t="shared" si="1002"/>
        <v>AVIO</v>
      </c>
      <c r="K1545" s="1">
        <v>2</v>
      </c>
      <c r="L1545" s="1" t="str">
        <f t="shared" si="1008"/>
        <v>01</v>
      </c>
      <c r="M1545" s="1" t="str">
        <f t="shared" si="999"/>
        <v>409</v>
      </c>
      <c r="N1545" s="1" t="str">
        <f t="shared" si="1006"/>
        <v>018</v>
      </c>
      <c r="O1545" s="1" t="str">
        <f t="shared" si="1009"/>
        <v>00</v>
      </c>
      <c r="P1545" s="1" t="str">
        <f t="shared" si="1010"/>
        <v>S</v>
      </c>
      <c r="Q1545" s="1" t="str">
        <f t="shared" si="1011"/>
        <v>P</v>
      </c>
      <c r="R1545" s="1" t="str">
        <f t="shared" si="1012"/>
        <v>01</v>
      </c>
      <c r="S1545" s="1" t="str">
        <f t="shared" si="997"/>
        <v>04</v>
      </c>
      <c r="T1545" s="1" t="str">
        <f t="shared" si="1013"/>
        <v>False</v>
      </c>
      <c r="U1545" s="1" t="str">
        <f t="shared" si="1014"/>
        <v>True</v>
      </c>
      <c r="V1545" s="1" t="str">
        <f t="shared" si="1020"/>
        <v>U0028284</v>
      </c>
      <c r="W1545" s="1">
        <v>1</v>
      </c>
      <c r="Y1545" s="1">
        <v>0</v>
      </c>
      <c r="Z1545" s="1">
        <v>0</v>
      </c>
      <c r="AB1545" s="1" t="str">
        <f t="shared" si="1000"/>
        <v>SMU</v>
      </c>
      <c r="AI1545" s="1" t="str">
        <f t="shared" si="998"/>
        <v>F11</v>
      </c>
      <c r="AJ1545" s="1" t="str">
        <f t="shared" si="1003"/>
        <v>WOMAN</v>
      </c>
      <c r="AK1545" s="1" t="str">
        <f t="shared" si="1015"/>
        <v>PA</v>
      </c>
      <c r="AP1545" s="1" t="str">
        <f t="shared" si="1016"/>
        <v>False</v>
      </c>
      <c r="AR1545" s="1" t="str">
        <f t="shared" si="1004"/>
        <v>DYON</v>
      </c>
      <c r="AY1545" s="1" t="str">
        <f t="shared" si="1017"/>
        <v>PF</v>
      </c>
      <c r="AZ1545" s="1">
        <v>0</v>
      </c>
      <c r="BA1545" s="1">
        <v>0</v>
      </c>
      <c r="BB1545" s="1">
        <v>0</v>
      </c>
      <c r="BC1545" s="1">
        <v>0</v>
      </c>
      <c r="BD1545" s="1">
        <v>0</v>
      </c>
      <c r="BE1545" s="1" t="str">
        <f t="shared" si="1021"/>
        <v>YON GOMMA TWILL CANVAS</v>
      </c>
      <c r="BF1545" s="1" t="str">
        <f t="shared" si="1018"/>
        <v>Bonis SpA</v>
      </c>
    </row>
    <row r="1546" spans="2:58" x14ac:dyDescent="0.25">
      <c r="B1546" s="1">
        <v>2572</v>
      </c>
      <c r="C1546" s="1" t="str">
        <f t="shared" si="1019"/>
        <v>DYON4191S7/C1</v>
      </c>
      <c r="E1546" s="1" t="str">
        <f>"39"</f>
        <v>39</v>
      </c>
      <c r="F1546" s="1" t="str">
        <f t="shared" si="1007"/>
        <v>BONIS SPA</v>
      </c>
      <c r="G1546" s="1" t="str">
        <f t="shared" si="996"/>
        <v>STOCK SCAFFALE MP</v>
      </c>
      <c r="H1546" s="1" t="str">
        <f t="shared" si="1002"/>
        <v>AVIO</v>
      </c>
      <c r="K1546" s="1">
        <v>2</v>
      </c>
      <c r="L1546" s="1" t="str">
        <f t="shared" si="1008"/>
        <v>01</v>
      </c>
      <c r="M1546" s="1" t="str">
        <f t="shared" si="999"/>
        <v>409</v>
      </c>
      <c r="N1546" s="1" t="str">
        <f t="shared" si="1006"/>
        <v>018</v>
      </c>
      <c r="O1546" s="1" t="str">
        <f t="shared" si="1009"/>
        <v>00</v>
      </c>
      <c r="P1546" s="1" t="str">
        <f t="shared" si="1010"/>
        <v>S</v>
      </c>
      <c r="Q1546" s="1" t="str">
        <f t="shared" si="1011"/>
        <v>P</v>
      </c>
      <c r="R1546" s="1" t="str">
        <f t="shared" si="1012"/>
        <v>01</v>
      </c>
      <c r="S1546" s="1" t="str">
        <f t="shared" si="997"/>
        <v>04</v>
      </c>
      <c r="T1546" s="1" t="str">
        <f t="shared" si="1013"/>
        <v>False</v>
      </c>
      <c r="U1546" s="1" t="str">
        <f t="shared" si="1014"/>
        <v>True</v>
      </c>
      <c r="V1546" s="1" t="str">
        <f t="shared" si="1020"/>
        <v>U0028284</v>
      </c>
      <c r="W1546" s="1">
        <v>1</v>
      </c>
      <c r="Y1546" s="1">
        <v>0</v>
      </c>
      <c r="Z1546" s="1">
        <v>0</v>
      </c>
      <c r="AB1546" s="1" t="str">
        <f t="shared" si="1000"/>
        <v>SMU</v>
      </c>
      <c r="AI1546" s="1" t="str">
        <f t="shared" si="998"/>
        <v>F11</v>
      </c>
      <c r="AJ1546" s="1" t="str">
        <f t="shared" si="1003"/>
        <v>WOMAN</v>
      </c>
      <c r="AK1546" s="1" t="str">
        <f t="shared" si="1015"/>
        <v>PA</v>
      </c>
      <c r="AP1546" s="1" t="str">
        <f t="shared" si="1016"/>
        <v>False</v>
      </c>
      <c r="AR1546" s="1" t="str">
        <f t="shared" si="1004"/>
        <v>DYON</v>
      </c>
      <c r="AY1546" s="1" t="str">
        <f t="shared" si="1017"/>
        <v>PF</v>
      </c>
      <c r="AZ1546" s="1">
        <v>0</v>
      </c>
      <c r="BA1546" s="1">
        <v>0</v>
      </c>
      <c r="BB1546" s="1">
        <v>0</v>
      </c>
      <c r="BC1546" s="1">
        <v>0</v>
      </c>
      <c r="BD1546" s="1">
        <v>0</v>
      </c>
      <c r="BE1546" s="1" t="str">
        <f t="shared" si="1021"/>
        <v>YON GOMMA TWILL CANVAS</v>
      </c>
      <c r="BF1546" s="1" t="str">
        <f t="shared" si="1018"/>
        <v>Bonis SpA</v>
      </c>
    </row>
    <row r="1547" spans="2:58" x14ac:dyDescent="0.25">
      <c r="B1547" s="1">
        <v>2572</v>
      </c>
      <c r="C1547" s="1" t="str">
        <f t="shared" si="1019"/>
        <v>DYON4191S7/C1</v>
      </c>
      <c r="E1547" s="1" t="str">
        <f>"36"</f>
        <v>36</v>
      </c>
      <c r="F1547" s="1" t="str">
        <f t="shared" si="1007"/>
        <v>BONIS SPA</v>
      </c>
      <c r="G1547" s="1" t="str">
        <f t="shared" si="996"/>
        <v>STOCK SCAFFALE MP</v>
      </c>
      <c r="H1547" s="1" t="str">
        <f t="shared" si="1002"/>
        <v>AVIO</v>
      </c>
      <c r="K1547" s="1">
        <v>1</v>
      </c>
      <c r="L1547" s="1" t="str">
        <f t="shared" si="1008"/>
        <v>01</v>
      </c>
      <c r="M1547" s="1" t="str">
        <f t="shared" si="999"/>
        <v>409</v>
      </c>
      <c r="N1547" s="1" t="str">
        <f t="shared" si="1006"/>
        <v>018</v>
      </c>
      <c r="O1547" s="1" t="str">
        <f t="shared" si="1009"/>
        <v>00</v>
      </c>
      <c r="P1547" s="1" t="str">
        <f t="shared" si="1010"/>
        <v>S</v>
      </c>
      <c r="Q1547" s="1" t="str">
        <f t="shared" si="1011"/>
        <v>P</v>
      </c>
      <c r="R1547" s="1" t="str">
        <f t="shared" si="1012"/>
        <v>01</v>
      </c>
      <c r="S1547" s="1" t="str">
        <f t="shared" si="997"/>
        <v>04</v>
      </c>
      <c r="T1547" s="1" t="str">
        <f t="shared" si="1013"/>
        <v>False</v>
      </c>
      <c r="U1547" s="1" t="str">
        <f t="shared" si="1014"/>
        <v>True</v>
      </c>
      <c r="V1547" s="1" t="str">
        <f t="shared" si="1020"/>
        <v>U0028284</v>
      </c>
      <c r="W1547" s="1">
        <v>1</v>
      </c>
      <c r="Y1547" s="1">
        <v>0</v>
      </c>
      <c r="Z1547" s="1">
        <v>0</v>
      </c>
      <c r="AB1547" s="1" t="str">
        <f t="shared" si="1000"/>
        <v>SMU</v>
      </c>
      <c r="AI1547" s="1" t="str">
        <f t="shared" si="998"/>
        <v>F11</v>
      </c>
      <c r="AJ1547" s="1" t="str">
        <f t="shared" si="1003"/>
        <v>WOMAN</v>
      </c>
      <c r="AK1547" s="1" t="str">
        <f t="shared" si="1015"/>
        <v>PA</v>
      </c>
      <c r="AP1547" s="1" t="str">
        <f t="shared" si="1016"/>
        <v>False</v>
      </c>
      <c r="AR1547" s="1" t="str">
        <f t="shared" si="1004"/>
        <v>DYON</v>
      </c>
      <c r="AY1547" s="1" t="str">
        <f t="shared" si="1017"/>
        <v>PF</v>
      </c>
      <c r="AZ1547" s="1">
        <v>0</v>
      </c>
      <c r="BA1547" s="1">
        <v>0</v>
      </c>
      <c r="BB1547" s="1">
        <v>0</v>
      </c>
      <c r="BC1547" s="1">
        <v>0</v>
      </c>
      <c r="BD1547" s="1">
        <v>0</v>
      </c>
      <c r="BE1547" s="1" t="str">
        <f t="shared" si="1021"/>
        <v>YON GOMMA TWILL CANVAS</v>
      </c>
      <c r="BF1547" s="1" t="str">
        <f t="shared" si="1018"/>
        <v>Bonis SpA</v>
      </c>
    </row>
    <row r="1548" spans="2:58" x14ac:dyDescent="0.25">
      <c r="B1548" s="1">
        <v>2572</v>
      </c>
      <c r="C1548" s="1" t="str">
        <f t="shared" si="1019"/>
        <v>DYON4191S7/C1</v>
      </c>
      <c r="E1548" s="1" t="str">
        <f>"37"</f>
        <v>37</v>
      </c>
      <c r="F1548" s="1" t="str">
        <f t="shared" si="1007"/>
        <v>BONIS SPA</v>
      </c>
      <c r="G1548" s="1" t="str">
        <f t="shared" si="996"/>
        <v>STOCK SCAFFALE MP</v>
      </c>
      <c r="H1548" s="1" t="str">
        <f t="shared" si="1002"/>
        <v>AVIO</v>
      </c>
      <c r="K1548" s="1">
        <v>1</v>
      </c>
      <c r="L1548" s="1" t="str">
        <f t="shared" si="1008"/>
        <v>01</v>
      </c>
      <c r="M1548" s="1" t="str">
        <f t="shared" si="999"/>
        <v>409</v>
      </c>
      <c r="N1548" s="1" t="str">
        <f t="shared" si="1006"/>
        <v>018</v>
      </c>
      <c r="O1548" s="1" t="str">
        <f t="shared" si="1009"/>
        <v>00</v>
      </c>
      <c r="P1548" s="1" t="str">
        <f t="shared" si="1010"/>
        <v>S</v>
      </c>
      <c r="Q1548" s="1" t="str">
        <f t="shared" si="1011"/>
        <v>P</v>
      </c>
      <c r="R1548" s="1" t="str">
        <f t="shared" si="1012"/>
        <v>01</v>
      </c>
      <c r="S1548" s="1" t="str">
        <f t="shared" si="997"/>
        <v>04</v>
      </c>
      <c r="T1548" s="1" t="str">
        <f t="shared" si="1013"/>
        <v>False</v>
      </c>
      <c r="U1548" s="1" t="str">
        <f t="shared" si="1014"/>
        <v>True</v>
      </c>
      <c r="V1548" s="1" t="str">
        <f t="shared" si="1020"/>
        <v>U0028284</v>
      </c>
      <c r="W1548" s="1">
        <v>1</v>
      </c>
      <c r="Y1548" s="1">
        <v>0</v>
      </c>
      <c r="Z1548" s="1">
        <v>0</v>
      </c>
      <c r="AB1548" s="1" t="str">
        <f t="shared" si="1000"/>
        <v>SMU</v>
      </c>
      <c r="AI1548" s="1" t="str">
        <f t="shared" si="998"/>
        <v>F11</v>
      </c>
      <c r="AJ1548" s="1" t="str">
        <f t="shared" si="1003"/>
        <v>WOMAN</v>
      </c>
      <c r="AK1548" s="1" t="str">
        <f t="shared" si="1015"/>
        <v>PA</v>
      </c>
      <c r="AP1548" s="1" t="str">
        <f t="shared" si="1016"/>
        <v>False</v>
      </c>
      <c r="AR1548" s="1" t="str">
        <f t="shared" si="1004"/>
        <v>DYON</v>
      </c>
      <c r="AY1548" s="1" t="str">
        <f t="shared" si="1017"/>
        <v>PF</v>
      </c>
      <c r="AZ1548" s="1">
        <v>0</v>
      </c>
      <c r="BA1548" s="1">
        <v>0</v>
      </c>
      <c r="BB1548" s="1">
        <v>0</v>
      </c>
      <c r="BC1548" s="1">
        <v>0</v>
      </c>
      <c r="BD1548" s="1">
        <v>0</v>
      </c>
      <c r="BE1548" s="1" t="str">
        <f t="shared" si="1021"/>
        <v>YON GOMMA TWILL CANVAS</v>
      </c>
      <c r="BF1548" s="1" t="str">
        <f t="shared" si="1018"/>
        <v>Bonis SpA</v>
      </c>
    </row>
    <row r="1549" spans="2:58" x14ac:dyDescent="0.25">
      <c r="B1549" s="1">
        <v>2572</v>
      </c>
      <c r="C1549" s="1" t="str">
        <f t="shared" si="1019"/>
        <v>DYON4191S7/C1</v>
      </c>
      <c r="E1549" s="1" t="str">
        <f>"38"</f>
        <v>38</v>
      </c>
      <c r="F1549" s="1" t="str">
        <f t="shared" si="1007"/>
        <v>BONIS SPA</v>
      </c>
      <c r="G1549" s="1" t="str">
        <f t="shared" si="996"/>
        <v>STOCK SCAFFALE MP</v>
      </c>
      <c r="H1549" s="1" t="str">
        <f t="shared" si="1002"/>
        <v>AVIO</v>
      </c>
      <c r="K1549" s="1">
        <v>1</v>
      </c>
      <c r="L1549" s="1" t="str">
        <f t="shared" si="1008"/>
        <v>01</v>
      </c>
      <c r="M1549" s="1" t="str">
        <f t="shared" si="999"/>
        <v>409</v>
      </c>
      <c r="N1549" s="1" t="str">
        <f t="shared" si="1006"/>
        <v>018</v>
      </c>
      <c r="O1549" s="1" t="str">
        <f t="shared" si="1009"/>
        <v>00</v>
      </c>
      <c r="P1549" s="1" t="str">
        <f t="shared" si="1010"/>
        <v>S</v>
      </c>
      <c r="Q1549" s="1" t="str">
        <f t="shared" si="1011"/>
        <v>P</v>
      </c>
      <c r="R1549" s="1" t="str">
        <f t="shared" si="1012"/>
        <v>01</v>
      </c>
      <c r="S1549" s="1" t="str">
        <f t="shared" si="997"/>
        <v>04</v>
      </c>
      <c r="T1549" s="1" t="str">
        <f t="shared" si="1013"/>
        <v>False</v>
      </c>
      <c r="U1549" s="1" t="str">
        <f t="shared" si="1014"/>
        <v>True</v>
      </c>
      <c r="V1549" s="1" t="str">
        <f t="shared" si="1020"/>
        <v>U0028284</v>
      </c>
      <c r="W1549" s="1">
        <v>1</v>
      </c>
      <c r="Y1549" s="1">
        <v>0</v>
      </c>
      <c r="Z1549" s="1">
        <v>0</v>
      </c>
      <c r="AB1549" s="1" t="str">
        <f t="shared" si="1000"/>
        <v>SMU</v>
      </c>
      <c r="AI1549" s="1" t="str">
        <f>"106"</f>
        <v>106</v>
      </c>
      <c r="AJ1549" s="1" t="str">
        <f t="shared" si="1003"/>
        <v>WOMAN</v>
      </c>
      <c r="AK1549" s="1" t="str">
        <f t="shared" si="1015"/>
        <v>PA</v>
      </c>
      <c r="AP1549" s="1" t="str">
        <f t="shared" si="1016"/>
        <v>False</v>
      </c>
      <c r="AR1549" s="1" t="str">
        <f t="shared" si="1004"/>
        <v>DYON</v>
      </c>
      <c r="AY1549" s="1" t="str">
        <f t="shared" si="1017"/>
        <v>PF</v>
      </c>
      <c r="AZ1549" s="1">
        <v>0</v>
      </c>
      <c r="BA1549" s="1">
        <v>0</v>
      </c>
      <c r="BB1549" s="1">
        <v>0</v>
      </c>
      <c r="BC1549" s="1">
        <v>0</v>
      </c>
      <c r="BD1549" s="1">
        <v>0</v>
      </c>
      <c r="BE1549" s="1" t="str">
        <f t="shared" si="1021"/>
        <v>YON GOMMA TWILL CANVAS</v>
      </c>
      <c r="BF1549" s="1" t="str">
        <f t="shared" si="1018"/>
        <v>Bonis SpA</v>
      </c>
    </row>
    <row r="1550" spans="2:58" x14ac:dyDescent="0.25">
      <c r="B1550" s="1">
        <v>2572</v>
      </c>
      <c r="C1550" s="1" t="str">
        <f t="shared" si="1019"/>
        <v>DYON4191S7/C1</v>
      </c>
      <c r="E1550" s="1" t="str">
        <f>"38"</f>
        <v>38</v>
      </c>
      <c r="F1550" s="1" t="str">
        <f t="shared" si="1007"/>
        <v>BONIS SPA</v>
      </c>
      <c r="G1550" s="1" t="str">
        <f t="shared" si="996"/>
        <v>STOCK SCAFFALE MP</v>
      </c>
      <c r="H1550" s="1" t="str">
        <f t="shared" si="1002"/>
        <v>AVIO</v>
      </c>
      <c r="K1550" s="1">
        <v>2</v>
      </c>
      <c r="L1550" s="1" t="str">
        <f t="shared" si="1008"/>
        <v>01</v>
      </c>
      <c r="M1550" s="1" t="str">
        <f t="shared" si="999"/>
        <v>409</v>
      </c>
      <c r="N1550" s="1" t="str">
        <f t="shared" si="1006"/>
        <v>018</v>
      </c>
      <c r="O1550" s="1" t="str">
        <f t="shared" si="1009"/>
        <v>00</v>
      </c>
      <c r="P1550" s="1" t="str">
        <f t="shared" si="1010"/>
        <v>S</v>
      </c>
      <c r="Q1550" s="1" t="str">
        <f t="shared" si="1011"/>
        <v>P</v>
      </c>
      <c r="R1550" s="1" t="str">
        <f t="shared" si="1012"/>
        <v>01</v>
      </c>
      <c r="S1550" s="1" t="str">
        <f t="shared" si="997"/>
        <v>04</v>
      </c>
      <c r="T1550" s="1" t="str">
        <f t="shared" si="1013"/>
        <v>False</v>
      </c>
      <c r="U1550" s="1" t="str">
        <f t="shared" si="1014"/>
        <v>True</v>
      </c>
      <c r="V1550" s="1" t="str">
        <f>"U0028285"</f>
        <v>U0028285</v>
      </c>
      <c r="W1550" s="1">
        <v>1</v>
      </c>
      <c r="Y1550" s="1">
        <v>0</v>
      </c>
      <c r="Z1550" s="1">
        <v>0</v>
      </c>
      <c r="AB1550" s="1" t="str">
        <f t="shared" si="1000"/>
        <v>SMU</v>
      </c>
      <c r="AI1550" s="1" t="str">
        <f>"106"</f>
        <v>106</v>
      </c>
      <c r="AJ1550" s="1" t="str">
        <f t="shared" si="1003"/>
        <v>WOMAN</v>
      </c>
      <c r="AK1550" s="1" t="str">
        <f t="shared" si="1015"/>
        <v>PA</v>
      </c>
      <c r="AP1550" s="1" t="str">
        <f t="shared" si="1016"/>
        <v>False</v>
      </c>
      <c r="AR1550" s="1" t="str">
        <f t="shared" si="1004"/>
        <v>DYON</v>
      </c>
      <c r="AY1550" s="1" t="str">
        <f t="shared" si="1017"/>
        <v>PF</v>
      </c>
      <c r="AZ1550" s="1">
        <v>0</v>
      </c>
      <c r="BA1550" s="1">
        <v>0</v>
      </c>
      <c r="BB1550" s="1">
        <v>0</v>
      </c>
      <c r="BC1550" s="1">
        <v>0</v>
      </c>
      <c r="BD1550" s="1">
        <v>0</v>
      </c>
      <c r="BE1550" s="1" t="str">
        <f t="shared" si="1021"/>
        <v>YON GOMMA TWILL CANVAS</v>
      </c>
      <c r="BF1550" s="1" t="str">
        <f t="shared" si="1018"/>
        <v>Bonis SpA</v>
      </c>
    </row>
    <row r="1551" spans="2:58" x14ac:dyDescent="0.25">
      <c r="B1551" s="1">
        <v>2572</v>
      </c>
      <c r="C1551" s="1" t="str">
        <f t="shared" si="1019"/>
        <v>DYON4191S7/C1</v>
      </c>
      <c r="E1551" s="1" t="str">
        <f>"40"</f>
        <v>40</v>
      </c>
      <c r="F1551" s="1" t="str">
        <f t="shared" si="1007"/>
        <v>BONIS SPA</v>
      </c>
      <c r="G1551" s="1" t="str">
        <f t="shared" si="996"/>
        <v>STOCK SCAFFALE MP</v>
      </c>
      <c r="H1551" s="1" t="str">
        <f t="shared" ref="H1551:H1559" si="1022">"DKBL"</f>
        <v>DKBL</v>
      </c>
      <c r="K1551" s="1">
        <v>1</v>
      </c>
      <c r="L1551" s="1" t="str">
        <f t="shared" si="1008"/>
        <v>01</v>
      </c>
      <c r="M1551" s="1" t="str">
        <f t="shared" si="999"/>
        <v>409</v>
      </c>
      <c r="N1551" s="1" t="str">
        <f t="shared" si="1006"/>
        <v>018</v>
      </c>
      <c r="O1551" s="1" t="str">
        <f t="shared" si="1009"/>
        <v>00</v>
      </c>
      <c r="P1551" s="1" t="str">
        <f t="shared" si="1010"/>
        <v>S</v>
      </c>
      <c r="Q1551" s="1" t="str">
        <f t="shared" si="1011"/>
        <v>P</v>
      </c>
      <c r="R1551" s="1" t="str">
        <f t="shared" si="1012"/>
        <v>01</v>
      </c>
      <c r="S1551" s="1" t="str">
        <f t="shared" si="997"/>
        <v>04</v>
      </c>
      <c r="T1551" s="1" t="str">
        <f t="shared" si="1013"/>
        <v>False</v>
      </c>
      <c r="U1551" s="1" t="str">
        <f t="shared" si="1014"/>
        <v>True</v>
      </c>
      <c r="V1551" s="1" t="str">
        <f>"U0028285"</f>
        <v>U0028285</v>
      </c>
      <c r="W1551" s="1">
        <v>1</v>
      </c>
      <c r="Y1551" s="1">
        <v>0</v>
      </c>
      <c r="Z1551" s="1">
        <v>0</v>
      </c>
      <c r="AB1551" s="1" t="str">
        <f t="shared" si="1000"/>
        <v>SMU</v>
      </c>
      <c r="AI1551" s="1" t="str">
        <f>"F11"</f>
        <v>F11</v>
      </c>
      <c r="AJ1551" s="1" t="str">
        <f t="shared" si="1003"/>
        <v>WOMAN</v>
      </c>
      <c r="AK1551" s="1" t="str">
        <f t="shared" si="1015"/>
        <v>PA</v>
      </c>
      <c r="AP1551" s="1" t="str">
        <f t="shared" si="1016"/>
        <v>False</v>
      </c>
      <c r="AR1551" s="1" t="str">
        <f t="shared" si="1004"/>
        <v>DYON</v>
      </c>
      <c r="AY1551" s="1" t="str">
        <f t="shared" si="1017"/>
        <v>PF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 t="str">
        <f t="shared" si="1021"/>
        <v>YON GOMMA TWILL CANVAS</v>
      </c>
      <c r="BF1551" s="1" t="str">
        <f t="shared" si="1018"/>
        <v>Bonis SpA</v>
      </c>
    </row>
    <row r="1552" spans="2:58" x14ac:dyDescent="0.25">
      <c r="B1552" s="1">
        <v>2572</v>
      </c>
      <c r="C1552" s="1" t="str">
        <f t="shared" si="1019"/>
        <v>DYON4191S7/C1</v>
      </c>
      <c r="E1552" s="1" t="str">
        <f>"39"</f>
        <v>39</v>
      </c>
      <c r="F1552" s="1" t="str">
        <f t="shared" si="1007"/>
        <v>BONIS SPA</v>
      </c>
      <c r="G1552" s="1" t="str">
        <f t="shared" si="996"/>
        <v>STOCK SCAFFALE MP</v>
      </c>
      <c r="H1552" s="1" t="str">
        <f t="shared" si="1022"/>
        <v>DKBL</v>
      </c>
      <c r="K1552" s="1">
        <v>1</v>
      </c>
      <c r="L1552" s="1" t="str">
        <f t="shared" si="1008"/>
        <v>01</v>
      </c>
      <c r="M1552" s="1" t="str">
        <f t="shared" si="999"/>
        <v>409</v>
      </c>
      <c r="N1552" s="1" t="str">
        <f t="shared" si="1006"/>
        <v>018</v>
      </c>
      <c r="O1552" s="1" t="str">
        <f t="shared" si="1009"/>
        <v>00</v>
      </c>
      <c r="P1552" s="1" t="str">
        <f t="shared" si="1010"/>
        <v>S</v>
      </c>
      <c r="Q1552" s="1" t="str">
        <f t="shared" si="1011"/>
        <v>P</v>
      </c>
      <c r="R1552" s="1" t="str">
        <f t="shared" si="1012"/>
        <v>01</v>
      </c>
      <c r="S1552" s="1" t="str">
        <f t="shared" si="997"/>
        <v>04</v>
      </c>
      <c r="T1552" s="1" t="str">
        <f t="shared" si="1013"/>
        <v>False</v>
      </c>
      <c r="U1552" s="1" t="str">
        <f t="shared" si="1014"/>
        <v>True</v>
      </c>
      <c r="V1552" s="1" t="str">
        <f>"U0028285"</f>
        <v>U0028285</v>
      </c>
      <c r="W1552" s="1">
        <v>1</v>
      </c>
      <c r="Y1552" s="1">
        <v>0</v>
      </c>
      <c r="Z1552" s="1">
        <v>0</v>
      </c>
      <c r="AB1552" s="1" t="str">
        <f t="shared" si="1000"/>
        <v>SMU</v>
      </c>
      <c r="AI1552" s="1" t="str">
        <f>"F11"</f>
        <v>F11</v>
      </c>
      <c r="AJ1552" s="1" t="str">
        <f t="shared" si="1003"/>
        <v>WOMAN</v>
      </c>
      <c r="AK1552" s="1" t="str">
        <f t="shared" si="1015"/>
        <v>PA</v>
      </c>
      <c r="AP1552" s="1" t="str">
        <f t="shared" si="1016"/>
        <v>False</v>
      </c>
      <c r="AR1552" s="1" t="str">
        <f t="shared" si="1004"/>
        <v>DYON</v>
      </c>
      <c r="AY1552" s="1" t="str">
        <f t="shared" si="1017"/>
        <v>PF</v>
      </c>
      <c r="AZ1552" s="1">
        <v>0</v>
      </c>
      <c r="BA1552" s="1">
        <v>0</v>
      </c>
      <c r="BB1552" s="1">
        <v>0</v>
      </c>
      <c r="BC1552" s="1">
        <v>0</v>
      </c>
      <c r="BD1552" s="1">
        <v>0</v>
      </c>
      <c r="BE1552" s="1" t="str">
        <f t="shared" si="1021"/>
        <v>YON GOMMA TWILL CANVAS</v>
      </c>
      <c r="BF1552" s="1" t="str">
        <f t="shared" si="1018"/>
        <v>Bonis SpA</v>
      </c>
    </row>
    <row r="1553" spans="2:58" x14ac:dyDescent="0.25">
      <c r="B1553" s="1">
        <v>2572</v>
      </c>
      <c r="C1553" s="1" t="str">
        <f t="shared" si="1019"/>
        <v>DYON4191S7/C1</v>
      </c>
      <c r="E1553" s="1" t="str">
        <f>"38"</f>
        <v>38</v>
      </c>
      <c r="F1553" s="1" t="str">
        <f t="shared" si="1007"/>
        <v>BONIS SPA</v>
      </c>
      <c r="G1553" s="1" t="str">
        <f t="shared" si="996"/>
        <v>STOCK SCAFFALE MP</v>
      </c>
      <c r="H1553" s="1" t="str">
        <f t="shared" si="1022"/>
        <v>DKBL</v>
      </c>
      <c r="K1553" s="1">
        <v>2</v>
      </c>
      <c r="L1553" s="1" t="str">
        <f t="shared" si="1008"/>
        <v>01</v>
      </c>
      <c r="M1553" s="1" t="str">
        <f t="shared" si="999"/>
        <v>409</v>
      </c>
      <c r="N1553" s="1" t="str">
        <f t="shared" si="1006"/>
        <v>018</v>
      </c>
      <c r="O1553" s="1" t="str">
        <f t="shared" si="1009"/>
        <v>00</v>
      </c>
      <c r="P1553" s="1" t="str">
        <f t="shared" si="1010"/>
        <v>S</v>
      </c>
      <c r="Q1553" s="1" t="str">
        <f t="shared" si="1011"/>
        <v>P</v>
      </c>
      <c r="R1553" s="1" t="str">
        <f t="shared" si="1012"/>
        <v>01</v>
      </c>
      <c r="S1553" s="1" t="str">
        <f t="shared" si="997"/>
        <v>04</v>
      </c>
      <c r="T1553" s="1" t="str">
        <f t="shared" si="1013"/>
        <v>False</v>
      </c>
      <c r="U1553" s="1" t="str">
        <f t="shared" si="1014"/>
        <v>True</v>
      </c>
      <c r="V1553" s="1" t="str">
        <f>"U0028285"</f>
        <v>U0028285</v>
      </c>
      <c r="W1553" s="1">
        <v>1</v>
      </c>
      <c r="Y1553" s="1">
        <v>0</v>
      </c>
      <c r="Z1553" s="1">
        <v>0</v>
      </c>
      <c r="AB1553" s="1" t="str">
        <f t="shared" si="1000"/>
        <v>SMU</v>
      </c>
      <c r="AI1553" s="1" t="str">
        <f>"F11"</f>
        <v>F11</v>
      </c>
      <c r="AJ1553" s="1" t="str">
        <f t="shared" si="1003"/>
        <v>WOMAN</v>
      </c>
      <c r="AK1553" s="1" t="str">
        <f t="shared" si="1015"/>
        <v>PA</v>
      </c>
      <c r="AP1553" s="1" t="str">
        <f t="shared" si="1016"/>
        <v>False</v>
      </c>
      <c r="AR1553" s="1" t="str">
        <f t="shared" si="1004"/>
        <v>DYON</v>
      </c>
      <c r="AY1553" s="1" t="str">
        <f t="shared" si="1017"/>
        <v>PF</v>
      </c>
      <c r="AZ1553" s="1">
        <v>0</v>
      </c>
      <c r="BA1553" s="1">
        <v>0</v>
      </c>
      <c r="BB1553" s="1">
        <v>0</v>
      </c>
      <c r="BC1553" s="1">
        <v>0</v>
      </c>
      <c r="BD1553" s="1">
        <v>0</v>
      </c>
      <c r="BE1553" s="1" t="str">
        <f t="shared" si="1021"/>
        <v>YON GOMMA TWILL CANVAS</v>
      </c>
      <c r="BF1553" s="1" t="str">
        <f t="shared" si="1018"/>
        <v>Bonis SpA</v>
      </c>
    </row>
    <row r="1554" spans="2:58" x14ac:dyDescent="0.25">
      <c r="B1554" s="1">
        <v>2563</v>
      </c>
      <c r="C1554" s="1" t="str">
        <f>"DYON4190S7/C1"</f>
        <v>DYON4190S7/C1</v>
      </c>
      <c r="E1554" s="1" t="str">
        <f>"38"</f>
        <v>38</v>
      </c>
      <c r="F1554" s="1" t="str">
        <f t="shared" si="1007"/>
        <v>BONIS SPA</v>
      </c>
      <c r="G1554" s="1" t="str">
        <f t="shared" si="996"/>
        <v>STOCK SCAFFALE MP</v>
      </c>
      <c r="H1554" s="1" t="str">
        <f t="shared" si="1022"/>
        <v>DKBL</v>
      </c>
      <c r="K1554" s="1">
        <v>1</v>
      </c>
      <c r="L1554" s="1" t="str">
        <f t="shared" si="1008"/>
        <v>01</v>
      </c>
      <c r="M1554" s="1" t="str">
        <f t="shared" si="999"/>
        <v>409</v>
      </c>
      <c r="N1554" s="1" t="str">
        <f>"015"</f>
        <v>015</v>
      </c>
      <c r="O1554" s="1" t="str">
        <f t="shared" si="1009"/>
        <v>00</v>
      </c>
      <c r="P1554" s="1" t="str">
        <f t="shared" si="1010"/>
        <v>S</v>
      </c>
      <c r="Q1554" s="1" t="str">
        <f t="shared" si="1011"/>
        <v>P</v>
      </c>
      <c r="R1554" s="1" t="str">
        <f t="shared" si="1012"/>
        <v>01</v>
      </c>
      <c r="S1554" s="1" t="str">
        <f t="shared" si="997"/>
        <v>04</v>
      </c>
      <c r="T1554" s="1" t="str">
        <f t="shared" si="1013"/>
        <v>False</v>
      </c>
      <c r="U1554" s="1" t="str">
        <f t="shared" si="1014"/>
        <v>True</v>
      </c>
      <c r="V1554" s="1" t="str">
        <f>"U0028297"</f>
        <v>U0028297</v>
      </c>
      <c r="W1554" s="1">
        <v>1</v>
      </c>
      <c r="Y1554" s="1">
        <v>0</v>
      </c>
      <c r="Z1554" s="1">
        <v>0</v>
      </c>
      <c r="AB1554" s="1" t="str">
        <f t="shared" si="1000"/>
        <v>SMU</v>
      </c>
      <c r="AI1554" s="1" t="str">
        <f>"106"</f>
        <v>106</v>
      </c>
      <c r="AJ1554" s="1" t="str">
        <f t="shared" si="1003"/>
        <v>WOMAN</v>
      </c>
      <c r="AK1554" s="1" t="str">
        <f t="shared" si="1015"/>
        <v>PA</v>
      </c>
      <c r="AP1554" s="1" t="str">
        <f t="shared" si="1016"/>
        <v>False</v>
      </c>
      <c r="AR1554" s="1" t="str">
        <f t="shared" si="1004"/>
        <v>DYON</v>
      </c>
      <c r="AY1554" s="1" t="str">
        <f t="shared" si="1017"/>
        <v>PF</v>
      </c>
      <c r="AZ1554" s="1">
        <v>0</v>
      </c>
      <c r="BA1554" s="1">
        <v>0</v>
      </c>
      <c r="BB1554" s="1">
        <v>0</v>
      </c>
      <c r="BC1554" s="1">
        <v>0</v>
      </c>
      <c r="BD1554" s="1">
        <v>0</v>
      </c>
      <c r="BE1554" s="1" t="str">
        <f>"ION GOMMA TWILL CANVAS"</f>
        <v>ION GOMMA TWILL CANVAS</v>
      </c>
      <c r="BF1554" s="1" t="str">
        <f t="shared" si="1018"/>
        <v>Bonis SpA</v>
      </c>
    </row>
    <row r="1555" spans="2:58" x14ac:dyDescent="0.25">
      <c r="B1555" s="1">
        <v>2572</v>
      </c>
      <c r="C1555" s="1" t="str">
        <f>"DYON4191S7/C1"</f>
        <v>DYON4191S7/C1</v>
      </c>
      <c r="E1555" s="1" t="str">
        <f>"37"</f>
        <v>37</v>
      </c>
      <c r="F1555" s="1" t="str">
        <f t="shared" si="1007"/>
        <v>BONIS SPA</v>
      </c>
      <c r="G1555" s="1" t="str">
        <f t="shared" si="996"/>
        <v>STOCK SCAFFALE MP</v>
      </c>
      <c r="H1555" s="1" t="str">
        <f t="shared" si="1022"/>
        <v>DKBL</v>
      </c>
      <c r="K1555" s="1">
        <v>1</v>
      </c>
      <c r="L1555" s="1" t="str">
        <f t="shared" si="1008"/>
        <v>01</v>
      </c>
      <c r="M1555" s="1" t="str">
        <f t="shared" si="999"/>
        <v>409</v>
      </c>
      <c r="N1555" s="1" t="str">
        <f>"018"</f>
        <v>018</v>
      </c>
      <c r="O1555" s="1" t="str">
        <f t="shared" si="1009"/>
        <v>00</v>
      </c>
      <c r="P1555" s="1" t="str">
        <f t="shared" si="1010"/>
        <v>S</v>
      </c>
      <c r="Q1555" s="1" t="str">
        <f t="shared" si="1011"/>
        <v>P</v>
      </c>
      <c r="R1555" s="1" t="str">
        <f t="shared" si="1012"/>
        <v>01</v>
      </c>
      <c r="S1555" s="1" t="str">
        <f t="shared" si="997"/>
        <v>04</v>
      </c>
      <c r="T1555" s="1" t="str">
        <f t="shared" si="1013"/>
        <v>False</v>
      </c>
      <c r="U1555" s="1" t="str">
        <f t="shared" si="1014"/>
        <v>True</v>
      </c>
      <c r="V1555" s="1" t="str">
        <f>"U0028285"</f>
        <v>U0028285</v>
      </c>
      <c r="W1555" s="1">
        <v>1</v>
      </c>
      <c r="Y1555" s="1">
        <v>0</v>
      </c>
      <c r="Z1555" s="1">
        <v>0</v>
      </c>
      <c r="AB1555" s="1" t="str">
        <f t="shared" si="1000"/>
        <v>SMU</v>
      </c>
      <c r="AI1555" s="1" t="str">
        <f>"F11"</f>
        <v>F11</v>
      </c>
      <c r="AJ1555" s="1" t="str">
        <f t="shared" si="1003"/>
        <v>WOMAN</v>
      </c>
      <c r="AK1555" s="1" t="str">
        <f t="shared" si="1015"/>
        <v>PA</v>
      </c>
      <c r="AP1555" s="1" t="str">
        <f t="shared" si="1016"/>
        <v>False</v>
      </c>
      <c r="AR1555" s="1" t="str">
        <f t="shared" si="1004"/>
        <v>DYON</v>
      </c>
      <c r="AY1555" s="1" t="str">
        <f t="shared" si="1017"/>
        <v>PF</v>
      </c>
      <c r="AZ1555" s="1">
        <v>0</v>
      </c>
      <c r="BA1555" s="1">
        <v>0</v>
      </c>
      <c r="BB1555" s="1">
        <v>0</v>
      </c>
      <c r="BC1555" s="1">
        <v>0</v>
      </c>
      <c r="BD1555" s="1">
        <v>0</v>
      </c>
      <c r="BE1555" s="1" t="str">
        <f>"YON GOMMA TWILL CANVAS"</f>
        <v>YON GOMMA TWILL CANVAS</v>
      </c>
      <c r="BF1555" s="1" t="str">
        <f t="shared" si="1018"/>
        <v>Bonis SpA</v>
      </c>
    </row>
    <row r="1556" spans="2:58" x14ac:dyDescent="0.25">
      <c r="B1556" s="1">
        <v>2572</v>
      </c>
      <c r="C1556" s="1" t="str">
        <f>"DYON4191S7/C1"</f>
        <v>DYON4191S7/C1</v>
      </c>
      <c r="E1556" s="1" t="str">
        <f>"36"</f>
        <v>36</v>
      </c>
      <c r="F1556" s="1" t="str">
        <f t="shared" si="1007"/>
        <v>BONIS SPA</v>
      </c>
      <c r="G1556" s="1" t="str">
        <f t="shared" si="996"/>
        <v>STOCK SCAFFALE MP</v>
      </c>
      <c r="H1556" s="1" t="str">
        <f t="shared" si="1022"/>
        <v>DKBL</v>
      </c>
      <c r="K1556" s="1">
        <v>1</v>
      </c>
      <c r="L1556" s="1" t="str">
        <f t="shared" si="1008"/>
        <v>01</v>
      </c>
      <c r="M1556" s="1" t="str">
        <f t="shared" si="999"/>
        <v>409</v>
      </c>
      <c r="N1556" s="1" t="str">
        <f>"018"</f>
        <v>018</v>
      </c>
      <c r="O1556" s="1" t="str">
        <f t="shared" si="1009"/>
        <v>00</v>
      </c>
      <c r="P1556" s="1" t="str">
        <f t="shared" si="1010"/>
        <v>S</v>
      </c>
      <c r="Q1556" s="1" t="str">
        <f t="shared" si="1011"/>
        <v>P</v>
      </c>
      <c r="R1556" s="1" t="str">
        <f t="shared" si="1012"/>
        <v>01</v>
      </c>
      <c r="S1556" s="1" t="str">
        <f t="shared" si="997"/>
        <v>04</v>
      </c>
      <c r="T1556" s="1" t="str">
        <f t="shared" si="1013"/>
        <v>False</v>
      </c>
      <c r="U1556" s="1" t="str">
        <f t="shared" si="1014"/>
        <v>True</v>
      </c>
      <c r="V1556" s="1" t="str">
        <f>"U0028285"</f>
        <v>U0028285</v>
      </c>
      <c r="W1556" s="1">
        <v>1</v>
      </c>
      <c r="Y1556" s="1">
        <v>0</v>
      </c>
      <c r="Z1556" s="1">
        <v>0</v>
      </c>
      <c r="AB1556" s="1" t="str">
        <f t="shared" si="1000"/>
        <v>SMU</v>
      </c>
      <c r="AI1556" s="1" t="str">
        <f>"F11"</f>
        <v>F11</v>
      </c>
      <c r="AJ1556" s="1" t="str">
        <f t="shared" si="1003"/>
        <v>WOMAN</v>
      </c>
      <c r="AK1556" s="1" t="str">
        <f t="shared" si="1015"/>
        <v>PA</v>
      </c>
      <c r="AP1556" s="1" t="str">
        <f t="shared" si="1016"/>
        <v>False</v>
      </c>
      <c r="AR1556" s="1" t="str">
        <f t="shared" si="1004"/>
        <v>DYON</v>
      </c>
      <c r="AY1556" s="1" t="str">
        <f t="shared" si="1017"/>
        <v>PF</v>
      </c>
      <c r="AZ1556" s="1">
        <v>0</v>
      </c>
      <c r="BA1556" s="1">
        <v>0</v>
      </c>
      <c r="BB1556" s="1">
        <v>0</v>
      </c>
      <c r="BC1556" s="1">
        <v>0</v>
      </c>
      <c r="BD1556" s="1">
        <v>0</v>
      </c>
      <c r="BE1556" s="1" t="str">
        <f>"YON GOMMA TWILL CANVAS"</f>
        <v>YON GOMMA TWILL CANVAS</v>
      </c>
      <c r="BF1556" s="1" t="str">
        <f t="shared" si="1018"/>
        <v>Bonis SpA</v>
      </c>
    </row>
    <row r="1557" spans="2:58" x14ac:dyDescent="0.25">
      <c r="B1557" s="1">
        <v>2563</v>
      </c>
      <c r="C1557" s="1" t="str">
        <f t="shared" ref="C1557:C1565" si="1023">"DYON4190S7/C1"</f>
        <v>DYON4190S7/C1</v>
      </c>
      <c r="E1557" s="1" t="str">
        <f>"37"</f>
        <v>37</v>
      </c>
      <c r="F1557" s="1" t="str">
        <f t="shared" si="1007"/>
        <v>BONIS SPA</v>
      </c>
      <c r="G1557" s="1" t="str">
        <f t="shared" si="996"/>
        <v>STOCK SCAFFALE MP</v>
      </c>
      <c r="H1557" s="1" t="str">
        <f t="shared" si="1022"/>
        <v>DKBL</v>
      </c>
      <c r="K1557" s="1">
        <v>1</v>
      </c>
      <c r="L1557" s="1" t="str">
        <f t="shared" si="1008"/>
        <v>01</v>
      </c>
      <c r="M1557" s="1" t="str">
        <f t="shared" si="999"/>
        <v>409</v>
      </c>
      <c r="N1557" s="1" t="str">
        <f t="shared" ref="N1557:N1565" si="1024">"015"</f>
        <v>015</v>
      </c>
      <c r="O1557" s="1" t="str">
        <f t="shared" si="1009"/>
        <v>00</v>
      </c>
      <c r="P1557" s="1" t="str">
        <f t="shared" si="1010"/>
        <v>S</v>
      </c>
      <c r="Q1557" s="1" t="str">
        <f t="shared" si="1011"/>
        <v>P</v>
      </c>
      <c r="R1557" s="1" t="str">
        <f t="shared" si="1012"/>
        <v>01</v>
      </c>
      <c r="S1557" s="1" t="str">
        <f t="shared" si="997"/>
        <v>04</v>
      </c>
      <c r="T1557" s="1" t="str">
        <f t="shared" si="1013"/>
        <v>False</v>
      </c>
      <c r="U1557" s="1" t="str">
        <f t="shared" si="1014"/>
        <v>True</v>
      </c>
      <c r="V1557" s="1" t="str">
        <f>"U0028297"</f>
        <v>U0028297</v>
      </c>
      <c r="W1557" s="1">
        <v>1</v>
      </c>
      <c r="Y1557" s="1">
        <v>0</v>
      </c>
      <c r="Z1557" s="1">
        <v>0</v>
      </c>
      <c r="AB1557" s="1" t="str">
        <f t="shared" si="1000"/>
        <v>SMU</v>
      </c>
      <c r="AI1557" s="1" t="str">
        <f t="shared" ref="AI1557:AI1565" si="1025">"106"</f>
        <v>106</v>
      </c>
      <c r="AJ1557" s="1" t="str">
        <f t="shared" si="1003"/>
        <v>WOMAN</v>
      </c>
      <c r="AK1557" s="1" t="str">
        <f t="shared" si="1015"/>
        <v>PA</v>
      </c>
      <c r="AP1557" s="1" t="str">
        <f t="shared" si="1016"/>
        <v>False</v>
      </c>
      <c r="AR1557" s="1" t="str">
        <f t="shared" si="1004"/>
        <v>DYON</v>
      </c>
      <c r="AY1557" s="1" t="str">
        <f t="shared" si="1017"/>
        <v>PF</v>
      </c>
      <c r="AZ1557" s="1">
        <v>0</v>
      </c>
      <c r="BA1557" s="1">
        <v>0</v>
      </c>
      <c r="BB1557" s="1">
        <v>0</v>
      </c>
      <c r="BC1557" s="1">
        <v>0</v>
      </c>
      <c r="BD1557" s="1">
        <v>0</v>
      </c>
      <c r="BE1557" s="1" t="str">
        <f t="shared" ref="BE1557:BE1565" si="1026">"ION GOMMA TWILL CANVAS"</f>
        <v>ION GOMMA TWILL CANVAS</v>
      </c>
      <c r="BF1557" s="1" t="str">
        <f t="shared" si="1018"/>
        <v>Bonis SpA</v>
      </c>
    </row>
    <row r="1558" spans="2:58" x14ac:dyDescent="0.25">
      <c r="B1558" s="1">
        <v>2563</v>
      </c>
      <c r="C1558" s="1" t="str">
        <f t="shared" si="1023"/>
        <v>DYON4190S7/C1</v>
      </c>
      <c r="E1558" s="1" t="str">
        <f>"39"</f>
        <v>39</v>
      </c>
      <c r="F1558" s="1" t="str">
        <f t="shared" si="1007"/>
        <v>BONIS SPA</v>
      </c>
      <c r="G1558" s="1" t="str">
        <f t="shared" si="996"/>
        <v>STOCK SCAFFALE MP</v>
      </c>
      <c r="H1558" s="1" t="str">
        <f t="shared" si="1022"/>
        <v>DKBL</v>
      </c>
      <c r="K1558" s="1">
        <v>3</v>
      </c>
      <c r="L1558" s="1" t="str">
        <f t="shared" si="1008"/>
        <v>01</v>
      </c>
      <c r="M1558" s="1" t="str">
        <f t="shared" si="999"/>
        <v>409</v>
      </c>
      <c r="N1558" s="1" t="str">
        <f t="shared" si="1024"/>
        <v>015</v>
      </c>
      <c r="O1558" s="1" t="str">
        <f t="shared" si="1009"/>
        <v>00</v>
      </c>
      <c r="P1558" s="1" t="str">
        <f t="shared" si="1010"/>
        <v>S</v>
      </c>
      <c r="Q1558" s="1" t="str">
        <f t="shared" si="1011"/>
        <v>P</v>
      </c>
      <c r="R1558" s="1" t="str">
        <f t="shared" si="1012"/>
        <v>01</v>
      </c>
      <c r="S1558" s="1" t="str">
        <f t="shared" si="997"/>
        <v>04</v>
      </c>
      <c r="T1558" s="1" t="str">
        <f t="shared" si="1013"/>
        <v>False</v>
      </c>
      <c r="U1558" s="1" t="str">
        <f t="shared" si="1014"/>
        <v>True</v>
      </c>
      <c r="V1558" s="1" t="str">
        <f>"U0028268"</f>
        <v>U0028268</v>
      </c>
      <c r="W1558" s="1">
        <v>1</v>
      </c>
      <c r="Y1558" s="1">
        <v>0</v>
      </c>
      <c r="Z1558" s="1">
        <v>0</v>
      </c>
      <c r="AB1558" s="1" t="str">
        <f t="shared" si="1000"/>
        <v>SMU</v>
      </c>
      <c r="AI1558" s="1" t="str">
        <f t="shared" si="1025"/>
        <v>106</v>
      </c>
      <c r="AJ1558" s="1" t="str">
        <f t="shared" si="1003"/>
        <v>WOMAN</v>
      </c>
      <c r="AK1558" s="1" t="str">
        <f t="shared" si="1015"/>
        <v>PA</v>
      </c>
      <c r="AP1558" s="1" t="str">
        <f t="shared" si="1016"/>
        <v>False</v>
      </c>
      <c r="AR1558" s="1" t="str">
        <f t="shared" si="1004"/>
        <v>DYON</v>
      </c>
      <c r="AY1558" s="1" t="str">
        <f t="shared" si="1017"/>
        <v>PF</v>
      </c>
      <c r="AZ1558" s="1">
        <v>0</v>
      </c>
      <c r="BA1558" s="1">
        <v>0</v>
      </c>
      <c r="BB1558" s="1">
        <v>0</v>
      </c>
      <c r="BC1558" s="1">
        <v>0</v>
      </c>
      <c r="BD1558" s="1">
        <v>0</v>
      </c>
      <c r="BE1558" s="1" t="str">
        <f t="shared" si="1026"/>
        <v>ION GOMMA TWILL CANVAS</v>
      </c>
      <c r="BF1558" s="1" t="str">
        <f t="shared" si="1018"/>
        <v>Bonis SpA</v>
      </c>
    </row>
    <row r="1559" spans="2:58" x14ac:dyDescent="0.25">
      <c r="B1559" s="1">
        <v>2563</v>
      </c>
      <c r="C1559" s="1" t="str">
        <f t="shared" si="1023"/>
        <v>DYON4190S7/C1</v>
      </c>
      <c r="E1559" s="1" t="str">
        <f>"40"</f>
        <v>40</v>
      </c>
      <c r="F1559" s="1" t="str">
        <f t="shared" si="1007"/>
        <v>BONIS SPA</v>
      </c>
      <c r="G1559" s="1" t="str">
        <f t="shared" si="996"/>
        <v>STOCK SCAFFALE MP</v>
      </c>
      <c r="H1559" s="1" t="str">
        <f t="shared" si="1022"/>
        <v>DKBL</v>
      </c>
      <c r="K1559" s="1">
        <v>1</v>
      </c>
      <c r="L1559" s="1" t="str">
        <f t="shared" si="1008"/>
        <v>01</v>
      </c>
      <c r="M1559" s="1" t="str">
        <f t="shared" si="999"/>
        <v>409</v>
      </c>
      <c r="N1559" s="1" t="str">
        <f t="shared" si="1024"/>
        <v>015</v>
      </c>
      <c r="O1559" s="1" t="str">
        <f t="shared" si="1009"/>
        <v>00</v>
      </c>
      <c r="P1559" s="1" t="str">
        <f t="shared" si="1010"/>
        <v>S</v>
      </c>
      <c r="Q1559" s="1" t="str">
        <f t="shared" si="1011"/>
        <v>P</v>
      </c>
      <c r="R1559" s="1" t="str">
        <f t="shared" si="1012"/>
        <v>01</v>
      </c>
      <c r="S1559" s="1" t="str">
        <f t="shared" si="997"/>
        <v>04</v>
      </c>
      <c r="T1559" s="1" t="str">
        <f t="shared" si="1013"/>
        <v>False</v>
      </c>
      <c r="U1559" s="1" t="str">
        <f t="shared" si="1014"/>
        <v>True</v>
      </c>
      <c r="V1559" s="1" t="str">
        <f>"U0028268"</f>
        <v>U0028268</v>
      </c>
      <c r="W1559" s="1">
        <v>1</v>
      </c>
      <c r="Y1559" s="1">
        <v>0</v>
      </c>
      <c r="Z1559" s="1">
        <v>0</v>
      </c>
      <c r="AB1559" s="1" t="str">
        <f t="shared" si="1000"/>
        <v>SMU</v>
      </c>
      <c r="AI1559" s="1" t="str">
        <f t="shared" si="1025"/>
        <v>106</v>
      </c>
      <c r="AJ1559" s="1" t="str">
        <f t="shared" si="1003"/>
        <v>WOMAN</v>
      </c>
      <c r="AK1559" s="1" t="str">
        <f t="shared" si="1015"/>
        <v>PA</v>
      </c>
      <c r="AP1559" s="1" t="str">
        <f t="shared" si="1016"/>
        <v>False</v>
      </c>
      <c r="AR1559" s="1" t="str">
        <f t="shared" si="1004"/>
        <v>DYON</v>
      </c>
      <c r="AY1559" s="1" t="str">
        <f t="shared" si="1017"/>
        <v>PF</v>
      </c>
      <c r="AZ1559" s="1">
        <v>0</v>
      </c>
      <c r="BA1559" s="1">
        <v>0</v>
      </c>
      <c r="BB1559" s="1">
        <v>0</v>
      </c>
      <c r="BC1559" s="1">
        <v>0</v>
      </c>
      <c r="BD1559" s="1">
        <v>0</v>
      </c>
      <c r="BE1559" s="1" t="str">
        <f t="shared" si="1026"/>
        <v>ION GOMMA TWILL CANVAS</v>
      </c>
      <c r="BF1559" s="1" t="str">
        <f t="shared" si="1018"/>
        <v>Bonis SpA</v>
      </c>
    </row>
    <row r="1560" spans="2:58" x14ac:dyDescent="0.25">
      <c r="B1560" s="1">
        <v>2563</v>
      </c>
      <c r="C1560" s="1" t="str">
        <f t="shared" si="1023"/>
        <v>DYON4190S7/C1</v>
      </c>
      <c r="E1560" s="1" t="str">
        <f>"39"</f>
        <v>39</v>
      </c>
      <c r="F1560" s="1" t="str">
        <f t="shared" si="1007"/>
        <v>BONIS SPA</v>
      </c>
      <c r="G1560" s="1" t="str">
        <f t="shared" si="996"/>
        <v>STOCK SCAFFALE MP</v>
      </c>
      <c r="H1560" s="1" t="str">
        <f t="shared" ref="H1560:H1571" si="1027">"BLK"</f>
        <v>BLK</v>
      </c>
      <c r="K1560" s="1">
        <v>1</v>
      </c>
      <c r="L1560" s="1" t="str">
        <f t="shared" si="1008"/>
        <v>01</v>
      </c>
      <c r="M1560" s="1" t="str">
        <f t="shared" si="999"/>
        <v>409</v>
      </c>
      <c r="N1560" s="1" t="str">
        <f t="shared" si="1024"/>
        <v>015</v>
      </c>
      <c r="O1560" s="1" t="str">
        <f t="shared" si="1009"/>
        <v>00</v>
      </c>
      <c r="P1560" s="1" t="str">
        <f t="shared" si="1010"/>
        <v>S</v>
      </c>
      <c r="Q1560" s="1" t="str">
        <f t="shared" si="1011"/>
        <v>P</v>
      </c>
      <c r="R1560" s="1" t="str">
        <f t="shared" si="1012"/>
        <v>01</v>
      </c>
      <c r="S1560" s="1" t="str">
        <f t="shared" si="997"/>
        <v>04</v>
      </c>
      <c r="T1560" s="1" t="str">
        <f t="shared" si="1013"/>
        <v>False</v>
      </c>
      <c r="U1560" s="1" t="str">
        <f t="shared" si="1014"/>
        <v>True</v>
      </c>
      <c r="V1560" s="1" t="str">
        <f>"U0028292"</f>
        <v>U0028292</v>
      </c>
      <c r="W1560" s="1">
        <v>1</v>
      </c>
      <c r="Y1560" s="1">
        <v>0</v>
      </c>
      <c r="Z1560" s="1">
        <v>0</v>
      </c>
      <c r="AB1560" s="1" t="str">
        <f t="shared" si="1000"/>
        <v>SMU</v>
      </c>
      <c r="AI1560" s="1" t="str">
        <f t="shared" si="1025"/>
        <v>106</v>
      </c>
      <c r="AJ1560" s="1" t="str">
        <f t="shared" si="1003"/>
        <v>WOMAN</v>
      </c>
      <c r="AK1560" s="1" t="str">
        <f t="shared" si="1015"/>
        <v>PA</v>
      </c>
      <c r="AP1560" s="1" t="str">
        <f t="shared" si="1016"/>
        <v>False</v>
      </c>
      <c r="AR1560" s="1" t="str">
        <f t="shared" si="1004"/>
        <v>DYON</v>
      </c>
      <c r="AY1560" s="1" t="str">
        <f t="shared" si="1017"/>
        <v>PF</v>
      </c>
      <c r="AZ1560" s="1">
        <v>0</v>
      </c>
      <c r="BA1560" s="1">
        <v>0</v>
      </c>
      <c r="BB1560" s="1">
        <v>0</v>
      </c>
      <c r="BC1560" s="1">
        <v>0</v>
      </c>
      <c r="BD1560" s="1">
        <v>0</v>
      </c>
      <c r="BE1560" s="1" t="str">
        <f t="shared" si="1026"/>
        <v>ION GOMMA TWILL CANVAS</v>
      </c>
      <c r="BF1560" s="1" t="str">
        <f t="shared" si="1018"/>
        <v>Bonis SpA</v>
      </c>
    </row>
    <row r="1561" spans="2:58" x14ac:dyDescent="0.25">
      <c r="B1561" s="1">
        <v>2563</v>
      </c>
      <c r="C1561" s="1" t="str">
        <f t="shared" si="1023"/>
        <v>DYON4190S7/C1</v>
      </c>
      <c r="E1561" s="1" t="str">
        <f>"39"</f>
        <v>39</v>
      </c>
      <c r="F1561" s="1" t="str">
        <f t="shared" si="1007"/>
        <v>BONIS SPA</v>
      </c>
      <c r="G1561" s="1" t="str">
        <f t="shared" si="996"/>
        <v>STOCK SCAFFALE MP</v>
      </c>
      <c r="H1561" s="1" t="str">
        <f t="shared" si="1027"/>
        <v>BLK</v>
      </c>
      <c r="K1561" s="1">
        <v>1</v>
      </c>
      <c r="L1561" s="1" t="str">
        <f t="shared" si="1008"/>
        <v>01</v>
      </c>
      <c r="M1561" s="1" t="str">
        <f t="shared" si="999"/>
        <v>409</v>
      </c>
      <c r="N1561" s="1" t="str">
        <f t="shared" si="1024"/>
        <v>015</v>
      </c>
      <c r="O1561" s="1" t="str">
        <f t="shared" si="1009"/>
        <v>00</v>
      </c>
      <c r="P1561" s="1" t="str">
        <f t="shared" si="1010"/>
        <v>S</v>
      </c>
      <c r="Q1561" s="1" t="str">
        <f t="shared" si="1011"/>
        <v>P</v>
      </c>
      <c r="R1561" s="1" t="str">
        <f t="shared" si="1012"/>
        <v>01</v>
      </c>
      <c r="S1561" s="1" t="str">
        <f t="shared" si="997"/>
        <v>04</v>
      </c>
      <c r="T1561" s="1" t="str">
        <f t="shared" si="1013"/>
        <v>False</v>
      </c>
      <c r="U1561" s="1" t="str">
        <f t="shared" si="1014"/>
        <v>True</v>
      </c>
      <c r="V1561" s="1" t="str">
        <f>"U0028290"</f>
        <v>U0028290</v>
      </c>
      <c r="W1561" s="1">
        <v>1</v>
      </c>
      <c r="Y1561" s="1">
        <v>0</v>
      </c>
      <c r="Z1561" s="1">
        <v>0</v>
      </c>
      <c r="AB1561" s="1" t="str">
        <f t="shared" si="1000"/>
        <v>SMU</v>
      </c>
      <c r="AI1561" s="1" t="str">
        <f t="shared" si="1025"/>
        <v>106</v>
      </c>
      <c r="AJ1561" s="1" t="str">
        <f t="shared" si="1003"/>
        <v>WOMAN</v>
      </c>
      <c r="AK1561" s="1" t="str">
        <f t="shared" si="1015"/>
        <v>PA</v>
      </c>
      <c r="AP1561" s="1" t="str">
        <f t="shared" si="1016"/>
        <v>False</v>
      </c>
      <c r="AR1561" s="1" t="str">
        <f t="shared" si="1004"/>
        <v>DYON</v>
      </c>
      <c r="AY1561" s="1" t="str">
        <f t="shared" si="1017"/>
        <v>PF</v>
      </c>
      <c r="AZ1561" s="1">
        <v>0</v>
      </c>
      <c r="BA1561" s="1">
        <v>0</v>
      </c>
      <c r="BB1561" s="1">
        <v>0</v>
      </c>
      <c r="BC1561" s="1">
        <v>0</v>
      </c>
      <c r="BD1561" s="1">
        <v>0</v>
      </c>
      <c r="BE1561" s="1" t="str">
        <f t="shared" si="1026"/>
        <v>ION GOMMA TWILL CANVAS</v>
      </c>
      <c r="BF1561" s="1" t="str">
        <f t="shared" si="1018"/>
        <v>Bonis SpA</v>
      </c>
    </row>
    <row r="1562" spans="2:58" x14ac:dyDescent="0.25">
      <c r="B1562" s="1">
        <v>2563</v>
      </c>
      <c r="C1562" s="1" t="str">
        <f t="shared" si="1023"/>
        <v>DYON4190S7/C1</v>
      </c>
      <c r="E1562" s="1" t="str">
        <f>"39"</f>
        <v>39</v>
      </c>
      <c r="F1562" s="1" t="str">
        <f t="shared" si="1007"/>
        <v>BONIS SPA</v>
      </c>
      <c r="G1562" s="1" t="str">
        <f t="shared" si="996"/>
        <v>STOCK SCAFFALE MP</v>
      </c>
      <c r="H1562" s="1" t="str">
        <f t="shared" si="1027"/>
        <v>BLK</v>
      </c>
      <c r="K1562" s="1">
        <v>1</v>
      </c>
      <c r="L1562" s="1" t="str">
        <f t="shared" si="1008"/>
        <v>01</v>
      </c>
      <c r="M1562" s="1" t="str">
        <f t="shared" si="999"/>
        <v>409</v>
      </c>
      <c r="N1562" s="1" t="str">
        <f t="shared" si="1024"/>
        <v>015</v>
      </c>
      <c r="O1562" s="1" t="str">
        <f t="shared" si="1009"/>
        <v>00</v>
      </c>
      <c r="P1562" s="1" t="str">
        <f t="shared" si="1010"/>
        <v>S</v>
      </c>
      <c r="Q1562" s="1" t="str">
        <f t="shared" si="1011"/>
        <v>P</v>
      </c>
      <c r="R1562" s="1" t="str">
        <f t="shared" si="1012"/>
        <v>01</v>
      </c>
      <c r="S1562" s="1" t="str">
        <f t="shared" si="997"/>
        <v>04</v>
      </c>
      <c r="T1562" s="1" t="str">
        <f t="shared" si="1013"/>
        <v>False</v>
      </c>
      <c r="U1562" s="1" t="str">
        <f t="shared" si="1014"/>
        <v>True</v>
      </c>
      <c r="V1562" s="1" t="str">
        <f>"U0028294"</f>
        <v>U0028294</v>
      </c>
      <c r="W1562" s="1">
        <v>1</v>
      </c>
      <c r="Y1562" s="1">
        <v>0</v>
      </c>
      <c r="Z1562" s="1">
        <v>0</v>
      </c>
      <c r="AB1562" s="1" t="str">
        <f t="shared" si="1000"/>
        <v>SMU</v>
      </c>
      <c r="AI1562" s="1" t="str">
        <f t="shared" si="1025"/>
        <v>106</v>
      </c>
      <c r="AJ1562" s="1" t="str">
        <f t="shared" ref="AJ1562:AJ1581" si="1028">"WOMAN"</f>
        <v>WOMAN</v>
      </c>
      <c r="AK1562" s="1" t="str">
        <f t="shared" si="1015"/>
        <v>PA</v>
      </c>
      <c r="AP1562" s="1" t="str">
        <f t="shared" si="1016"/>
        <v>False</v>
      </c>
      <c r="AR1562" s="1" t="str">
        <f t="shared" ref="AR1562:AR1581" si="1029">"DYON"</f>
        <v>DYON</v>
      </c>
      <c r="AY1562" s="1" t="str">
        <f t="shared" si="1017"/>
        <v>PF</v>
      </c>
      <c r="AZ1562" s="1">
        <v>0</v>
      </c>
      <c r="BA1562" s="1">
        <v>0</v>
      </c>
      <c r="BB1562" s="1">
        <v>0</v>
      </c>
      <c r="BC1562" s="1">
        <v>0</v>
      </c>
      <c r="BD1562" s="1">
        <v>0</v>
      </c>
      <c r="BE1562" s="1" t="str">
        <f t="shared" si="1026"/>
        <v>ION GOMMA TWILL CANVAS</v>
      </c>
      <c r="BF1562" s="1" t="str">
        <f t="shared" si="1018"/>
        <v>Bonis SpA</v>
      </c>
    </row>
    <row r="1563" spans="2:58" x14ac:dyDescent="0.25">
      <c r="B1563" s="1">
        <v>2563</v>
      </c>
      <c r="C1563" s="1" t="str">
        <f t="shared" si="1023"/>
        <v>DYON4190S7/C1</v>
      </c>
      <c r="E1563" s="1" t="str">
        <f>"40"</f>
        <v>40</v>
      </c>
      <c r="F1563" s="1" t="str">
        <f t="shared" si="1007"/>
        <v>BONIS SPA</v>
      </c>
      <c r="G1563" s="1" t="str">
        <f t="shared" si="996"/>
        <v>STOCK SCAFFALE MP</v>
      </c>
      <c r="H1563" s="1" t="str">
        <f t="shared" si="1027"/>
        <v>BLK</v>
      </c>
      <c r="K1563" s="1">
        <v>1</v>
      </c>
      <c r="L1563" s="1" t="str">
        <f t="shared" si="1008"/>
        <v>01</v>
      </c>
      <c r="M1563" s="1" t="str">
        <f t="shared" si="999"/>
        <v>409</v>
      </c>
      <c r="N1563" s="1" t="str">
        <f t="shared" si="1024"/>
        <v>015</v>
      </c>
      <c r="O1563" s="1" t="str">
        <f t="shared" si="1009"/>
        <v>00</v>
      </c>
      <c r="P1563" s="1" t="str">
        <f t="shared" si="1010"/>
        <v>S</v>
      </c>
      <c r="Q1563" s="1" t="str">
        <f t="shared" si="1011"/>
        <v>P</v>
      </c>
      <c r="R1563" s="1" t="str">
        <f t="shared" si="1012"/>
        <v>01</v>
      </c>
      <c r="S1563" s="1" t="str">
        <f t="shared" si="997"/>
        <v>04</v>
      </c>
      <c r="T1563" s="1" t="str">
        <f t="shared" si="1013"/>
        <v>False</v>
      </c>
      <c r="U1563" s="1" t="str">
        <f t="shared" si="1014"/>
        <v>True</v>
      </c>
      <c r="V1563" s="1" t="str">
        <f>"U0028297"</f>
        <v>U0028297</v>
      </c>
      <c r="W1563" s="1">
        <v>1</v>
      </c>
      <c r="Y1563" s="1">
        <v>0</v>
      </c>
      <c r="Z1563" s="1">
        <v>0</v>
      </c>
      <c r="AB1563" s="1" t="str">
        <f t="shared" si="1000"/>
        <v>SMU</v>
      </c>
      <c r="AI1563" s="1" t="str">
        <f t="shared" si="1025"/>
        <v>106</v>
      </c>
      <c r="AJ1563" s="1" t="str">
        <f t="shared" si="1028"/>
        <v>WOMAN</v>
      </c>
      <c r="AK1563" s="1" t="str">
        <f t="shared" si="1015"/>
        <v>PA</v>
      </c>
      <c r="AP1563" s="1" t="str">
        <f t="shared" si="1016"/>
        <v>False</v>
      </c>
      <c r="AR1563" s="1" t="str">
        <f t="shared" si="1029"/>
        <v>DYON</v>
      </c>
      <c r="AY1563" s="1" t="str">
        <f t="shared" si="1017"/>
        <v>PF</v>
      </c>
      <c r="AZ1563" s="1">
        <v>0</v>
      </c>
      <c r="BA1563" s="1">
        <v>0</v>
      </c>
      <c r="BB1563" s="1">
        <v>0</v>
      </c>
      <c r="BC1563" s="1">
        <v>0</v>
      </c>
      <c r="BD1563" s="1">
        <v>0</v>
      </c>
      <c r="BE1563" s="1" t="str">
        <f t="shared" si="1026"/>
        <v>ION GOMMA TWILL CANVAS</v>
      </c>
      <c r="BF1563" s="1" t="str">
        <f t="shared" si="1018"/>
        <v>Bonis SpA</v>
      </c>
    </row>
    <row r="1564" spans="2:58" x14ac:dyDescent="0.25">
      <c r="B1564" s="1">
        <v>2563</v>
      </c>
      <c r="C1564" s="1" t="str">
        <f t="shared" si="1023"/>
        <v>DYON4190S7/C1</v>
      </c>
      <c r="E1564" s="1" t="str">
        <f>"38"</f>
        <v>38</v>
      </c>
      <c r="F1564" s="1" t="str">
        <f t="shared" si="1007"/>
        <v>BONIS SPA</v>
      </c>
      <c r="G1564" s="1" t="str">
        <f t="shared" si="996"/>
        <v>STOCK SCAFFALE MP</v>
      </c>
      <c r="H1564" s="1" t="str">
        <f t="shared" si="1027"/>
        <v>BLK</v>
      </c>
      <c r="K1564" s="1">
        <v>2</v>
      </c>
      <c r="L1564" s="1" t="str">
        <f t="shared" si="1008"/>
        <v>01</v>
      </c>
      <c r="M1564" s="1" t="str">
        <f t="shared" si="999"/>
        <v>409</v>
      </c>
      <c r="N1564" s="1" t="str">
        <f t="shared" si="1024"/>
        <v>015</v>
      </c>
      <c r="O1564" s="1" t="str">
        <f t="shared" si="1009"/>
        <v>00</v>
      </c>
      <c r="P1564" s="1" t="str">
        <f t="shared" si="1010"/>
        <v>S</v>
      </c>
      <c r="Q1564" s="1" t="str">
        <f t="shared" si="1011"/>
        <v>P</v>
      </c>
      <c r="R1564" s="1" t="str">
        <f t="shared" si="1012"/>
        <v>01</v>
      </c>
      <c r="S1564" s="1" t="str">
        <f t="shared" si="997"/>
        <v>04</v>
      </c>
      <c r="T1564" s="1" t="str">
        <f t="shared" si="1013"/>
        <v>False</v>
      </c>
      <c r="U1564" s="1" t="str">
        <f t="shared" si="1014"/>
        <v>True</v>
      </c>
      <c r="V1564" s="1" t="str">
        <f>"U0028281"</f>
        <v>U0028281</v>
      </c>
      <c r="W1564" s="1">
        <v>1</v>
      </c>
      <c r="Y1564" s="1">
        <v>0</v>
      </c>
      <c r="Z1564" s="1">
        <v>0</v>
      </c>
      <c r="AB1564" s="1" t="str">
        <f t="shared" si="1000"/>
        <v>SMU</v>
      </c>
      <c r="AI1564" s="1" t="str">
        <f t="shared" si="1025"/>
        <v>106</v>
      </c>
      <c r="AJ1564" s="1" t="str">
        <f t="shared" si="1028"/>
        <v>WOMAN</v>
      </c>
      <c r="AK1564" s="1" t="str">
        <f t="shared" si="1015"/>
        <v>PA</v>
      </c>
      <c r="AP1564" s="1" t="str">
        <f t="shared" si="1016"/>
        <v>False</v>
      </c>
      <c r="AR1564" s="1" t="str">
        <f t="shared" si="1029"/>
        <v>DYON</v>
      </c>
      <c r="AY1564" s="1" t="str">
        <f t="shared" si="1017"/>
        <v>PF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 t="str">
        <f t="shared" si="1026"/>
        <v>ION GOMMA TWILL CANVAS</v>
      </c>
      <c r="BF1564" s="1" t="str">
        <f t="shared" si="1018"/>
        <v>Bonis SpA</v>
      </c>
    </row>
    <row r="1565" spans="2:58" x14ac:dyDescent="0.25">
      <c r="B1565" s="1">
        <v>2563</v>
      </c>
      <c r="C1565" s="1" t="str">
        <f t="shared" si="1023"/>
        <v>DYON4190S7/C1</v>
      </c>
      <c r="E1565" s="1" t="str">
        <f>"38"</f>
        <v>38</v>
      </c>
      <c r="F1565" s="1" t="str">
        <f t="shared" si="1007"/>
        <v>BONIS SPA</v>
      </c>
      <c r="G1565" s="1" t="str">
        <f t="shared" si="996"/>
        <v>STOCK SCAFFALE MP</v>
      </c>
      <c r="H1565" s="1" t="str">
        <f t="shared" si="1027"/>
        <v>BLK</v>
      </c>
      <c r="K1565" s="1">
        <v>1</v>
      </c>
      <c r="L1565" s="1" t="str">
        <f t="shared" si="1008"/>
        <v>01</v>
      </c>
      <c r="M1565" s="1" t="str">
        <f t="shared" si="999"/>
        <v>409</v>
      </c>
      <c r="N1565" s="1" t="str">
        <f t="shared" si="1024"/>
        <v>015</v>
      </c>
      <c r="O1565" s="1" t="str">
        <f t="shared" si="1009"/>
        <v>00</v>
      </c>
      <c r="P1565" s="1" t="str">
        <f t="shared" si="1010"/>
        <v>S</v>
      </c>
      <c r="Q1565" s="1" t="str">
        <f t="shared" si="1011"/>
        <v>P</v>
      </c>
      <c r="R1565" s="1" t="str">
        <f t="shared" si="1012"/>
        <v>01</v>
      </c>
      <c r="S1565" s="1" t="str">
        <f t="shared" si="997"/>
        <v>04</v>
      </c>
      <c r="T1565" s="1" t="str">
        <f t="shared" si="1013"/>
        <v>False</v>
      </c>
      <c r="U1565" s="1" t="str">
        <f t="shared" si="1014"/>
        <v>True</v>
      </c>
      <c r="V1565" s="1" t="str">
        <f>"U0028294"</f>
        <v>U0028294</v>
      </c>
      <c r="W1565" s="1">
        <v>1</v>
      </c>
      <c r="Y1565" s="1">
        <v>0</v>
      </c>
      <c r="Z1565" s="1">
        <v>0</v>
      </c>
      <c r="AB1565" s="1" t="str">
        <f t="shared" si="1000"/>
        <v>SMU</v>
      </c>
      <c r="AI1565" s="1" t="str">
        <f t="shared" si="1025"/>
        <v>106</v>
      </c>
      <c r="AJ1565" s="1" t="str">
        <f t="shared" si="1028"/>
        <v>WOMAN</v>
      </c>
      <c r="AK1565" s="1" t="str">
        <f t="shared" si="1015"/>
        <v>PA</v>
      </c>
      <c r="AP1565" s="1" t="str">
        <f t="shared" si="1016"/>
        <v>False</v>
      </c>
      <c r="AR1565" s="1" t="str">
        <f t="shared" si="1029"/>
        <v>DYON</v>
      </c>
      <c r="AY1565" s="1" t="str">
        <f t="shared" si="1017"/>
        <v>PF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 t="str">
        <f t="shared" si="1026"/>
        <v>ION GOMMA TWILL CANVAS</v>
      </c>
      <c r="BF1565" s="1" t="str">
        <f t="shared" si="1018"/>
        <v>Bonis SpA</v>
      </c>
    </row>
    <row r="1566" spans="2:58" x14ac:dyDescent="0.25">
      <c r="B1566" s="1">
        <v>2572</v>
      </c>
      <c r="C1566" s="1" t="str">
        <f t="shared" ref="C1566:C1571" si="1030">"DYON4191S7/C1"</f>
        <v>DYON4191S7/C1</v>
      </c>
      <c r="E1566" s="1" t="str">
        <f>"38"</f>
        <v>38</v>
      </c>
      <c r="F1566" s="1" t="str">
        <f t="shared" si="1007"/>
        <v>BONIS SPA</v>
      </c>
      <c r="G1566" s="1" t="str">
        <f t="shared" si="996"/>
        <v>STOCK SCAFFALE MP</v>
      </c>
      <c r="H1566" s="1" t="str">
        <f t="shared" si="1027"/>
        <v>BLK</v>
      </c>
      <c r="K1566" s="1">
        <v>2</v>
      </c>
      <c r="L1566" s="1" t="str">
        <f t="shared" si="1008"/>
        <v>01</v>
      </c>
      <c r="M1566" s="1" t="str">
        <f t="shared" si="999"/>
        <v>409</v>
      </c>
      <c r="N1566" s="1" t="str">
        <f t="shared" ref="N1566:N1576" si="1031">"018"</f>
        <v>018</v>
      </c>
      <c r="O1566" s="1" t="str">
        <f t="shared" si="1009"/>
        <v>00</v>
      </c>
      <c r="P1566" s="1" t="str">
        <f t="shared" si="1010"/>
        <v>S</v>
      </c>
      <c r="Q1566" s="1" t="str">
        <f t="shared" si="1011"/>
        <v>P</v>
      </c>
      <c r="R1566" s="1" t="str">
        <f t="shared" si="1012"/>
        <v>01</v>
      </c>
      <c r="S1566" s="1" t="str">
        <f t="shared" si="997"/>
        <v>04</v>
      </c>
      <c r="T1566" s="1" t="str">
        <f t="shared" si="1013"/>
        <v>False</v>
      </c>
      <c r="U1566" s="1" t="str">
        <f t="shared" si="1014"/>
        <v>True</v>
      </c>
      <c r="V1566" s="1" t="str">
        <f t="shared" ref="V1566:V1571" si="1032">"U0028288"</f>
        <v>U0028288</v>
      </c>
      <c r="W1566" s="1">
        <v>1</v>
      </c>
      <c r="Y1566" s="1">
        <v>0</v>
      </c>
      <c r="Z1566" s="1">
        <v>0</v>
      </c>
      <c r="AB1566" s="1" t="str">
        <f t="shared" si="1000"/>
        <v>SMU</v>
      </c>
      <c r="AI1566" s="1" t="str">
        <f t="shared" ref="AI1566:AI1581" si="1033">"F11"</f>
        <v>F11</v>
      </c>
      <c r="AJ1566" s="1" t="str">
        <f t="shared" si="1028"/>
        <v>WOMAN</v>
      </c>
      <c r="AK1566" s="1" t="str">
        <f t="shared" si="1015"/>
        <v>PA</v>
      </c>
      <c r="AP1566" s="1" t="str">
        <f t="shared" si="1016"/>
        <v>False</v>
      </c>
      <c r="AR1566" s="1" t="str">
        <f t="shared" si="1029"/>
        <v>DYON</v>
      </c>
      <c r="AY1566" s="1" t="str">
        <f t="shared" si="1017"/>
        <v>PF</v>
      </c>
      <c r="AZ1566" s="1">
        <v>0</v>
      </c>
      <c r="BA1566" s="1">
        <v>0</v>
      </c>
      <c r="BB1566" s="1">
        <v>0</v>
      </c>
      <c r="BC1566" s="1">
        <v>0</v>
      </c>
      <c r="BD1566" s="1">
        <v>0</v>
      </c>
      <c r="BE1566" s="1" t="str">
        <f t="shared" ref="BE1566:BE1571" si="1034">"YON GOMMA TWILL CANVAS"</f>
        <v>YON GOMMA TWILL CANVAS</v>
      </c>
      <c r="BF1566" s="1" t="str">
        <f t="shared" si="1018"/>
        <v>Bonis SpA</v>
      </c>
    </row>
    <row r="1567" spans="2:58" x14ac:dyDescent="0.25">
      <c r="B1567" s="1">
        <v>2572</v>
      </c>
      <c r="C1567" s="1" t="str">
        <f t="shared" si="1030"/>
        <v>DYON4191S7/C1</v>
      </c>
      <c r="E1567" s="1" t="str">
        <f>"37"</f>
        <v>37</v>
      </c>
      <c r="F1567" s="1" t="str">
        <f t="shared" si="1007"/>
        <v>BONIS SPA</v>
      </c>
      <c r="G1567" s="1" t="str">
        <f t="shared" si="996"/>
        <v>STOCK SCAFFALE MP</v>
      </c>
      <c r="H1567" s="1" t="str">
        <f t="shared" si="1027"/>
        <v>BLK</v>
      </c>
      <c r="K1567" s="1">
        <v>2</v>
      </c>
      <c r="L1567" s="1" t="str">
        <f t="shared" si="1008"/>
        <v>01</v>
      </c>
      <c r="M1567" s="1" t="str">
        <f t="shared" si="999"/>
        <v>409</v>
      </c>
      <c r="N1567" s="1" t="str">
        <f t="shared" si="1031"/>
        <v>018</v>
      </c>
      <c r="O1567" s="1" t="str">
        <f t="shared" si="1009"/>
        <v>00</v>
      </c>
      <c r="P1567" s="1" t="str">
        <f t="shared" si="1010"/>
        <v>S</v>
      </c>
      <c r="Q1567" s="1" t="str">
        <f t="shared" si="1011"/>
        <v>P</v>
      </c>
      <c r="R1567" s="1" t="str">
        <f t="shared" si="1012"/>
        <v>01</v>
      </c>
      <c r="S1567" s="1" t="str">
        <f t="shared" si="997"/>
        <v>04</v>
      </c>
      <c r="T1567" s="1" t="str">
        <f t="shared" si="1013"/>
        <v>False</v>
      </c>
      <c r="U1567" s="1" t="str">
        <f t="shared" si="1014"/>
        <v>True</v>
      </c>
      <c r="V1567" s="1" t="str">
        <f t="shared" si="1032"/>
        <v>U0028288</v>
      </c>
      <c r="W1567" s="1">
        <v>1</v>
      </c>
      <c r="Y1567" s="1">
        <v>0</v>
      </c>
      <c r="Z1567" s="1">
        <v>0</v>
      </c>
      <c r="AB1567" s="1" t="str">
        <f t="shared" si="1000"/>
        <v>SMU</v>
      </c>
      <c r="AI1567" s="1" t="str">
        <f t="shared" si="1033"/>
        <v>F11</v>
      </c>
      <c r="AJ1567" s="1" t="str">
        <f t="shared" si="1028"/>
        <v>WOMAN</v>
      </c>
      <c r="AK1567" s="1" t="str">
        <f t="shared" si="1015"/>
        <v>PA</v>
      </c>
      <c r="AP1567" s="1" t="str">
        <f t="shared" si="1016"/>
        <v>False</v>
      </c>
      <c r="AR1567" s="1" t="str">
        <f t="shared" si="1029"/>
        <v>DYON</v>
      </c>
      <c r="AY1567" s="1" t="str">
        <f t="shared" si="1017"/>
        <v>PF</v>
      </c>
      <c r="AZ1567" s="1">
        <v>0</v>
      </c>
      <c r="BA1567" s="1">
        <v>0</v>
      </c>
      <c r="BB1567" s="1">
        <v>0</v>
      </c>
      <c r="BC1567" s="1">
        <v>0</v>
      </c>
      <c r="BD1567" s="1">
        <v>0</v>
      </c>
      <c r="BE1567" s="1" t="str">
        <f t="shared" si="1034"/>
        <v>YON GOMMA TWILL CANVAS</v>
      </c>
      <c r="BF1567" s="1" t="str">
        <f t="shared" si="1018"/>
        <v>Bonis SpA</v>
      </c>
    </row>
    <row r="1568" spans="2:58" x14ac:dyDescent="0.25">
      <c r="B1568" s="1">
        <v>2572</v>
      </c>
      <c r="C1568" s="1" t="str">
        <f t="shared" si="1030"/>
        <v>DYON4191S7/C1</v>
      </c>
      <c r="E1568" s="1" t="str">
        <f>"36"</f>
        <v>36</v>
      </c>
      <c r="F1568" s="1" t="str">
        <f t="shared" si="1007"/>
        <v>BONIS SPA</v>
      </c>
      <c r="G1568" s="1" t="str">
        <f t="shared" si="996"/>
        <v>STOCK SCAFFALE MP</v>
      </c>
      <c r="H1568" s="1" t="str">
        <f t="shared" si="1027"/>
        <v>BLK</v>
      </c>
      <c r="K1568" s="1">
        <v>1</v>
      </c>
      <c r="L1568" s="1" t="str">
        <f t="shared" si="1008"/>
        <v>01</v>
      </c>
      <c r="M1568" s="1" t="str">
        <f t="shared" si="999"/>
        <v>409</v>
      </c>
      <c r="N1568" s="1" t="str">
        <f t="shared" si="1031"/>
        <v>018</v>
      </c>
      <c r="O1568" s="1" t="str">
        <f t="shared" si="1009"/>
        <v>00</v>
      </c>
      <c r="P1568" s="1" t="str">
        <f t="shared" si="1010"/>
        <v>S</v>
      </c>
      <c r="Q1568" s="1" t="str">
        <f t="shared" si="1011"/>
        <v>P</v>
      </c>
      <c r="R1568" s="1" t="str">
        <f t="shared" si="1012"/>
        <v>01</v>
      </c>
      <c r="S1568" s="1" t="str">
        <f t="shared" si="997"/>
        <v>04</v>
      </c>
      <c r="T1568" s="1" t="str">
        <f t="shared" si="1013"/>
        <v>False</v>
      </c>
      <c r="U1568" s="1" t="str">
        <f t="shared" si="1014"/>
        <v>True</v>
      </c>
      <c r="V1568" s="1" t="str">
        <f t="shared" si="1032"/>
        <v>U0028288</v>
      </c>
      <c r="W1568" s="1">
        <v>1</v>
      </c>
      <c r="Y1568" s="1">
        <v>0</v>
      </c>
      <c r="Z1568" s="1">
        <v>0</v>
      </c>
      <c r="AB1568" s="1" t="str">
        <f t="shared" si="1000"/>
        <v>SMU</v>
      </c>
      <c r="AI1568" s="1" t="str">
        <f t="shared" si="1033"/>
        <v>F11</v>
      </c>
      <c r="AJ1568" s="1" t="str">
        <f t="shared" si="1028"/>
        <v>WOMAN</v>
      </c>
      <c r="AK1568" s="1" t="str">
        <f t="shared" si="1015"/>
        <v>PA</v>
      </c>
      <c r="AP1568" s="1" t="str">
        <f t="shared" si="1016"/>
        <v>False</v>
      </c>
      <c r="AR1568" s="1" t="str">
        <f t="shared" si="1029"/>
        <v>DYON</v>
      </c>
      <c r="AY1568" s="1" t="str">
        <f t="shared" si="1017"/>
        <v>PF</v>
      </c>
      <c r="AZ1568" s="1">
        <v>0</v>
      </c>
      <c r="BA1568" s="1">
        <v>0</v>
      </c>
      <c r="BB1568" s="1">
        <v>0</v>
      </c>
      <c r="BC1568" s="1">
        <v>0</v>
      </c>
      <c r="BD1568" s="1">
        <v>0</v>
      </c>
      <c r="BE1568" s="1" t="str">
        <f t="shared" si="1034"/>
        <v>YON GOMMA TWILL CANVAS</v>
      </c>
      <c r="BF1568" s="1" t="str">
        <f t="shared" si="1018"/>
        <v>Bonis SpA</v>
      </c>
    </row>
    <row r="1569" spans="2:58" x14ac:dyDescent="0.25">
      <c r="B1569" s="1">
        <v>2572</v>
      </c>
      <c r="C1569" s="1" t="str">
        <f t="shared" si="1030"/>
        <v>DYON4191S7/C1</v>
      </c>
      <c r="E1569" s="1" t="str">
        <f>"39"</f>
        <v>39</v>
      </c>
      <c r="F1569" s="1" t="str">
        <f t="shared" si="1007"/>
        <v>BONIS SPA</v>
      </c>
      <c r="G1569" s="1" t="str">
        <f t="shared" si="996"/>
        <v>STOCK SCAFFALE MP</v>
      </c>
      <c r="H1569" s="1" t="str">
        <f t="shared" si="1027"/>
        <v>BLK</v>
      </c>
      <c r="K1569" s="1">
        <v>3</v>
      </c>
      <c r="L1569" s="1" t="str">
        <f t="shared" si="1008"/>
        <v>01</v>
      </c>
      <c r="M1569" s="1" t="str">
        <f t="shared" si="999"/>
        <v>409</v>
      </c>
      <c r="N1569" s="1" t="str">
        <f t="shared" si="1031"/>
        <v>018</v>
      </c>
      <c r="O1569" s="1" t="str">
        <f t="shared" si="1009"/>
        <v>00</v>
      </c>
      <c r="P1569" s="1" t="str">
        <f t="shared" si="1010"/>
        <v>S</v>
      </c>
      <c r="Q1569" s="1" t="str">
        <f t="shared" si="1011"/>
        <v>P</v>
      </c>
      <c r="R1569" s="1" t="str">
        <f t="shared" si="1012"/>
        <v>01</v>
      </c>
      <c r="S1569" s="1" t="str">
        <f t="shared" si="997"/>
        <v>04</v>
      </c>
      <c r="T1569" s="1" t="str">
        <f t="shared" si="1013"/>
        <v>False</v>
      </c>
      <c r="U1569" s="1" t="str">
        <f t="shared" si="1014"/>
        <v>True</v>
      </c>
      <c r="V1569" s="1" t="str">
        <f t="shared" si="1032"/>
        <v>U0028288</v>
      </c>
      <c r="W1569" s="1">
        <v>1</v>
      </c>
      <c r="Y1569" s="1">
        <v>0</v>
      </c>
      <c r="Z1569" s="1">
        <v>0</v>
      </c>
      <c r="AB1569" s="1" t="str">
        <f t="shared" si="1000"/>
        <v>SMU</v>
      </c>
      <c r="AI1569" s="1" t="str">
        <f t="shared" si="1033"/>
        <v>F11</v>
      </c>
      <c r="AJ1569" s="1" t="str">
        <f t="shared" si="1028"/>
        <v>WOMAN</v>
      </c>
      <c r="AK1569" s="1" t="str">
        <f t="shared" si="1015"/>
        <v>PA</v>
      </c>
      <c r="AP1569" s="1" t="str">
        <f t="shared" si="1016"/>
        <v>False</v>
      </c>
      <c r="AR1569" s="1" t="str">
        <f t="shared" si="1029"/>
        <v>DYON</v>
      </c>
      <c r="AY1569" s="1" t="str">
        <f t="shared" si="1017"/>
        <v>PF</v>
      </c>
      <c r="AZ1569" s="1">
        <v>0</v>
      </c>
      <c r="BA1569" s="1">
        <v>0</v>
      </c>
      <c r="BB1569" s="1">
        <v>0</v>
      </c>
      <c r="BC1569" s="1">
        <v>0</v>
      </c>
      <c r="BD1569" s="1">
        <v>0</v>
      </c>
      <c r="BE1569" s="1" t="str">
        <f t="shared" si="1034"/>
        <v>YON GOMMA TWILL CANVAS</v>
      </c>
      <c r="BF1569" s="1" t="str">
        <f t="shared" si="1018"/>
        <v>Bonis SpA</v>
      </c>
    </row>
    <row r="1570" spans="2:58" x14ac:dyDescent="0.25">
      <c r="B1570" s="1">
        <v>2572</v>
      </c>
      <c r="C1570" s="1" t="str">
        <f t="shared" si="1030"/>
        <v>DYON4191S7/C1</v>
      </c>
      <c r="E1570" s="1" t="str">
        <f>"40"</f>
        <v>40</v>
      </c>
      <c r="F1570" s="1" t="str">
        <f t="shared" si="1007"/>
        <v>BONIS SPA</v>
      </c>
      <c r="G1570" s="1" t="str">
        <f t="shared" si="996"/>
        <v>STOCK SCAFFALE MP</v>
      </c>
      <c r="H1570" s="1" t="str">
        <f t="shared" si="1027"/>
        <v>BLK</v>
      </c>
      <c r="K1570" s="1">
        <v>2</v>
      </c>
      <c r="L1570" s="1" t="str">
        <f t="shared" si="1008"/>
        <v>01</v>
      </c>
      <c r="M1570" s="1" t="str">
        <f t="shared" si="999"/>
        <v>409</v>
      </c>
      <c r="N1570" s="1" t="str">
        <f t="shared" si="1031"/>
        <v>018</v>
      </c>
      <c r="O1570" s="1" t="str">
        <f t="shared" si="1009"/>
        <v>00</v>
      </c>
      <c r="P1570" s="1" t="str">
        <f t="shared" si="1010"/>
        <v>S</v>
      </c>
      <c r="Q1570" s="1" t="str">
        <f t="shared" si="1011"/>
        <v>P</v>
      </c>
      <c r="R1570" s="1" t="str">
        <f t="shared" si="1012"/>
        <v>01</v>
      </c>
      <c r="S1570" s="1" t="str">
        <f t="shared" si="997"/>
        <v>04</v>
      </c>
      <c r="T1570" s="1" t="str">
        <f t="shared" si="1013"/>
        <v>False</v>
      </c>
      <c r="U1570" s="1" t="str">
        <f t="shared" si="1014"/>
        <v>True</v>
      </c>
      <c r="V1570" s="1" t="str">
        <f t="shared" si="1032"/>
        <v>U0028288</v>
      </c>
      <c r="W1570" s="1">
        <v>1</v>
      </c>
      <c r="Y1570" s="1">
        <v>0</v>
      </c>
      <c r="Z1570" s="1">
        <v>0</v>
      </c>
      <c r="AB1570" s="1" t="str">
        <f t="shared" si="1000"/>
        <v>SMU</v>
      </c>
      <c r="AI1570" s="1" t="str">
        <f t="shared" si="1033"/>
        <v>F11</v>
      </c>
      <c r="AJ1570" s="1" t="str">
        <f t="shared" si="1028"/>
        <v>WOMAN</v>
      </c>
      <c r="AK1570" s="1" t="str">
        <f t="shared" si="1015"/>
        <v>PA</v>
      </c>
      <c r="AP1570" s="1" t="str">
        <f t="shared" si="1016"/>
        <v>False</v>
      </c>
      <c r="AR1570" s="1" t="str">
        <f t="shared" si="1029"/>
        <v>DYON</v>
      </c>
      <c r="AY1570" s="1" t="str">
        <f t="shared" si="1017"/>
        <v>PF</v>
      </c>
      <c r="AZ1570" s="1">
        <v>0</v>
      </c>
      <c r="BA1570" s="1">
        <v>0</v>
      </c>
      <c r="BB1570" s="1">
        <v>0</v>
      </c>
      <c r="BC1570" s="1">
        <v>0</v>
      </c>
      <c r="BD1570" s="1">
        <v>0</v>
      </c>
      <c r="BE1570" s="1" t="str">
        <f t="shared" si="1034"/>
        <v>YON GOMMA TWILL CANVAS</v>
      </c>
      <c r="BF1570" s="1" t="str">
        <f t="shared" si="1018"/>
        <v>Bonis SpA</v>
      </c>
    </row>
    <row r="1571" spans="2:58" x14ac:dyDescent="0.25">
      <c r="B1571" s="1">
        <v>2572</v>
      </c>
      <c r="C1571" s="1" t="str">
        <f t="shared" si="1030"/>
        <v>DYON4191S7/C1</v>
      </c>
      <c r="E1571" s="1" t="str">
        <f>"41"</f>
        <v>41</v>
      </c>
      <c r="F1571" s="1" t="str">
        <f t="shared" si="1007"/>
        <v>BONIS SPA</v>
      </c>
      <c r="G1571" s="1" t="str">
        <f t="shared" si="996"/>
        <v>STOCK SCAFFALE MP</v>
      </c>
      <c r="H1571" s="1" t="str">
        <f t="shared" si="1027"/>
        <v>BLK</v>
      </c>
      <c r="K1571" s="1">
        <v>1</v>
      </c>
      <c r="L1571" s="1" t="str">
        <f t="shared" si="1008"/>
        <v>01</v>
      </c>
      <c r="M1571" s="1" t="str">
        <f t="shared" si="999"/>
        <v>409</v>
      </c>
      <c r="N1571" s="1" t="str">
        <f t="shared" si="1031"/>
        <v>018</v>
      </c>
      <c r="O1571" s="1" t="str">
        <f t="shared" si="1009"/>
        <v>00</v>
      </c>
      <c r="P1571" s="1" t="str">
        <f t="shared" si="1010"/>
        <v>S</v>
      </c>
      <c r="Q1571" s="1" t="str">
        <f t="shared" si="1011"/>
        <v>P</v>
      </c>
      <c r="R1571" s="1" t="str">
        <f t="shared" si="1012"/>
        <v>01</v>
      </c>
      <c r="S1571" s="1" t="str">
        <f t="shared" si="997"/>
        <v>04</v>
      </c>
      <c r="T1571" s="1" t="str">
        <f t="shared" si="1013"/>
        <v>False</v>
      </c>
      <c r="U1571" s="1" t="str">
        <f t="shared" si="1014"/>
        <v>True</v>
      </c>
      <c r="V1571" s="1" t="str">
        <f t="shared" si="1032"/>
        <v>U0028288</v>
      </c>
      <c r="W1571" s="1">
        <v>1</v>
      </c>
      <c r="Y1571" s="1">
        <v>0</v>
      </c>
      <c r="Z1571" s="1">
        <v>0</v>
      </c>
      <c r="AB1571" s="1" t="str">
        <f t="shared" si="1000"/>
        <v>SMU</v>
      </c>
      <c r="AI1571" s="1" t="str">
        <f t="shared" si="1033"/>
        <v>F11</v>
      </c>
      <c r="AJ1571" s="1" t="str">
        <f t="shared" si="1028"/>
        <v>WOMAN</v>
      </c>
      <c r="AK1571" s="1" t="str">
        <f t="shared" si="1015"/>
        <v>PA</v>
      </c>
      <c r="AP1571" s="1" t="str">
        <f t="shared" si="1016"/>
        <v>False</v>
      </c>
      <c r="AR1571" s="1" t="str">
        <f t="shared" si="1029"/>
        <v>DYON</v>
      </c>
      <c r="AY1571" s="1" t="str">
        <f t="shared" si="1017"/>
        <v>PF</v>
      </c>
      <c r="AZ1571" s="1">
        <v>0</v>
      </c>
      <c r="BA1571" s="1">
        <v>0</v>
      </c>
      <c r="BB1571" s="1">
        <v>0</v>
      </c>
      <c r="BC1571" s="1">
        <v>0</v>
      </c>
      <c r="BD1571" s="1">
        <v>0</v>
      </c>
      <c r="BE1571" s="1" t="str">
        <f t="shared" si="1034"/>
        <v>YON GOMMA TWILL CANVAS</v>
      </c>
      <c r="BF1571" s="1" t="str">
        <f t="shared" si="1018"/>
        <v>Bonis SpA</v>
      </c>
    </row>
    <row r="1572" spans="2:58" x14ac:dyDescent="0.25">
      <c r="B1572" s="1">
        <v>2572</v>
      </c>
      <c r="C1572" s="1" t="str">
        <f t="shared" ref="C1572:C1581" si="1035">"DYON4190S7/C1"</f>
        <v>DYON4190S7/C1</v>
      </c>
      <c r="E1572" s="1" t="str">
        <f>"38"</f>
        <v>38</v>
      </c>
      <c r="F1572" s="1" t="str">
        <f t="shared" si="1007"/>
        <v>BONIS SPA</v>
      </c>
      <c r="G1572" s="1" t="str">
        <f t="shared" si="996"/>
        <v>STOCK SCAFFALE MP</v>
      </c>
      <c r="H1572" s="1" t="str">
        <f>"FUX"</f>
        <v>FUX</v>
      </c>
      <c r="K1572" s="1">
        <v>3</v>
      </c>
      <c r="L1572" s="1" t="str">
        <f t="shared" si="1008"/>
        <v>01</v>
      </c>
      <c r="M1572" s="1" t="str">
        <f t="shared" si="999"/>
        <v>409</v>
      </c>
      <c r="N1572" s="1" t="str">
        <f t="shared" si="1031"/>
        <v>018</v>
      </c>
      <c r="O1572" s="1" t="str">
        <f t="shared" si="1009"/>
        <v>00</v>
      </c>
      <c r="P1572" s="1" t="str">
        <f t="shared" si="1010"/>
        <v>S</v>
      </c>
      <c r="Q1572" s="1" t="str">
        <f t="shared" si="1011"/>
        <v>P</v>
      </c>
      <c r="R1572" s="1" t="str">
        <f t="shared" si="1012"/>
        <v>01</v>
      </c>
      <c r="S1572" s="1" t="str">
        <f t="shared" si="997"/>
        <v>04</v>
      </c>
      <c r="T1572" s="1" t="str">
        <f t="shared" si="1013"/>
        <v>False</v>
      </c>
      <c r="U1572" s="1" t="str">
        <f t="shared" si="1014"/>
        <v>True</v>
      </c>
      <c r="V1572" s="1" t="str">
        <f>"U0028289"</f>
        <v>U0028289</v>
      </c>
      <c r="W1572" s="1">
        <v>1</v>
      </c>
      <c r="Y1572" s="1">
        <v>0</v>
      </c>
      <c r="Z1572" s="1">
        <v>0</v>
      </c>
      <c r="AB1572" s="1" t="str">
        <f t="shared" si="1000"/>
        <v>SMU</v>
      </c>
      <c r="AI1572" s="1" t="str">
        <f t="shared" si="1033"/>
        <v>F11</v>
      </c>
      <c r="AJ1572" s="1" t="str">
        <f t="shared" si="1028"/>
        <v>WOMAN</v>
      </c>
      <c r="AK1572" s="1" t="str">
        <f t="shared" si="1015"/>
        <v>PA</v>
      </c>
      <c r="AP1572" s="1" t="str">
        <f t="shared" si="1016"/>
        <v>False</v>
      </c>
      <c r="AR1572" s="1" t="str">
        <f t="shared" si="1029"/>
        <v>DYON</v>
      </c>
      <c r="AY1572" s="1" t="str">
        <f t="shared" si="1017"/>
        <v>PF</v>
      </c>
      <c r="AZ1572" s="1">
        <v>0</v>
      </c>
      <c r="BA1572" s="1">
        <v>0</v>
      </c>
      <c r="BB1572" s="1">
        <v>0</v>
      </c>
      <c r="BC1572" s="1">
        <v>0</v>
      </c>
      <c r="BD1572" s="1">
        <v>0</v>
      </c>
      <c r="BE1572" s="1" t="str">
        <f t="shared" ref="BE1572:BE1581" si="1036">"ION GOMMA TWILL CANVAS"</f>
        <v>ION GOMMA TWILL CANVAS</v>
      </c>
      <c r="BF1572" s="1" t="str">
        <f t="shared" si="1018"/>
        <v>Bonis SpA</v>
      </c>
    </row>
    <row r="1573" spans="2:58" x14ac:dyDescent="0.25">
      <c r="B1573" s="1">
        <v>2572</v>
      </c>
      <c r="C1573" s="1" t="str">
        <f t="shared" si="1035"/>
        <v>DYON4190S7/C1</v>
      </c>
      <c r="E1573" s="1" t="str">
        <f>"37"</f>
        <v>37</v>
      </c>
      <c r="F1573" s="1" t="str">
        <f t="shared" si="1007"/>
        <v>BONIS SPA</v>
      </c>
      <c r="G1573" s="1" t="str">
        <f t="shared" si="996"/>
        <v>STOCK SCAFFALE MP</v>
      </c>
      <c r="H1573" s="1" t="str">
        <f>"FUX"</f>
        <v>FUX</v>
      </c>
      <c r="K1573" s="1">
        <v>1</v>
      </c>
      <c r="L1573" s="1" t="str">
        <f t="shared" si="1008"/>
        <v>01</v>
      </c>
      <c r="M1573" s="1" t="str">
        <f t="shared" si="999"/>
        <v>409</v>
      </c>
      <c r="N1573" s="1" t="str">
        <f t="shared" si="1031"/>
        <v>018</v>
      </c>
      <c r="O1573" s="1" t="str">
        <f t="shared" si="1009"/>
        <v>00</v>
      </c>
      <c r="P1573" s="1" t="str">
        <f t="shared" si="1010"/>
        <v>S</v>
      </c>
      <c r="Q1573" s="1" t="str">
        <f t="shared" si="1011"/>
        <v>P</v>
      </c>
      <c r="R1573" s="1" t="str">
        <f t="shared" si="1012"/>
        <v>01</v>
      </c>
      <c r="S1573" s="1" t="str">
        <f t="shared" si="997"/>
        <v>04</v>
      </c>
      <c r="T1573" s="1" t="str">
        <f t="shared" si="1013"/>
        <v>False</v>
      </c>
      <c r="U1573" s="1" t="str">
        <f t="shared" si="1014"/>
        <v>True</v>
      </c>
      <c r="V1573" s="1" t="str">
        <f>"U0028289"</f>
        <v>U0028289</v>
      </c>
      <c r="W1573" s="1">
        <v>1</v>
      </c>
      <c r="Y1573" s="1">
        <v>0</v>
      </c>
      <c r="Z1573" s="1">
        <v>0</v>
      </c>
      <c r="AB1573" s="1" t="str">
        <f t="shared" si="1000"/>
        <v>SMU</v>
      </c>
      <c r="AI1573" s="1" t="str">
        <f t="shared" si="1033"/>
        <v>F11</v>
      </c>
      <c r="AJ1573" s="1" t="str">
        <f t="shared" si="1028"/>
        <v>WOMAN</v>
      </c>
      <c r="AK1573" s="1" t="str">
        <f t="shared" si="1015"/>
        <v>PA</v>
      </c>
      <c r="AP1573" s="1" t="str">
        <f t="shared" si="1016"/>
        <v>False</v>
      </c>
      <c r="AR1573" s="1" t="str">
        <f t="shared" si="1029"/>
        <v>DYON</v>
      </c>
      <c r="AY1573" s="1" t="str">
        <f t="shared" si="1017"/>
        <v>PF</v>
      </c>
      <c r="AZ1573" s="1">
        <v>0</v>
      </c>
      <c r="BA1573" s="1">
        <v>0</v>
      </c>
      <c r="BB1573" s="1">
        <v>0</v>
      </c>
      <c r="BC1573" s="1">
        <v>0</v>
      </c>
      <c r="BD1573" s="1">
        <v>0</v>
      </c>
      <c r="BE1573" s="1" t="str">
        <f t="shared" si="1036"/>
        <v>ION GOMMA TWILL CANVAS</v>
      </c>
      <c r="BF1573" s="1" t="str">
        <f t="shared" si="1018"/>
        <v>Bonis SpA</v>
      </c>
    </row>
    <row r="1574" spans="2:58" x14ac:dyDescent="0.25">
      <c r="B1574" s="1">
        <v>2572</v>
      </c>
      <c r="C1574" s="1" t="str">
        <f t="shared" si="1035"/>
        <v>DYON4190S7/C1</v>
      </c>
      <c r="E1574" s="1" t="str">
        <f>"36"</f>
        <v>36</v>
      </c>
      <c r="F1574" s="1" t="str">
        <f t="shared" si="1007"/>
        <v>BONIS SPA</v>
      </c>
      <c r="G1574" s="1" t="str">
        <f t="shared" si="996"/>
        <v>STOCK SCAFFALE MP</v>
      </c>
      <c r="H1574" s="1" t="str">
        <f>"FUX"</f>
        <v>FUX</v>
      </c>
      <c r="K1574" s="1">
        <v>1</v>
      </c>
      <c r="L1574" s="1" t="str">
        <f t="shared" si="1008"/>
        <v>01</v>
      </c>
      <c r="M1574" s="1" t="str">
        <f t="shared" si="999"/>
        <v>409</v>
      </c>
      <c r="N1574" s="1" t="str">
        <f t="shared" si="1031"/>
        <v>018</v>
      </c>
      <c r="O1574" s="1" t="str">
        <f t="shared" si="1009"/>
        <v>00</v>
      </c>
      <c r="P1574" s="1" t="str">
        <f t="shared" si="1010"/>
        <v>S</v>
      </c>
      <c r="Q1574" s="1" t="str">
        <f t="shared" si="1011"/>
        <v>P</v>
      </c>
      <c r="R1574" s="1" t="str">
        <f t="shared" si="1012"/>
        <v>01</v>
      </c>
      <c r="S1574" s="1" t="str">
        <f t="shared" si="997"/>
        <v>04</v>
      </c>
      <c r="T1574" s="1" t="str">
        <f t="shared" si="1013"/>
        <v>False</v>
      </c>
      <c r="U1574" s="1" t="str">
        <f t="shared" si="1014"/>
        <v>True</v>
      </c>
      <c r="V1574" s="1" t="str">
        <f>"U0028289"</f>
        <v>U0028289</v>
      </c>
      <c r="W1574" s="1">
        <v>1</v>
      </c>
      <c r="Y1574" s="1">
        <v>0</v>
      </c>
      <c r="Z1574" s="1">
        <v>0</v>
      </c>
      <c r="AB1574" s="1" t="str">
        <f t="shared" si="1000"/>
        <v>SMU</v>
      </c>
      <c r="AI1574" s="1" t="str">
        <f t="shared" si="1033"/>
        <v>F11</v>
      </c>
      <c r="AJ1574" s="1" t="str">
        <f t="shared" si="1028"/>
        <v>WOMAN</v>
      </c>
      <c r="AK1574" s="1" t="str">
        <f t="shared" si="1015"/>
        <v>PA</v>
      </c>
      <c r="AP1574" s="1" t="str">
        <f t="shared" si="1016"/>
        <v>False</v>
      </c>
      <c r="AR1574" s="1" t="str">
        <f t="shared" si="1029"/>
        <v>DYON</v>
      </c>
      <c r="AY1574" s="1" t="str">
        <f t="shared" si="1017"/>
        <v>PF</v>
      </c>
      <c r="AZ1574" s="1">
        <v>0</v>
      </c>
      <c r="BA1574" s="1">
        <v>0</v>
      </c>
      <c r="BB1574" s="1">
        <v>0</v>
      </c>
      <c r="BC1574" s="1">
        <v>0</v>
      </c>
      <c r="BD1574" s="1">
        <v>0</v>
      </c>
      <c r="BE1574" s="1" t="str">
        <f t="shared" si="1036"/>
        <v>ION GOMMA TWILL CANVAS</v>
      </c>
      <c r="BF1574" s="1" t="str">
        <f t="shared" si="1018"/>
        <v>Bonis SpA</v>
      </c>
    </row>
    <row r="1575" spans="2:58" x14ac:dyDescent="0.25">
      <c r="B1575" s="1">
        <v>2572</v>
      </c>
      <c r="C1575" s="1" t="str">
        <f t="shared" si="1035"/>
        <v>DYON4190S7/C1</v>
      </c>
      <c r="E1575" s="1" t="str">
        <f>"40"</f>
        <v>40</v>
      </c>
      <c r="F1575" s="1" t="str">
        <f t="shared" si="1007"/>
        <v>BONIS SPA</v>
      </c>
      <c r="G1575" s="1" t="str">
        <f t="shared" si="996"/>
        <v>STOCK SCAFFALE MP</v>
      </c>
      <c r="H1575" s="1" t="str">
        <f>"FUX"</f>
        <v>FUX</v>
      </c>
      <c r="K1575" s="1">
        <v>2</v>
      </c>
      <c r="L1575" s="1" t="str">
        <f t="shared" si="1008"/>
        <v>01</v>
      </c>
      <c r="M1575" s="1" t="str">
        <f t="shared" si="999"/>
        <v>409</v>
      </c>
      <c r="N1575" s="1" t="str">
        <f t="shared" si="1031"/>
        <v>018</v>
      </c>
      <c r="O1575" s="1" t="str">
        <f t="shared" si="1009"/>
        <v>00</v>
      </c>
      <c r="P1575" s="1" t="str">
        <f t="shared" si="1010"/>
        <v>S</v>
      </c>
      <c r="Q1575" s="1" t="str">
        <f t="shared" si="1011"/>
        <v>P</v>
      </c>
      <c r="R1575" s="1" t="str">
        <f t="shared" si="1012"/>
        <v>01</v>
      </c>
      <c r="S1575" s="1" t="str">
        <f t="shared" si="997"/>
        <v>04</v>
      </c>
      <c r="T1575" s="1" t="str">
        <f t="shared" si="1013"/>
        <v>False</v>
      </c>
      <c r="U1575" s="1" t="str">
        <f t="shared" si="1014"/>
        <v>True</v>
      </c>
      <c r="V1575" s="1" t="str">
        <f>"U0028289"</f>
        <v>U0028289</v>
      </c>
      <c r="W1575" s="1">
        <v>1</v>
      </c>
      <c r="Y1575" s="1">
        <v>0</v>
      </c>
      <c r="Z1575" s="1">
        <v>0</v>
      </c>
      <c r="AB1575" s="1" t="str">
        <f t="shared" si="1000"/>
        <v>SMU</v>
      </c>
      <c r="AI1575" s="1" t="str">
        <f t="shared" si="1033"/>
        <v>F11</v>
      </c>
      <c r="AJ1575" s="1" t="str">
        <f t="shared" si="1028"/>
        <v>WOMAN</v>
      </c>
      <c r="AK1575" s="1" t="str">
        <f t="shared" si="1015"/>
        <v>PA</v>
      </c>
      <c r="AP1575" s="1" t="str">
        <f t="shared" si="1016"/>
        <v>False</v>
      </c>
      <c r="AR1575" s="1" t="str">
        <f t="shared" si="1029"/>
        <v>DYON</v>
      </c>
      <c r="AY1575" s="1" t="str">
        <f t="shared" si="1017"/>
        <v>PF</v>
      </c>
      <c r="AZ1575" s="1">
        <v>0</v>
      </c>
      <c r="BA1575" s="1">
        <v>0</v>
      </c>
      <c r="BB1575" s="1">
        <v>0</v>
      </c>
      <c r="BC1575" s="1">
        <v>0</v>
      </c>
      <c r="BD1575" s="1">
        <v>0</v>
      </c>
      <c r="BE1575" s="1" t="str">
        <f t="shared" si="1036"/>
        <v>ION GOMMA TWILL CANVAS</v>
      </c>
      <c r="BF1575" s="1" t="str">
        <f t="shared" si="1018"/>
        <v>Bonis SpA</v>
      </c>
    </row>
    <row r="1576" spans="2:58" x14ac:dyDescent="0.25">
      <c r="B1576" s="1">
        <v>2572</v>
      </c>
      <c r="C1576" s="1" t="str">
        <f t="shared" si="1035"/>
        <v>DYON4190S7/C1</v>
      </c>
      <c r="E1576" s="1" t="str">
        <f>"39"</f>
        <v>39</v>
      </c>
      <c r="F1576" s="1" t="str">
        <f t="shared" si="1007"/>
        <v>BONIS SPA</v>
      </c>
      <c r="G1576" s="1" t="str">
        <f t="shared" si="996"/>
        <v>STOCK SCAFFALE MP</v>
      </c>
      <c r="H1576" s="1" t="str">
        <f>"FUX"</f>
        <v>FUX</v>
      </c>
      <c r="K1576" s="1">
        <v>2</v>
      </c>
      <c r="L1576" s="1" t="str">
        <f t="shared" si="1008"/>
        <v>01</v>
      </c>
      <c r="M1576" s="1" t="str">
        <f t="shared" si="999"/>
        <v>409</v>
      </c>
      <c r="N1576" s="1" t="str">
        <f t="shared" si="1031"/>
        <v>018</v>
      </c>
      <c r="O1576" s="1" t="str">
        <f t="shared" si="1009"/>
        <v>00</v>
      </c>
      <c r="P1576" s="1" t="str">
        <f t="shared" si="1010"/>
        <v>S</v>
      </c>
      <c r="Q1576" s="1" t="str">
        <f t="shared" si="1011"/>
        <v>P</v>
      </c>
      <c r="R1576" s="1" t="str">
        <f t="shared" si="1012"/>
        <v>01</v>
      </c>
      <c r="S1576" s="1" t="str">
        <f t="shared" si="997"/>
        <v>04</v>
      </c>
      <c r="T1576" s="1" t="str">
        <f t="shared" si="1013"/>
        <v>False</v>
      </c>
      <c r="U1576" s="1" t="str">
        <f t="shared" si="1014"/>
        <v>True</v>
      </c>
      <c r="V1576" s="1" t="str">
        <f>"U0028289"</f>
        <v>U0028289</v>
      </c>
      <c r="W1576" s="1">
        <v>1</v>
      </c>
      <c r="Y1576" s="1">
        <v>0</v>
      </c>
      <c r="Z1576" s="1">
        <v>0</v>
      </c>
      <c r="AB1576" s="1" t="str">
        <f t="shared" si="1000"/>
        <v>SMU</v>
      </c>
      <c r="AI1576" s="1" t="str">
        <f t="shared" si="1033"/>
        <v>F11</v>
      </c>
      <c r="AJ1576" s="1" t="str">
        <f t="shared" si="1028"/>
        <v>WOMAN</v>
      </c>
      <c r="AK1576" s="1" t="str">
        <f t="shared" si="1015"/>
        <v>PA</v>
      </c>
      <c r="AP1576" s="1" t="str">
        <f t="shared" si="1016"/>
        <v>False</v>
      </c>
      <c r="AR1576" s="1" t="str">
        <f t="shared" si="1029"/>
        <v>DYON</v>
      </c>
      <c r="AY1576" s="1" t="str">
        <f t="shared" si="1017"/>
        <v>PF</v>
      </c>
      <c r="AZ1576" s="1">
        <v>0</v>
      </c>
      <c r="BA1576" s="1">
        <v>0</v>
      </c>
      <c r="BB1576" s="1">
        <v>0</v>
      </c>
      <c r="BC1576" s="1">
        <v>0</v>
      </c>
      <c r="BD1576" s="1">
        <v>0</v>
      </c>
      <c r="BE1576" s="1" t="str">
        <f t="shared" si="1036"/>
        <v>ION GOMMA TWILL CANVAS</v>
      </c>
      <c r="BF1576" s="1" t="str">
        <f t="shared" si="1018"/>
        <v>Bonis SpA</v>
      </c>
    </row>
    <row r="1577" spans="2:58" x14ac:dyDescent="0.25">
      <c r="B1577" s="1">
        <v>2563</v>
      </c>
      <c r="C1577" s="1" t="str">
        <f t="shared" si="1035"/>
        <v>DYON4190S7/C1</v>
      </c>
      <c r="E1577" s="1" t="str">
        <f>"38"</f>
        <v>38</v>
      </c>
      <c r="F1577" s="1" t="str">
        <f t="shared" si="1007"/>
        <v>BONIS SPA</v>
      </c>
      <c r="G1577" s="1" t="str">
        <f t="shared" si="996"/>
        <v>STOCK SCAFFALE MP</v>
      </c>
      <c r="H1577" s="1" t="str">
        <f>"DKBL"</f>
        <v>DKBL</v>
      </c>
      <c r="K1577" s="1">
        <v>3</v>
      </c>
      <c r="L1577" s="1" t="str">
        <f t="shared" si="1008"/>
        <v>01</v>
      </c>
      <c r="M1577" s="1" t="str">
        <f t="shared" si="999"/>
        <v>409</v>
      </c>
      <c r="N1577" s="1" t="str">
        <f t="shared" ref="N1577:N1611" si="1037">"015"</f>
        <v>015</v>
      </c>
      <c r="O1577" s="1" t="str">
        <f t="shared" si="1009"/>
        <v>00</v>
      </c>
      <c r="P1577" s="1" t="str">
        <f t="shared" si="1010"/>
        <v>S</v>
      </c>
      <c r="Q1577" s="1" t="str">
        <f t="shared" si="1011"/>
        <v>P</v>
      </c>
      <c r="R1577" s="1" t="str">
        <f t="shared" si="1012"/>
        <v>01</v>
      </c>
      <c r="S1577" s="1" t="str">
        <f t="shared" si="997"/>
        <v>04</v>
      </c>
      <c r="T1577" s="1" t="str">
        <f t="shared" si="1013"/>
        <v>False</v>
      </c>
      <c r="U1577" s="1" t="str">
        <f t="shared" si="1014"/>
        <v>True</v>
      </c>
      <c r="V1577" s="1" t="str">
        <f>"U0028290"</f>
        <v>U0028290</v>
      </c>
      <c r="W1577" s="1">
        <v>1</v>
      </c>
      <c r="Y1577" s="1">
        <v>0</v>
      </c>
      <c r="Z1577" s="1">
        <v>0</v>
      </c>
      <c r="AB1577" s="1" t="str">
        <f t="shared" si="1000"/>
        <v>SMU</v>
      </c>
      <c r="AI1577" s="1" t="str">
        <f t="shared" si="1033"/>
        <v>F11</v>
      </c>
      <c r="AJ1577" s="1" t="str">
        <f t="shared" si="1028"/>
        <v>WOMAN</v>
      </c>
      <c r="AK1577" s="1" t="str">
        <f t="shared" si="1015"/>
        <v>PA</v>
      </c>
      <c r="AP1577" s="1" t="str">
        <f t="shared" si="1016"/>
        <v>False</v>
      </c>
      <c r="AR1577" s="1" t="str">
        <f t="shared" si="1029"/>
        <v>DYON</v>
      </c>
      <c r="AY1577" s="1" t="str">
        <f t="shared" si="1017"/>
        <v>PF</v>
      </c>
      <c r="AZ1577" s="1">
        <v>0</v>
      </c>
      <c r="BA1577" s="1">
        <v>0</v>
      </c>
      <c r="BB1577" s="1">
        <v>0</v>
      </c>
      <c r="BC1577" s="1">
        <v>0</v>
      </c>
      <c r="BD1577" s="1">
        <v>0</v>
      </c>
      <c r="BE1577" s="1" t="str">
        <f t="shared" si="1036"/>
        <v>ION GOMMA TWILL CANVAS</v>
      </c>
      <c r="BF1577" s="1" t="str">
        <f t="shared" si="1018"/>
        <v>Bonis SpA</v>
      </c>
    </row>
    <row r="1578" spans="2:58" x14ac:dyDescent="0.25">
      <c r="B1578" s="1">
        <v>2563</v>
      </c>
      <c r="C1578" s="1" t="str">
        <f t="shared" si="1035"/>
        <v>DYON4190S7/C1</v>
      </c>
      <c r="E1578" s="1" t="str">
        <f>"37"</f>
        <v>37</v>
      </c>
      <c r="F1578" s="1" t="str">
        <f t="shared" si="1007"/>
        <v>BONIS SPA</v>
      </c>
      <c r="G1578" s="1" t="str">
        <f t="shared" si="996"/>
        <v>STOCK SCAFFALE MP</v>
      </c>
      <c r="H1578" s="1" t="str">
        <f>"DKBL"</f>
        <v>DKBL</v>
      </c>
      <c r="K1578" s="1">
        <v>2</v>
      </c>
      <c r="L1578" s="1" t="str">
        <f t="shared" si="1008"/>
        <v>01</v>
      </c>
      <c r="M1578" s="1" t="str">
        <f t="shared" si="999"/>
        <v>409</v>
      </c>
      <c r="N1578" s="1" t="str">
        <f t="shared" si="1037"/>
        <v>015</v>
      </c>
      <c r="O1578" s="1" t="str">
        <f t="shared" si="1009"/>
        <v>00</v>
      </c>
      <c r="P1578" s="1" t="str">
        <f t="shared" si="1010"/>
        <v>S</v>
      </c>
      <c r="Q1578" s="1" t="str">
        <f t="shared" si="1011"/>
        <v>P</v>
      </c>
      <c r="R1578" s="1" t="str">
        <f t="shared" si="1012"/>
        <v>01</v>
      </c>
      <c r="S1578" s="1" t="str">
        <f t="shared" si="997"/>
        <v>04</v>
      </c>
      <c r="T1578" s="1" t="str">
        <f t="shared" si="1013"/>
        <v>False</v>
      </c>
      <c r="U1578" s="1" t="str">
        <f t="shared" si="1014"/>
        <v>True</v>
      </c>
      <c r="V1578" s="1" t="str">
        <f>"U0028290"</f>
        <v>U0028290</v>
      </c>
      <c r="W1578" s="1">
        <v>1</v>
      </c>
      <c r="Y1578" s="1">
        <v>0</v>
      </c>
      <c r="Z1578" s="1">
        <v>0</v>
      </c>
      <c r="AB1578" s="1" t="str">
        <f t="shared" si="1000"/>
        <v>SMU</v>
      </c>
      <c r="AI1578" s="1" t="str">
        <f t="shared" si="1033"/>
        <v>F11</v>
      </c>
      <c r="AJ1578" s="1" t="str">
        <f t="shared" si="1028"/>
        <v>WOMAN</v>
      </c>
      <c r="AK1578" s="1" t="str">
        <f t="shared" si="1015"/>
        <v>PA</v>
      </c>
      <c r="AP1578" s="1" t="str">
        <f t="shared" si="1016"/>
        <v>False</v>
      </c>
      <c r="AR1578" s="1" t="str">
        <f t="shared" si="1029"/>
        <v>DYON</v>
      </c>
      <c r="AY1578" s="1" t="str">
        <f t="shared" si="1017"/>
        <v>PF</v>
      </c>
      <c r="AZ1578" s="1">
        <v>0</v>
      </c>
      <c r="BA1578" s="1">
        <v>0</v>
      </c>
      <c r="BB1578" s="1">
        <v>0</v>
      </c>
      <c r="BC1578" s="1">
        <v>0</v>
      </c>
      <c r="BD1578" s="1">
        <v>0</v>
      </c>
      <c r="BE1578" s="1" t="str">
        <f t="shared" si="1036"/>
        <v>ION GOMMA TWILL CANVAS</v>
      </c>
      <c r="BF1578" s="1" t="str">
        <f t="shared" si="1018"/>
        <v>Bonis SpA</v>
      </c>
    </row>
    <row r="1579" spans="2:58" x14ac:dyDescent="0.25">
      <c r="B1579" s="1">
        <v>2563</v>
      </c>
      <c r="C1579" s="1" t="str">
        <f t="shared" si="1035"/>
        <v>DYON4190S7/C1</v>
      </c>
      <c r="E1579" s="1" t="str">
        <f>"36"</f>
        <v>36</v>
      </c>
      <c r="F1579" s="1" t="str">
        <f t="shared" si="1007"/>
        <v>BONIS SPA</v>
      </c>
      <c r="G1579" s="1" t="str">
        <f t="shared" si="996"/>
        <v>STOCK SCAFFALE MP</v>
      </c>
      <c r="H1579" s="1" t="str">
        <f>"DKBL"</f>
        <v>DKBL</v>
      </c>
      <c r="K1579" s="1">
        <v>1</v>
      </c>
      <c r="L1579" s="1" t="str">
        <f t="shared" si="1008"/>
        <v>01</v>
      </c>
      <c r="M1579" s="1" t="str">
        <f t="shared" si="999"/>
        <v>409</v>
      </c>
      <c r="N1579" s="1" t="str">
        <f t="shared" si="1037"/>
        <v>015</v>
      </c>
      <c r="O1579" s="1" t="str">
        <f t="shared" si="1009"/>
        <v>00</v>
      </c>
      <c r="P1579" s="1" t="str">
        <f t="shared" si="1010"/>
        <v>S</v>
      </c>
      <c r="Q1579" s="1" t="str">
        <f t="shared" si="1011"/>
        <v>P</v>
      </c>
      <c r="R1579" s="1" t="str">
        <f t="shared" si="1012"/>
        <v>01</v>
      </c>
      <c r="S1579" s="1" t="str">
        <f t="shared" si="997"/>
        <v>04</v>
      </c>
      <c r="T1579" s="1" t="str">
        <f t="shared" si="1013"/>
        <v>False</v>
      </c>
      <c r="U1579" s="1" t="str">
        <f t="shared" si="1014"/>
        <v>True</v>
      </c>
      <c r="V1579" s="1" t="str">
        <f>"U0028290"</f>
        <v>U0028290</v>
      </c>
      <c r="W1579" s="1">
        <v>1</v>
      </c>
      <c r="Y1579" s="1">
        <v>0</v>
      </c>
      <c r="Z1579" s="1">
        <v>0</v>
      </c>
      <c r="AB1579" s="1" t="str">
        <f t="shared" si="1000"/>
        <v>SMU</v>
      </c>
      <c r="AI1579" s="1" t="str">
        <f t="shared" si="1033"/>
        <v>F11</v>
      </c>
      <c r="AJ1579" s="1" t="str">
        <f t="shared" si="1028"/>
        <v>WOMAN</v>
      </c>
      <c r="AK1579" s="1" t="str">
        <f t="shared" si="1015"/>
        <v>PA</v>
      </c>
      <c r="AP1579" s="1" t="str">
        <f t="shared" si="1016"/>
        <v>False</v>
      </c>
      <c r="AR1579" s="1" t="str">
        <f t="shared" si="1029"/>
        <v>DYON</v>
      </c>
      <c r="AY1579" s="1" t="str">
        <f t="shared" si="1017"/>
        <v>PF</v>
      </c>
      <c r="AZ1579" s="1">
        <v>0</v>
      </c>
      <c r="BA1579" s="1">
        <v>0</v>
      </c>
      <c r="BB1579" s="1">
        <v>0</v>
      </c>
      <c r="BC1579" s="1">
        <v>0</v>
      </c>
      <c r="BD1579" s="1">
        <v>0</v>
      </c>
      <c r="BE1579" s="1" t="str">
        <f t="shared" si="1036"/>
        <v>ION GOMMA TWILL CANVAS</v>
      </c>
      <c r="BF1579" s="1" t="str">
        <f t="shared" si="1018"/>
        <v>Bonis SpA</v>
      </c>
    </row>
    <row r="1580" spans="2:58" x14ac:dyDescent="0.25">
      <c r="B1580" s="1">
        <v>2563</v>
      </c>
      <c r="C1580" s="1" t="str">
        <f t="shared" si="1035"/>
        <v>DYON4190S7/C1</v>
      </c>
      <c r="E1580" s="1" t="str">
        <f>"40"</f>
        <v>40</v>
      </c>
      <c r="F1580" s="1" t="str">
        <f t="shared" si="1007"/>
        <v>BONIS SPA</v>
      </c>
      <c r="G1580" s="1" t="str">
        <f t="shared" si="996"/>
        <v>STOCK SCAFFALE MP</v>
      </c>
      <c r="H1580" s="1" t="str">
        <f>"DKBL"</f>
        <v>DKBL</v>
      </c>
      <c r="K1580" s="1">
        <v>2</v>
      </c>
      <c r="L1580" s="1" t="str">
        <f t="shared" si="1008"/>
        <v>01</v>
      </c>
      <c r="M1580" s="1" t="str">
        <f t="shared" si="999"/>
        <v>409</v>
      </c>
      <c r="N1580" s="1" t="str">
        <f t="shared" si="1037"/>
        <v>015</v>
      </c>
      <c r="O1580" s="1" t="str">
        <f t="shared" si="1009"/>
        <v>00</v>
      </c>
      <c r="P1580" s="1" t="str">
        <f t="shared" si="1010"/>
        <v>S</v>
      </c>
      <c r="Q1580" s="1" t="str">
        <f t="shared" si="1011"/>
        <v>P</v>
      </c>
      <c r="R1580" s="1" t="str">
        <f t="shared" si="1012"/>
        <v>01</v>
      </c>
      <c r="S1580" s="1" t="str">
        <f t="shared" si="997"/>
        <v>04</v>
      </c>
      <c r="T1580" s="1" t="str">
        <f t="shared" si="1013"/>
        <v>False</v>
      </c>
      <c r="U1580" s="1" t="str">
        <f t="shared" si="1014"/>
        <v>True</v>
      </c>
      <c r="V1580" s="1" t="str">
        <f>"U0028290"</f>
        <v>U0028290</v>
      </c>
      <c r="W1580" s="1">
        <v>1</v>
      </c>
      <c r="Y1580" s="1">
        <v>0</v>
      </c>
      <c r="Z1580" s="1">
        <v>0</v>
      </c>
      <c r="AB1580" s="1" t="str">
        <f t="shared" si="1000"/>
        <v>SMU</v>
      </c>
      <c r="AI1580" s="1" t="str">
        <f t="shared" si="1033"/>
        <v>F11</v>
      </c>
      <c r="AJ1580" s="1" t="str">
        <f t="shared" si="1028"/>
        <v>WOMAN</v>
      </c>
      <c r="AK1580" s="1" t="str">
        <f t="shared" si="1015"/>
        <v>PA</v>
      </c>
      <c r="AP1580" s="1" t="str">
        <f t="shared" si="1016"/>
        <v>False</v>
      </c>
      <c r="AR1580" s="1" t="str">
        <f t="shared" si="1029"/>
        <v>DYON</v>
      </c>
      <c r="AY1580" s="1" t="str">
        <f t="shared" si="1017"/>
        <v>PF</v>
      </c>
      <c r="AZ1580" s="1">
        <v>0</v>
      </c>
      <c r="BA1580" s="1">
        <v>0</v>
      </c>
      <c r="BB1580" s="1">
        <v>0</v>
      </c>
      <c r="BC1580" s="1">
        <v>0</v>
      </c>
      <c r="BD1580" s="1">
        <v>0</v>
      </c>
      <c r="BE1580" s="1" t="str">
        <f t="shared" si="1036"/>
        <v>ION GOMMA TWILL CANVAS</v>
      </c>
      <c r="BF1580" s="1" t="str">
        <f t="shared" si="1018"/>
        <v>Bonis SpA</v>
      </c>
    </row>
    <row r="1581" spans="2:58" x14ac:dyDescent="0.25">
      <c r="B1581" s="1">
        <v>2563</v>
      </c>
      <c r="C1581" s="1" t="str">
        <f t="shared" si="1035"/>
        <v>DYON4190S7/C1</v>
      </c>
      <c r="E1581" s="1" t="str">
        <f>"39"</f>
        <v>39</v>
      </c>
      <c r="F1581" s="1" t="str">
        <f t="shared" si="1007"/>
        <v>BONIS SPA</v>
      </c>
      <c r="G1581" s="1" t="str">
        <f t="shared" si="996"/>
        <v>STOCK SCAFFALE MP</v>
      </c>
      <c r="H1581" s="1" t="str">
        <f>"DKBL"</f>
        <v>DKBL</v>
      </c>
      <c r="K1581" s="1">
        <v>3</v>
      </c>
      <c r="L1581" s="1" t="str">
        <f t="shared" si="1008"/>
        <v>01</v>
      </c>
      <c r="M1581" s="1" t="str">
        <f t="shared" si="999"/>
        <v>409</v>
      </c>
      <c r="N1581" s="1" t="str">
        <f t="shared" si="1037"/>
        <v>015</v>
      </c>
      <c r="O1581" s="1" t="str">
        <f t="shared" si="1009"/>
        <v>00</v>
      </c>
      <c r="P1581" s="1" t="str">
        <f t="shared" si="1010"/>
        <v>S</v>
      </c>
      <c r="Q1581" s="1" t="str">
        <f t="shared" si="1011"/>
        <v>P</v>
      </c>
      <c r="R1581" s="1" t="str">
        <f t="shared" si="1012"/>
        <v>01</v>
      </c>
      <c r="S1581" s="1" t="str">
        <f t="shared" si="997"/>
        <v>04</v>
      </c>
      <c r="T1581" s="1" t="str">
        <f t="shared" si="1013"/>
        <v>False</v>
      </c>
      <c r="U1581" s="1" t="str">
        <f t="shared" si="1014"/>
        <v>True</v>
      </c>
      <c r="V1581" s="1" t="str">
        <f>"U0028290"</f>
        <v>U0028290</v>
      </c>
      <c r="W1581" s="1">
        <v>1</v>
      </c>
      <c r="Y1581" s="1">
        <v>0</v>
      </c>
      <c r="Z1581" s="1">
        <v>0</v>
      </c>
      <c r="AB1581" s="1" t="str">
        <f t="shared" si="1000"/>
        <v>SMU</v>
      </c>
      <c r="AI1581" s="1" t="str">
        <f t="shared" si="1033"/>
        <v>F11</v>
      </c>
      <c r="AJ1581" s="1" t="str">
        <f t="shared" si="1028"/>
        <v>WOMAN</v>
      </c>
      <c r="AK1581" s="1" t="str">
        <f t="shared" si="1015"/>
        <v>PA</v>
      </c>
      <c r="AP1581" s="1" t="str">
        <f t="shared" si="1016"/>
        <v>False</v>
      </c>
      <c r="AR1581" s="1" t="str">
        <f t="shared" si="1029"/>
        <v>DYON</v>
      </c>
      <c r="AY1581" s="1" t="str">
        <f t="shared" si="1017"/>
        <v>PF</v>
      </c>
      <c r="AZ1581" s="1">
        <v>0</v>
      </c>
      <c r="BA1581" s="1">
        <v>0</v>
      </c>
      <c r="BB1581" s="1">
        <v>0</v>
      </c>
      <c r="BC1581" s="1">
        <v>0</v>
      </c>
      <c r="BD1581" s="1">
        <v>0</v>
      </c>
      <c r="BE1581" s="1" t="str">
        <f t="shared" si="1036"/>
        <v>ION GOMMA TWILL CANVAS</v>
      </c>
      <c r="BF1581" s="1" t="str">
        <f t="shared" si="1018"/>
        <v>Bonis SpA</v>
      </c>
    </row>
    <row r="1582" spans="2:58" x14ac:dyDescent="0.25">
      <c r="B1582" s="1">
        <v>2563</v>
      </c>
      <c r="C1582" s="1" t="str">
        <f>"MARCS4194S7/C1"</f>
        <v>MARCS4194S7/C1</v>
      </c>
      <c r="E1582" s="1" t="str">
        <f>"40"</f>
        <v>40</v>
      </c>
      <c r="F1582" s="1" t="str">
        <f t="shared" si="1007"/>
        <v>BONIS SPA</v>
      </c>
      <c r="G1582" s="1" t="str">
        <f t="shared" si="996"/>
        <v>STOCK SCAFFALE MP</v>
      </c>
      <c r="H1582" s="1" t="str">
        <f>"BLK"</f>
        <v>BLK</v>
      </c>
      <c r="K1582" s="1">
        <v>1</v>
      </c>
      <c r="L1582" s="1" t="str">
        <f t="shared" si="1008"/>
        <v>01</v>
      </c>
      <c r="M1582" s="1" t="str">
        <f t="shared" si="999"/>
        <v>409</v>
      </c>
      <c r="N1582" s="1" t="str">
        <f t="shared" si="1037"/>
        <v>015</v>
      </c>
      <c r="O1582" s="1" t="str">
        <f t="shared" si="1009"/>
        <v>00</v>
      </c>
      <c r="P1582" s="1" t="str">
        <f t="shared" si="1010"/>
        <v>S</v>
      </c>
      <c r="Q1582" s="1" t="str">
        <f t="shared" si="1011"/>
        <v>P</v>
      </c>
      <c r="R1582" s="1" t="str">
        <f t="shared" si="1012"/>
        <v>01</v>
      </c>
      <c r="S1582" s="1" t="str">
        <f t="shared" si="997"/>
        <v>04</v>
      </c>
      <c r="T1582" s="1" t="str">
        <f t="shared" si="1013"/>
        <v>False</v>
      </c>
      <c r="U1582" s="1" t="str">
        <f t="shared" si="1014"/>
        <v>True</v>
      </c>
      <c r="V1582" s="1" t="str">
        <f>"U0028299"</f>
        <v>U0028299</v>
      </c>
      <c r="W1582" s="1">
        <v>1</v>
      </c>
      <c r="Y1582" s="1">
        <v>0</v>
      </c>
      <c r="Z1582" s="1">
        <v>0</v>
      </c>
      <c r="AB1582" s="1" t="str">
        <f t="shared" si="1000"/>
        <v>SMU</v>
      </c>
      <c r="AI1582" s="1" t="str">
        <f>"106"</f>
        <v>106</v>
      </c>
      <c r="AJ1582" s="1" t="str">
        <f>"MAN"</f>
        <v>MAN</v>
      </c>
      <c r="AK1582" s="1" t="str">
        <f t="shared" si="1015"/>
        <v>PA</v>
      </c>
      <c r="AP1582" s="1" t="str">
        <f t="shared" si="1016"/>
        <v>False</v>
      </c>
      <c r="AR1582" s="1" t="str">
        <f>"MARCS"</f>
        <v>MARCS</v>
      </c>
      <c r="AY1582" s="1" t="str">
        <f t="shared" si="1017"/>
        <v>PF</v>
      </c>
      <c r="AZ1582" s="1">
        <v>0</v>
      </c>
      <c r="BA1582" s="1">
        <v>0</v>
      </c>
      <c r="BB1582" s="1">
        <v>0</v>
      </c>
      <c r="BC1582" s="1">
        <v>0</v>
      </c>
      <c r="BD1582" s="1">
        <v>0</v>
      </c>
      <c r="BE1582" s="1" t="str">
        <f>"RCS GOMMA TWILL CANVAS"</f>
        <v>RCS GOMMA TWILL CANVAS</v>
      </c>
      <c r="BF1582" s="1" t="str">
        <f t="shared" si="1018"/>
        <v>Bonis SpA</v>
      </c>
    </row>
    <row r="1583" spans="2:58" x14ac:dyDescent="0.25">
      <c r="B1583" s="1">
        <v>2563</v>
      </c>
      <c r="C1583" s="1" t="str">
        <f>"MARCS4194S7/C1"</f>
        <v>MARCS4194S7/C1</v>
      </c>
      <c r="E1583" s="1" t="str">
        <f>"43"</f>
        <v>43</v>
      </c>
      <c r="F1583" s="1" t="str">
        <f t="shared" si="1007"/>
        <v>BONIS SPA</v>
      </c>
      <c r="G1583" s="1" t="str">
        <f t="shared" si="996"/>
        <v>STOCK SCAFFALE MP</v>
      </c>
      <c r="H1583" s="1" t="str">
        <f>"BLK"</f>
        <v>BLK</v>
      </c>
      <c r="K1583" s="1">
        <v>2</v>
      </c>
      <c r="L1583" s="1" t="str">
        <f t="shared" si="1008"/>
        <v>01</v>
      </c>
      <c r="M1583" s="1" t="str">
        <f t="shared" si="999"/>
        <v>409</v>
      </c>
      <c r="N1583" s="1" t="str">
        <f t="shared" si="1037"/>
        <v>015</v>
      </c>
      <c r="O1583" s="1" t="str">
        <f t="shared" si="1009"/>
        <v>00</v>
      </c>
      <c r="P1583" s="1" t="str">
        <f t="shared" si="1010"/>
        <v>S</v>
      </c>
      <c r="Q1583" s="1" t="str">
        <f t="shared" si="1011"/>
        <v>P</v>
      </c>
      <c r="R1583" s="1" t="str">
        <f t="shared" si="1012"/>
        <v>01</v>
      </c>
      <c r="S1583" s="1" t="str">
        <f t="shared" si="997"/>
        <v>04</v>
      </c>
      <c r="T1583" s="1" t="str">
        <f t="shared" si="1013"/>
        <v>False</v>
      </c>
      <c r="U1583" s="1" t="str">
        <f t="shared" si="1014"/>
        <v>True</v>
      </c>
      <c r="V1583" s="1" t="str">
        <f>"U0028299"</f>
        <v>U0028299</v>
      </c>
      <c r="W1583" s="1">
        <v>1</v>
      </c>
      <c r="Y1583" s="1">
        <v>0</v>
      </c>
      <c r="Z1583" s="1">
        <v>0</v>
      </c>
      <c r="AB1583" s="1" t="str">
        <f t="shared" si="1000"/>
        <v>SMU</v>
      </c>
      <c r="AI1583" s="1" t="str">
        <f>"106"</f>
        <v>106</v>
      </c>
      <c r="AJ1583" s="1" t="str">
        <f>"MAN"</f>
        <v>MAN</v>
      </c>
      <c r="AK1583" s="1" t="str">
        <f t="shared" si="1015"/>
        <v>PA</v>
      </c>
      <c r="AP1583" s="1" t="str">
        <f t="shared" si="1016"/>
        <v>False</v>
      </c>
      <c r="AR1583" s="1" t="str">
        <f>"MARCS"</f>
        <v>MARCS</v>
      </c>
      <c r="AY1583" s="1" t="str">
        <f t="shared" si="1017"/>
        <v>PF</v>
      </c>
      <c r="AZ1583" s="1">
        <v>0</v>
      </c>
      <c r="BA1583" s="1">
        <v>0</v>
      </c>
      <c r="BB1583" s="1">
        <v>0</v>
      </c>
      <c r="BC1583" s="1">
        <v>0</v>
      </c>
      <c r="BD1583" s="1">
        <v>0</v>
      </c>
      <c r="BE1583" s="1" t="str">
        <f>"RCS GOMMA TWILL CANVAS"</f>
        <v>RCS GOMMA TWILL CANVAS</v>
      </c>
      <c r="BF1583" s="1" t="str">
        <f t="shared" si="1018"/>
        <v>Bonis SpA</v>
      </c>
    </row>
    <row r="1584" spans="2:58" x14ac:dyDescent="0.25">
      <c r="B1584" s="1">
        <v>2563</v>
      </c>
      <c r="C1584" s="1" t="str">
        <f>"DYON4190S7/C1"</f>
        <v>DYON4190S7/C1</v>
      </c>
      <c r="E1584" s="1" t="str">
        <f>"38"</f>
        <v>38</v>
      </c>
      <c r="F1584" s="1" t="str">
        <f t="shared" si="1007"/>
        <v>BONIS SPA</v>
      </c>
      <c r="G1584" s="1" t="str">
        <f t="shared" ref="G1584:G1647" si="1038">"STOCK SCAFFALE MP"</f>
        <v>STOCK SCAFFALE MP</v>
      </c>
      <c r="H1584" s="1" t="str">
        <f>"DKBL"</f>
        <v>DKBL</v>
      </c>
      <c r="K1584" s="1">
        <v>3</v>
      </c>
      <c r="L1584" s="1" t="str">
        <f t="shared" si="1008"/>
        <v>01</v>
      </c>
      <c r="M1584" s="1" t="str">
        <f t="shared" si="999"/>
        <v>409</v>
      </c>
      <c r="N1584" s="1" t="str">
        <f t="shared" si="1037"/>
        <v>015</v>
      </c>
      <c r="O1584" s="1" t="str">
        <f t="shared" si="1009"/>
        <v>00</v>
      </c>
      <c r="P1584" s="1" t="str">
        <f t="shared" si="1010"/>
        <v>S</v>
      </c>
      <c r="Q1584" s="1" t="str">
        <f t="shared" si="1011"/>
        <v>P</v>
      </c>
      <c r="R1584" s="1" t="str">
        <f t="shared" si="1012"/>
        <v>01</v>
      </c>
      <c r="S1584" s="1" t="str">
        <f t="shared" ref="S1584:S1647" si="1039">"04"</f>
        <v>04</v>
      </c>
      <c r="T1584" s="1" t="str">
        <f t="shared" si="1013"/>
        <v>False</v>
      </c>
      <c r="U1584" s="1" t="str">
        <f t="shared" si="1014"/>
        <v>True</v>
      </c>
      <c r="V1584" s="1" t="str">
        <f>"U0028292"</f>
        <v>U0028292</v>
      </c>
      <c r="W1584" s="1">
        <v>1</v>
      </c>
      <c r="Y1584" s="1">
        <v>0</v>
      </c>
      <c r="Z1584" s="1">
        <v>0</v>
      </c>
      <c r="AB1584" s="1" t="str">
        <f t="shared" si="1000"/>
        <v>SMU</v>
      </c>
      <c r="AI1584" s="1" t="str">
        <f t="shared" ref="AI1584:AI1597" si="1040">"F11"</f>
        <v>F11</v>
      </c>
      <c r="AJ1584" s="1" t="str">
        <f>"WOMAN"</f>
        <v>WOMAN</v>
      </c>
      <c r="AK1584" s="1" t="str">
        <f t="shared" si="1015"/>
        <v>PA</v>
      </c>
      <c r="AP1584" s="1" t="str">
        <f t="shared" si="1016"/>
        <v>False</v>
      </c>
      <c r="AR1584" s="1" t="str">
        <f>"DYON"</f>
        <v>DYON</v>
      </c>
      <c r="AY1584" s="1" t="str">
        <f t="shared" si="1017"/>
        <v>PF</v>
      </c>
      <c r="AZ1584" s="1">
        <v>0</v>
      </c>
      <c r="BA1584" s="1">
        <v>0</v>
      </c>
      <c r="BB1584" s="1">
        <v>0</v>
      </c>
      <c r="BC1584" s="1">
        <v>0</v>
      </c>
      <c r="BD1584" s="1">
        <v>0</v>
      </c>
      <c r="BE1584" s="1" t="str">
        <f>"ION GOMMA TWILL CANVAS"</f>
        <v>ION GOMMA TWILL CANVAS</v>
      </c>
      <c r="BF1584" s="1" t="str">
        <f t="shared" si="1018"/>
        <v>Bonis SpA</v>
      </c>
    </row>
    <row r="1585" spans="2:58" x14ac:dyDescent="0.25">
      <c r="B1585" s="1">
        <v>2563</v>
      </c>
      <c r="C1585" s="1" t="str">
        <f>"DYON4190S7/C1"</f>
        <v>DYON4190S7/C1</v>
      </c>
      <c r="E1585" s="1" t="str">
        <f>"37"</f>
        <v>37</v>
      </c>
      <c r="F1585" s="1" t="str">
        <f t="shared" si="1007"/>
        <v>BONIS SPA</v>
      </c>
      <c r="G1585" s="1" t="str">
        <f t="shared" si="1038"/>
        <v>STOCK SCAFFALE MP</v>
      </c>
      <c r="H1585" s="1" t="str">
        <f>"DKBL"</f>
        <v>DKBL</v>
      </c>
      <c r="K1585" s="1">
        <v>2</v>
      </c>
      <c r="L1585" s="1" t="str">
        <f t="shared" si="1008"/>
        <v>01</v>
      </c>
      <c r="M1585" s="1" t="str">
        <f t="shared" si="999"/>
        <v>409</v>
      </c>
      <c r="N1585" s="1" t="str">
        <f t="shared" si="1037"/>
        <v>015</v>
      </c>
      <c r="O1585" s="1" t="str">
        <f t="shared" si="1009"/>
        <v>00</v>
      </c>
      <c r="P1585" s="1" t="str">
        <f t="shared" si="1010"/>
        <v>S</v>
      </c>
      <c r="Q1585" s="1" t="str">
        <f t="shared" si="1011"/>
        <v>P</v>
      </c>
      <c r="R1585" s="1" t="str">
        <f t="shared" si="1012"/>
        <v>01</v>
      </c>
      <c r="S1585" s="1" t="str">
        <f t="shared" si="1039"/>
        <v>04</v>
      </c>
      <c r="T1585" s="1" t="str">
        <f t="shared" si="1013"/>
        <v>False</v>
      </c>
      <c r="U1585" s="1" t="str">
        <f t="shared" si="1014"/>
        <v>True</v>
      </c>
      <c r="V1585" s="1" t="str">
        <f>"U0028292"</f>
        <v>U0028292</v>
      </c>
      <c r="W1585" s="1">
        <v>1</v>
      </c>
      <c r="Y1585" s="1">
        <v>0</v>
      </c>
      <c r="Z1585" s="1">
        <v>0</v>
      </c>
      <c r="AB1585" s="1" t="str">
        <f t="shared" si="1000"/>
        <v>SMU</v>
      </c>
      <c r="AI1585" s="1" t="str">
        <f t="shared" si="1040"/>
        <v>F11</v>
      </c>
      <c r="AJ1585" s="1" t="str">
        <f>"WOMAN"</f>
        <v>WOMAN</v>
      </c>
      <c r="AK1585" s="1" t="str">
        <f t="shared" si="1015"/>
        <v>PA</v>
      </c>
      <c r="AP1585" s="1" t="str">
        <f t="shared" si="1016"/>
        <v>False</v>
      </c>
      <c r="AR1585" s="1" t="str">
        <f>"DYON"</f>
        <v>DYON</v>
      </c>
      <c r="AY1585" s="1" t="str">
        <f t="shared" si="1017"/>
        <v>PF</v>
      </c>
      <c r="AZ1585" s="1">
        <v>0</v>
      </c>
      <c r="BA1585" s="1">
        <v>0</v>
      </c>
      <c r="BB1585" s="1">
        <v>0</v>
      </c>
      <c r="BC1585" s="1">
        <v>0</v>
      </c>
      <c r="BD1585" s="1">
        <v>0</v>
      </c>
      <c r="BE1585" s="1" t="str">
        <f>"ION GOMMA TWILL CANVAS"</f>
        <v>ION GOMMA TWILL CANVAS</v>
      </c>
      <c r="BF1585" s="1" t="str">
        <f t="shared" si="1018"/>
        <v>Bonis SpA</v>
      </c>
    </row>
    <row r="1586" spans="2:58" x14ac:dyDescent="0.25">
      <c r="B1586" s="1">
        <v>2563</v>
      </c>
      <c r="C1586" s="1" t="str">
        <f>"DYON4190S7/C1"</f>
        <v>DYON4190S7/C1</v>
      </c>
      <c r="E1586" s="1" t="str">
        <f>"36"</f>
        <v>36</v>
      </c>
      <c r="F1586" s="1" t="str">
        <f t="shared" si="1007"/>
        <v>BONIS SPA</v>
      </c>
      <c r="G1586" s="1" t="str">
        <f t="shared" si="1038"/>
        <v>STOCK SCAFFALE MP</v>
      </c>
      <c r="H1586" s="1" t="str">
        <f>"DKBL"</f>
        <v>DKBL</v>
      </c>
      <c r="K1586" s="1">
        <v>1</v>
      </c>
      <c r="L1586" s="1" t="str">
        <f t="shared" si="1008"/>
        <v>01</v>
      </c>
      <c r="M1586" s="1" t="str">
        <f t="shared" si="999"/>
        <v>409</v>
      </c>
      <c r="N1586" s="1" t="str">
        <f t="shared" si="1037"/>
        <v>015</v>
      </c>
      <c r="O1586" s="1" t="str">
        <f t="shared" si="1009"/>
        <v>00</v>
      </c>
      <c r="P1586" s="1" t="str">
        <f t="shared" si="1010"/>
        <v>S</v>
      </c>
      <c r="Q1586" s="1" t="str">
        <f t="shared" si="1011"/>
        <v>P</v>
      </c>
      <c r="R1586" s="1" t="str">
        <f t="shared" si="1012"/>
        <v>01</v>
      </c>
      <c r="S1586" s="1" t="str">
        <f t="shared" si="1039"/>
        <v>04</v>
      </c>
      <c r="T1586" s="1" t="str">
        <f t="shared" si="1013"/>
        <v>False</v>
      </c>
      <c r="U1586" s="1" t="str">
        <f t="shared" si="1014"/>
        <v>True</v>
      </c>
      <c r="V1586" s="1" t="str">
        <f>"U0028292"</f>
        <v>U0028292</v>
      </c>
      <c r="W1586" s="1">
        <v>1</v>
      </c>
      <c r="Y1586" s="1">
        <v>0</v>
      </c>
      <c r="Z1586" s="1">
        <v>0</v>
      </c>
      <c r="AB1586" s="1" t="str">
        <f t="shared" si="1000"/>
        <v>SMU</v>
      </c>
      <c r="AI1586" s="1" t="str">
        <f t="shared" si="1040"/>
        <v>F11</v>
      </c>
      <c r="AJ1586" s="1" t="str">
        <f>"WOMAN"</f>
        <v>WOMAN</v>
      </c>
      <c r="AK1586" s="1" t="str">
        <f t="shared" si="1015"/>
        <v>PA</v>
      </c>
      <c r="AP1586" s="1" t="str">
        <f t="shared" si="1016"/>
        <v>False</v>
      </c>
      <c r="AR1586" s="1" t="str">
        <f>"DYON"</f>
        <v>DYON</v>
      </c>
      <c r="AY1586" s="1" t="str">
        <f t="shared" si="1017"/>
        <v>PF</v>
      </c>
      <c r="AZ1586" s="1">
        <v>0</v>
      </c>
      <c r="BA1586" s="1">
        <v>0</v>
      </c>
      <c r="BB1586" s="1">
        <v>0</v>
      </c>
      <c r="BC1586" s="1">
        <v>0</v>
      </c>
      <c r="BD1586" s="1">
        <v>0</v>
      </c>
      <c r="BE1586" s="1" t="str">
        <f>"ION GOMMA TWILL CANVAS"</f>
        <v>ION GOMMA TWILL CANVAS</v>
      </c>
      <c r="BF1586" s="1" t="str">
        <f t="shared" si="1018"/>
        <v>Bonis SpA</v>
      </c>
    </row>
    <row r="1587" spans="2:58" x14ac:dyDescent="0.25">
      <c r="B1587" s="1">
        <v>2563</v>
      </c>
      <c r="C1587" s="1" t="str">
        <f>"DYON4190S7/C1"</f>
        <v>DYON4190S7/C1</v>
      </c>
      <c r="E1587" s="1" t="str">
        <f>"40"</f>
        <v>40</v>
      </c>
      <c r="F1587" s="1" t="str">
        <f t="shared" si="1007"/>
        <v>BONIS SPA</v>
      </c>
      <c r="G1587" s="1" t="str">
        <f t="shared" si="1038"/>
        <v>STOCK SCAFFALE MP</v>
      </c>
      <c r="H1587" s="1" t="str">
        <f>"DKBL"</f>
        <v>DKBL</v>
      </c>
      <c r="K1587" s="1">
        <v>2</v>
      </c>
      <c r="L1587" s="1" t="str">
        <f t="shared" si="1008"/>
        <v>01</v>
      </c>
      <c r="M1587" s="1" t="str">
        <f t="shared" si="999"/>
        <v>409</v>
      </c>
      <c r="N1587" s="1" t="str">
        <f t="shared" si="1037"/>
        <v>015</v>
      </c>
      <c r="O1587" s="1" t="str">
        <f t="shared" si="1009"/>
        <v>00</v>
      </c>
      <c r="P1587" s="1" t="str">
        <f t="shared" si="1010"/>
        <v>S</v>
      </c>
      <c r="Q1587" s="1" t="str">
        <f t="shared" si="1011"/>
        <v>P</v>
      </c>
      <c r="R1587" s="1" t="str">
        <f t="shared" si="1012"/>
        <v>01</v>
      </c>
      <c r="S1587" s="1" t="str">
        <f t="shared" si="1039"/>
        <v>04</v>
      </c>
      <c r="T1587" s="1" t="str">
        <f t="shared" si="1013"/>
        <v>False</v>
      </c>
      <c r="U1587" s="1" t="str">
        <f t="shared" si="1014"/>
        <v>True</v>
      </c>
      <c r="V1587" s="1" t="str">
        <f>"U0028292"</f>
        <v>U0028292</v>
      </c>
      <c r="W1587" s="1">
        <v>1</v>
      </c>
      <c r="Y1587" s="1">
        <v>0</v>
      </c>
      <c r="Z1587" s="1">
        <v>0</v>
      </c>
      <c r="AB1587" s="1" t="str">
        <f t="shared" si="1000"/>
        <v>SMU</v>
      </c>
      <c r="AI1587" s="1" t="str">
        <f t="shared" si="1040"/>
        <v>F11</v>
      </c>
      <c r="AJ1587" s="1" t="str">
        <f>"WOMAN"</f>
        <v>WOMAN</v>
      </c>
      <c r="AK1587" s="1" t="str">
        <f t="shared" si="1015"/>
        <v>PA</v>
      </c>
      <c r="AP1587" s="1" t="str">
        <f t="shared" si="1016"/>
        <v>False</v>
      </c>
      <c r="AR1587" s="1" t="str">
        <f>"DYON"</f>
        <v>DYON</v>
      </c>
      <c r="AY1587" s="1" t="str">
        <f t="shared" si="1017"/>
        <v>PF</v>
      </c>
      <c r="AZ1587" s="1">
        <v>0</v>
      </c>
      <c r="BA1587" s="1">
        <v>0</v>
      </c>
      <c r="BB1587" s="1">
        <v>0</v>
      </c>
      <c r="BC1587" s="1">
        <v>0</v>
      </c>
      <c r="BD1587" s="1">
        <v>0</v>
      </c>
      <c r="BE1587" s="1" t="str">
        <f>"ION GOMMA TWILL CANVAS"</f>
        <v>ION GOMMA TWILL CANVAS</v>
      </c>
      <c r="BF1587" s="1" t="str">
        <f t="shared" si="1018"/>
        <v>Bonis SpA</v>
      </c>
    </row>
    <row r="1588" spans="2:58" x14ac:dyDescent="0.25">
      <c r="B1588" s="1">
        <v>2563</v>
      </c>
      <c r="C1588" s="1" t="str">
        <f>"DYON4190S7/C1"</f>
        <v>DYON4190S7/C1</v>
      </c>
      <c r="E1588" s="1" t="str">
        <f>"39"</f>
        <v>39</v>
      </c>
      <c r="F1588" s="1" t="str">
        <f t="shared" si="1007"/>
        <v>BONIS SPA</v>
      </c>
      <c r="G1588" s="1" t="str">
        <f t="shared" si="1038"/>
        <v>STOCK SCAFFALE MP</v>
      </c>
      <c r="H1588" s="1" t="str">
        <f>"DKBL"</f>
        <v>DKBL</v>
      </c>
      <c r="K1588" s="1">
        <v>3</v>
      </c>
      <c r="L1588" s="1" t="str">
        <f t="shared" si="1008"/>
        <v>01</v>
      </c>
      <c r="M1588" s="1" t="str">
        <f t="shared" si="999"/>
        <v>409</v>
      </c>
      <c r="N1588" s="1" t="str">
        <f t="shared" si="1037"/>
        <v>015</v>
      </c>
      <c r="O1588" s="1" t="str">
        <f t="shared" si="1009"/>
        <v>00</v>
      </c>
      <c r="P1588" s="1" t="str">
        <f t="shared" si="1010"/>
        <v>S</v>
      </c>
      <c r="Q1588" s="1" t="str">
        <f t="shared" si="1011"/>
        <v>P</v>
      </c>
      <c r="R1588" s="1" t="str">
        <f t="shared" si="1012"/>
        <v>01</v>
      </c>
      <c r="S1588" s="1" t="str">
        <f t="shared" si="1039"/>
        <v>04</v>
      </c>
      <c r="T1588" s="1" t="str">
        <f t="shared" si="1013"/>
        <v>False</v>
      </c>
      <c r="U1588" s="1" t="str">
        <f t="shared" si="1014"/>
        <v>True</v>
      </c>
      <c r="V1588" s="1" t="str">
        <f>"U0028292"</f>
        <v>U0028292</v>
      </c>
      <c r="W1588" s="1">
        <v>1</v>
      </c>
      <c r="Y1588" s="1">
        <v>0</v>
      </c>
      <c r="Z1588" s="1">
        <v>0</v>
      </c>
      <c r="AB1588" s="1" t="str">
        <f t="shared" si="1000"/>
        <v>SMU</v>
      </c>
      <c r="AI1588" s="1" t="str">
        <f t="shared" si="1040"/>
        <v>F11</v>
      </c>
      <c r="AJ1588" s="1" t="str">
        <f>"WOMAN"</f>
        <v>WOMAN</v>
      </c>
      <c r="AK1588" s="1" t="str">
        <f t="shared" si="1015"/>
        <v>PA</v>
      </c>
      <c r="AP1588" s="1" t="str">
        <f t="shared" si="1016"/>
        <v>False</v>
      </c>
      <c r="AR1588" s="1" t="str">
        <f>"DYON"</f>
        <v>DYON</v>
      </c>
      <c r="AY1588" s="1" t="str">
        <f t="shared" si="1017"/>
        <v>PF</v>
      </c>
      <c r="AZ1588" s="1">
        <v>0</v>
      </c>
      <c r="BA1588" s="1">
        <v>0</v>
      </c>
      <c r="BB1588" s="1">
        <v>0</v>
      </c>
      <c r="BC1588" s="1">
        <v>0</v>
      </c>
      <c r="BD1588" s="1">
        <v>0</v>
      </c>
      <c r="BE1588" s="1" t="str">
        <f>"ION GOMMA TWILL CANVAS"</f>
        <v>ION GOMMA TWILL CANVAS</v>
      </c>
      <c r="BF1588" s="1" t="str">
        <f t="shared" si="1018"/>
        <v>Bonis SpA</v>
      </c>
    </row>
    <row r="1589" spans="2:58" x14ac:dyDescent="0.25">
      <c r="B1589" s="1">
        <v>2563</v>
      </c>
      <c r="C1589" s="1" t="str">
        <f t="shared" ref="C1589:C1611" si="1041">"MARCS4194S7/C1"</f>
        <v>MARCS4194S7/C1</v>
      </c>
      <c r="E1589" s="1" t="str">
        <f>"44"</f>
        <v>44</v>
      </c>
      <c r="F1589" s="1" t="str">
        <f t="shared" si="1007"/>
        <v>BONIS SPA</v>
      </c>
      <c r="G1589" s="1" t="str">
        <f t="shared" si="1038"/>
        <v>STOCK SCAFFALE MP</v>
      </c>
      <c r="H1589" s="1" t="str">
        <f t="shared" ref="H1589:H1597" si="1042">"GREY"</f>
        <v>GREY</v>
      </c>
      <c r="K1589" s="1">
        <v>2</v>
      </c>
      <c r="L1589" s="1" t="str">
        <f t="shared" si="1008"/>
        <v>01</v>
      </c>
      <c r="M1589" s="1" t="str">
        <f t="shared" si="999"/>
        <v>409</v>
      </c>
      <c r="N1589" s="1" t="str">
        <f t="shared" si="1037"/>
        <v>015</v>
      </c>
      <c r="O1589" s="1" t="str">
        <f t="shared" si="1009"/>
        <v>00</v>
      </c>
      <c r="P1589" s="1" t="str">
        <f t="shared" si="1010"/>
        <v>S</v>
      </c>
      <c r="Q1589" s="1" t="str">
        <f t="shared" si="1011"/>
        <v>P</v>
      </c>
      <c r="R1589" s="1" t="str">
        <f t="shared" si="1012"/>
        <v>01</v>
      </c>
      <c r="S1589" s="1" t="str">
        <f t="shared" si="1039"/>
        <v>04</v>
      </c>
      <c r="T1589" s="1" t="str">
        <f t="shared" si="1013"/>
        <v>False</v>
      </c>
      <c r="U1589" s="1" t="str">
        <f t="shared" si="1014"/>
        <v>True</v>
      </c>
      <c r="V1589" s="1" t="str">
        <f>"U0028293"</f>
        <v>U0028293</v>
      </c>
      <c r="W1589" s="1">
        <v>1</v>
      </c>
      <c r="Y1589" s="1">
        <v>0</v>
      </c>
      <c r="Z1589" s="1">
        <v>0</v>
      </c>
      <c r="AB1589" s="1" t="str">
        <f t="shared" si="1000"/>
        <v>SMU</v>
      </c>
      <c r="AI1589" s="1" t="str">
        <f t="shared" si="1040"/>
        <v>F11</v>
      </c>
      <c r="AJ1589" s="1" t="str">
        <f t="shared" ref="AJ1589:AJ1611" si="1043">"MAN"</f>
        <v>MAN</v>
      </c>
      <c r="AK1589" s="1" t="str">
        <f t="shared" si="1015"/>
        <v>PA</v>
      </c>
      <c r="AP1589" s="1" t="str">
        <f t="shared" si="1016"/>
        <v>False</v>
      </c>
      <c r="AR1589" s="1" t="str">
        <f t="shared" ref="AR1589:AR1611" si="1044">"MARCS"</f>
        <v>MARCS</v>
      </c>
      <c r="AY1589" s="1" t="str">
        <f t="shared" si="1017"/>
        <v>PF</v>
      </c>
      <c r="AZ1589" s="1">
        <v>0</v>
      </c>
      <c r="BA1589" s="1">
        <v>0</v>
      </c>
      <c r="BB1589" s="1">
        <v>0</v>
      </c>
      <c r="BC1589" s="1">
        <v>0</v>
      </c>
      <c r="BD1589" s="1">
        <v>0</v>
      </c>
      <c r="BE1589" s="1" t="str">
        <f t="shared" ref="BE1589:BE1611" si="1045">"RCS GOMMA TWILL CANVAS"</f>
        <v>RCS GOMMA TWILL CANVAS</v>
      </c>
      <c r="BF1589" s="1" t="str">
        <f t="shared" si="1018"/>
        <v>Bonis SpA</v>
      </c>
    </row>
    <row r="1590" spans="2:58" x14ac:dyDescent="0.25">
      <c r="B1590" s="1">
        <v>2563</v>
      </c>
      <c r="C1590" s="1" t="str">
        <f t="shared" si="1041"/>
        <v>MARCS4194S7/C1</v>
      </c>
      <c r="E1590" s="1" t="str">
        <f>"43"</f>
        <v>43</v>
      </c>
      <c r="F1590" s="1" t="str">
        <f t="shared" si="1007"/>
        <v>BONIS SPA</v>
      </c>
      <c r="G1590" s="1" t="str">
        <f t="shared" si="1038"/>
        <v>STOCK SCAFFALE MP</v>
      </c>
      <c r="H1590" s="1" t="str">
        <f t="shared" si="1042"/>
        <v>GREY</v>
      </c>
      <c r="K1590" s="1">
        <v>1</v>
      </c>
      <c r="L1590" s="1" t="str">
        <f t="shared" si="1008"/>
        <v>01</v>
      </c>
      <c r="M1590" s="1" t="str">
        <f t="shared" ref="M1590:M1653" si="1046">"409"</f>
        <v>409</v>
      </c>
      <c r="N1590" s="1" t="str">
        <f t="shared" si="1037"/>
        <v>015</v>
      </c>
      <c r="O1590" s="1" t="str">
        <f t="shared" si="1009"/>
        <v>00</v>
      </c>
      <c r="P1590" s="1" t="str">
        <f t="shared" si="1010"/>
        <v>S</v>
      </c>
      <c r="Q1590" s="1" t="str">
        <f t="shared" si="1011"/>
        <v>P</v>
      </c>
      <c r="R1590" s="1" t="str">
        <f t="shared" si="1012"/>
        <v>01</v>
      </c>
      <c r="S1590" s="1" t="str">
        <f t="shared" si="1039"/>
        <v>04</v>
      </c>
      <c r="T1590" s="1" t="str">
        <f t="shared" si="1013"/>
        <v>False</v>
      </c>
      <c r="U1590" s="1" t="str">
        <f t="shared" si="1014"/>
        <v>True</v>
      </c>
      <c r="V1590" s="1" t="str">
        <f>"U0028293"</f>
        <v>U0028293</v>
      </c>
      <c r="W1590" s="1">
        <v>1</v>
      </c>
      <c r="Y1590" s="1">
        <v>0</v>
      </c>
      <c r="Z1590" s="1">
        <v>0</v>
      </c>
      <c r="AB1590" s="1" t="str">
        <f t="shared" ref="AB1590:AB1653" si="1047">"SMU"</f>
        <v>SMU</v>
      </c>
      <c r="AI1590" s="1" t="str">
        <f t="shared" si="1040"/>
        <v>F11</v>
      </c>
      <c r="AJ1590" s="1" t="str">
        <f t="shared" si="1043"/>
        <v>MAN</v>
      </c>
      <c r="AK1590" s="1" t="str">
        <f t="shared" si="1015"/>
        <v>PA</v>
      </c>
      <c r="AP1590" s="1" t="str">
        <f t="shared" si="1016"/>
        <v>False</v>
      </c>
      <c r="AR1590" s="1" t="str">
        <f t="shared" si="1044"/>
        <v>MARCS</v>
      </c>
      <c r="AY1590" s="1" t="str">
        <f t="shared" si="1017"/>
        <v>PF</v>
      </c>
      <c r="AZ1590" s="1">
        <v>0</v>
      </c>
      <c r="BA1590" s="1">
        <v>0</v>
      </c>
      <c r="BB1590" s="1">
        <v>0</v>
      </c>
      <c r="BC1590" s="1">
        <v>0</v>
      </c>
      <c r="BD1590" s="1">
        <v>0</v>
      </c>
      <c r="BE1590" s="1" t="str">
        <f t="shared" si="1045"/>
        <v>RCS GOMMA TWILL CANVAS</v>
      </c>
      <c r="BF1590" s="1" t="str">
        <f t="shared" si="1018"/>
        <v>Bonis SpA</v>
      </c>
    </row>
    <row r="1591" spans="2:58" x14ac:dyDescent="0.25">
      <c r="B1591" s="1">
        <v>2563</v>
      </c>
      <c r="C1591" s="1" t="str">
        <f t="shared" si="1041"/>
        <v>MARCS4194S7/C1</v>
      </c>
      <c r="E1591" s="1" t="str">
        <f>"40"</f>
        <v>40</v>
      </c>
      <c r="F1591" s="1" t="str">
        <f t="shared" si="1007"/>
        <v>BONIS SPA</v>
      </c>
      <c r="G1591" s="1" t="str">
        <f t="shared" si="1038"/>
        <v>STOCK SCAFFALE MP</v>
      </c>
      <c r="H1591" s="1" t="str">
        <f t="shared" si="1042"/>
        <v>GREY</v>
      </c>
      <c r="K1591" s="1">
        <v>1</v>
      </c>
      <c r="L1591" s="1" t="str">
        <f t="shared" si="1008"/>
        <v>01</v>
      </c>
      <c r="M1591" s="1" t="str">
        <f t="shared" si="1046"/>
        <v>409</v>
      </c>
      <c r="N1591" s="1" t="str">
        <f t="shared" si="1037"/>
        <v>015</v>
      </c>
      <c r="O1591" s="1" t="str">
        <f t="shared" si="1009"/>
        <v>00</v>
      </c>
      <c r="P1591" s="1" t="str">
        <f t="shared" si="1010"/>
        <v>S</v>
      </c>
      <c r="Q1591" s="1" t="str">
        <f t="shared" si="1011"/>
        <v>P</v>
      </c>
      <c r="R1591" s="1" t="str">
        <f t="shared" si="1012"/>
        <v>01</v>
      </c>
      <c r="S1591" s="1" t="str">
        <f t="shared" si="1039"/>
        <v>04</v>
      </c>
      <c r="T1591" s="1" t="str">
        <f t="shared" si="1013"/>
        <v>False</v>
      </c>
      <c r="U1591" s="1" t="str">
        <f t="shared" si="1014"/>
        <v>True</v>
      </c>
      <c r="V1591" s="1" t="str">
        <f>"U0028293"</f>
        <v>U0028293</v>
      </c>
      <c r="W1591" s="1">
        <v>1</v>
      </c>
      <c r="Y1591" s="1">
        <v>0</v>
      </c>
      <c r="Z1591" s="1">
        <v>0</v>
      </c>
      <c r="AB1591" s="1" t="str">
        <f t="shared" si="1047"/>
        <v>SMU</v>
      </c>
      <c r="AI1591" s="1" t="str">
        <f t="shared" si="1040"/>
        <v>F11</v>
      </c>
      <c r="AJ1591" s="1" t="str">
        <f t="shared" si="1043"/>
        <v>MAN</v>
      </c>
      <c r="AK1591" s="1" t="str">
        <f t="shared" si="1015"/>
        <v>PA</v>
      </c>
      <c r="AP1591" s="1" t="str">
        <f t="shared" si="1016"/>
        <v>False</v>
      </c>
      <c r="AR1591" s="1" t="str">
        <f t="shared" si="1044"/>
        <v>MARCS</v>
      </c>
      <c r="AY1591" s="1" t="str">
        <f t="shared" si="1017"/>
        <v>PF</v>
      </c>
      <c r="AZ1591" s="1">
        <v>0</v>
      </c>
      <c r="BA1591" s="1">
        <v>0</v>
      </c>
      <c r="BB1591" s="1">
        <v>0</v>
      </c>
      <c r="BC1591" s="1">
        <v>0</v>
      </c>
      <c r="BD1591" s="1">
        <v>0</v>
      </c>
      <c r="BE1591" s="1" t="str">
        <f t="shared" si="1045"/>
        <v>RCS GOMMA TWILL CANVAS</v>
      </c>
      <c r="BF1591" s="1" t="str">
        <f t="shared" si="1018"/>
        <v>Bonis SpA</v>
      </c>
    </row>
    <row r="1592" spans="2:58" x14ac:dyDescent="0.25">
      <c r="B1592" s="1">
        <v>2563</v>
      </c>
      <c r="C1592" s="1" t="str">
        <f t="shared" si="1041"/>
        <v>MARCS4194S7/C1</v>
      </c>
      <c r="E1592" s="1" t="str">
        <f>"41"</f>
        <v>41</v>
      </c>
      <c r="F1592" s="1" t="str">
        <f t="shared" si="1007"/>
        <v>BONIS SPA</v>
      </c>
      <c r="G1592" s="1" t="str">
        <f t="shared" si="1038"/>
        <v>STOCK SCAFFALE MP</v>
      </c>
      <c r="H1592" s="1" t="str">
        <f t="shared" si="1042"/>
        <v>GREY</v>
      </c>
      <c r="K1592" s="1">
        <v>1</v>
      </c>
      <c r="L1592" s="1" t="str">
        <f t="shared" si="1008"/>
        <v>01</v>
      </c>
      <c r="M1592" s="1" t="str">
        <f t="shared" si="1046"/>
        <v>409</v>
      </c>
      <c r="N1592" s="1" t="str">
        <f t="shared" si="1037"/>
        <v>015</v>
      </c>
      <c r="O1592" s="1" t="str">
        <f t="shared" si="1009"/>
        <v>00</v>
      </c>
      <c r="P1592" s="1" t="str">
        <f t="shared" si="1010"/>
        <v>S</v>
      </c>
      <c r="Q1592" s="1" t="str">
        <f t="shared" si="1011"/>
        <v>P</v>
      </c>
      <c r="R1592" s="1" t="str">
        <f t="shared" si="1012"/>
        <v>01</v>
      </c>
      <c r="S1592" s="1" t="str">
        <f t="shared" si="1039"/>
        <v>04</v>
      </c>
      <c r="T1592" s="1" t="str">
        <f t="shared" si="1013"/>
        <v>False</v>
      </c>
      <c r="U1592" s="1" t="str">
        <f t="shared" si="1014"/>
        <v>True</v>
      </c>
      <c r="V1592" s="1" t="str">
        <f>"U0028293"</f>
        <v>U0028293</v>
      </c>
      <c r="W1592" s="1">
        <v>1</v>
      </c>
      <c r="Y1592" s="1">
        <v>0</v>
      </c>
      <c r="Z1592" s="1">
        <v>0</v>
      </c>
      <c r="AB1592" s="1" t="str">
        <f t="shared" si="1047"/>
        <v>SMU</v>
      </c>
      <c r="AI1592" s="1" t="str">
        <f t="shared" si="1040"/>
        <v>F11</v>
      </c>
      <c r="AJ1592" s="1" t="str">
        <f t="shared" si="1043"/>
        <v>MAN</v>
      </c>
      <c r="AK1592" s="1" t="str">
        <f t="shared" si="1015"/>
        <v>PA</v>
      </c>
      <c r="AP1592" s="1" t="str">
        <f t="shared" si="1016"/>
        <v>False</v>
      </c>
      <c r="AR1592" s="1" t="str">
        <f t="shared" si="1044"/>
        <v>MARCS</v>
      </c>
      <c r="AY1592" s="1" t="str">
        <f t="shared" si="1017"/>
        <v>PF</v>
      </c>
      <c r="AZ1592" s="1">
        <v>0</v>
      </c>
      <c r="BA1592" s="1">
        <v>0</v>
      </c>
      <c r="BB1592" s="1">
        <v>0</v>
      </c>
      <c r="BC1592" s="1">
        <v>0</v>
      </c>
      <c r="BD1592" s="1">
        <v>0</v>
      </c>
      <c r="BE1592" s="1" t="str">
        <f t="shared" si="1045"/>
        <v>RCS GOMMA TWILL CANVAS</v>
      </c>
      <c r="BF1592" s="1" t="str">
        <f t="shared" si="1018"/>
        <v>Bonis SpA</v>
      </c>
    </row>
    <row r="1593" spans="2:58" x14ac:dyDescent="0.25">
      <c r="B1593" s="1">
        <v>2563</v>
      </c>
      <c r="C1593" s="1" t="str">
        <f t="shared" si="1041"/>
        <v>MARCS4194S7/C1</v>
      </c>
      <c r="E1593" s="1" t="str">
        <f>"42"</f>
        <v>42</v>
      </c>
      <c r="F1593" s="1" t="str">
        <f t="shared" si="1007"/>
        <v>BONIS SPA</v>
      </c>
      <c r="G1593" s="1" t="str">
        <f t="shared" si="1038"/>
        <v>STOCK SCAFFALE MP</v>
      </c>
      <c r="H1593" s="1" t="str">
        <f t="shared" si="1042"/>
        <v>GREY</v>
      </c>
      <c r="K1593" s="1">
        <v>3</v>
      </c>
      <c r="L1593" s="1" t="str">
        <f t="shared" si="1008"/>
        <v>01</v>
      </c>
      <c r="M1593" s="1" t="str">
        <f t="shared" si="1046"/>
        <v>409</v>
      </c>
      <c r="N1593" s="1" t="str">
        <f t="shared" si="1037"/>
        <v>015</v>
      </c>
      <c r="O1593" s="1" t="str">
        <f t="shared" si="1009"/>
        <v>00</v>
      </c>
      <c r="P1593" s="1" t="str">
        <f t="shared" si="1010"/>
        <v>S</v>
      </c>
      <c r="Q1593" s="1" t="str">
        <f t="shared" si="1011"/>
        <v>P</v>
      </c>
      <c r="R1593" s="1" t="str">
        <f t="shared" si="1012"/>
        <v>01</v>
      </c>
      <c r="S1593" s="1" t="str">
        <f t="shared" si="1039"/>
        <v>04</v>
      </c>
      <c r="T1593" s="1" t="str">
        <f t="shared" si="1013"/>
        <v>False</v>
      </c>
      <c r="U1593" s="1" t="str">
        <f t="shared" si="1014"/>
        <v>True</v>
      </c>
      <c r="V1593" s="1" t="str">
        <f>"U0028293"</f>
        <v>U0028293</v>
      </c>
      <c r="W1593" s="1">
        <v>1</v>
      </c>
      <c r="Y1593" s="1">
        <v>0</v>
      </c>
      <c r="Z1593" s="1">
        <v>0</v>
      </c>
      <c r="AB1593" s="1" t="str">
        <f t="shared" si="1047"/>
        <v>SMU</v>
      </c>
      <c r="AI1593" s="1" t="str">
        <f t="shared" si="1040"/>
        <v>F11</v>
      </c>
      <c r="AJ1593" s="1" t="str">
        <f t="shared" si="1043"/>
        <v>MAN</v>
      </c>
      <c r="AK1593" s="1" t="str">
        <f t="shared" si="1015"/>
        <v>PA</v>
      </c>
      <c r="AP1593" s="1" t="str">
        <f t="shared" si="1016"/>
        <v>False</v>
      </c>
      <c r="AR1593" s="1" t="str">
        <f t="shared" si="1044"/>
        <v>MARCS</v>
      </c>
      <c r="AY1593" s="1" t="str">
        <f t="shared" si="1017"/>
        <v>PF</v>
      </c>
      <c r="AZ1593" s="1">
        <v>0</v>
      </c>
      <c r="BA1593" s="1">
        <v>0</v>
      </c>
      <c r="BB1593" s="1">
        <v>0</v>
      </c>
      <c r="BC1593" s="1">
        <v>0</v>
      </c>
      <c r="BD1593" s="1">
        <v>0</v>
      </c>
      <c r="BE1593" s="1" t="str">
        <f t="shared" si="1045"/>
        <v>RCS GOMMA TWILL CANVAS</v>
      </c>
      <c r="BF1593" s="1" t="str">
        <f t="shared" si="1018"/>
        <v>Bonis SpA</v>
      </c>
    </row>
    <row r="1594" spans="2:58" x14ac:dyDescent="0.25">
      <c r="B1594" s="1">
        <v>2563</v>
      </c>
      <c r="C1594" s="1" t="str">
        <f t="shared" si="1041"/>
        <v>MARCS4194S7/C1</v>
      </c>
      <c r="E1594" s="1" t="str">
        <f>"44"</f>
        <v>44</v>
      </c>
      <c r="F1594" s="1" t="str">
        <f t="shared" si="1007"/>
        <v>BONIS SPA</v>
      </c>
      <c r="G1594" s="1" t="str">
        <f t="shared" si="1038"/>
        <v>STOCK SCAFFALE MP</v>
      </c>
      <c r="H1594" s="1" t="str">
        <f t="shared" si="1042"/>
        <v>GREY</v>
      </c>
      <c r="K1594" s="1">
        <v>2</v>
      </c>
      <c r="L1594" s="1" t="str">
        <f t="shared" si="1008"/>
        <v>01</v>
      </c>
      <c r="M1594" s="1" t="str">
        <f t="shared" si="1046"/>
        <v>409</v>
      </c>
      <c r="N1594" s="1" t="str">
        <f t="shared" si="1037"/>
        <v>015</v>
      </c>
      <c r="O1594" s="1" t="str">
        <f t="shared" si="1009"/>
        <v>00</v>
      </c>
      <c r="P1594" s="1" t="str">
        <f t="shared" si="1010"/>
        <v>S</v>
      </c>
      <c r="Q1594" s="1" t="str">
        <f t="shared" si="1011"/>
        <v>P</v>
      </c>
      <c r="R1594" s="1" t="str">
        <f t="shared" si="1012"/>
        <v>01</v>
      </c>
      <c r="S1594" s="1" t="str">
        <f t="shared" si="1039"/>
        <v>04</v>
      </c>
      <c r="T1594" s="1" t="str">
        <f t="shared" si="1013"/>
        <v>False</v>
      </c>
      <c r="U1594" s="1" t="str">
        <f t="shared" si="1014"/>
        <v>True</v>
      </c>
      <c r="V1594" s="1" t="str">
        <f t="shared" ref="V1594:V1600" si="1048">"U0028294"</f>
        <v>U0028294</v>
      </c>
      <c r="W1594" s="1">
        <v>1</v>
      </c>
      <c r="Y1594" s="1">
        <v>0</v>
      </c>
      <c r="Z1594" s="1">
        <v>0</v>
      </c>
      <c r="AB1594" s="1" t="str">
        <f t="shared" si="1047"/>
        <v>SMU</v>
      </c>
      <c r="AI1594" s="1" t="str">
        <f t="shared" si="1040"/>
        <v>F11</v>
      </c>
      <c r="AJ1594" s="1" t="str">
        <f t="shared" si="1043"/>
        <v>MAN</v>
      </c>
      <c r="AK1594" s="1" t="str">
        <f t="shared" si="1015"/>
        <v>PA</v>
      </c>
      <c r="AP1594" s="1" t="str">
        <f t="shared" si="1016"/>
        <v>False</v>
      </c>
      <c r="AR1594" s="1" t="str">
        <f t="shared" si="1044"/>
        <v>MARCS</v>
      </c>
      <c r="AY1594" s="1" t="str">
        <f t="shared" si="1017"/>
        <v>PF</v>
      </c>
      <c r="AZ1594" s="1">
        <v>0</v>
      </c>
      <c r="BA1594" s="1">
        <v>0</v>
      </c>
      <c r="BB1594" s="1">
        <v>0</v>
      </c>
      <c r="BC1594" s="1">
        <v>0</v>
      </c>
      <c r="BD1594" s="1">
        <v>0</v>
      </c>
      <c r="BE1594" s="1" t="str">
        <f t="shared" si="1045"/>
        <v>RCS GOMMA TWILL CANVAS</v>
      </c>
      <c r="BF1594" s="1" t="str">
        <f t="shared" si="1018"/>
        <v>Bonis SpA</v>
      </c>
    </row>
    <row r="1595" spans="2:58" x14ac:dyDescent="0.25">
      <c r="B1595" s="1">
        <v>2563</v>
      </c>
      <c r="C1595" s="1" t="str">
        <f t="shared" si="1041"/>
        <v>MARCS4194S7/C1</v>
      </c>
      <c r="E1595" s="1" t="str">
        <f>"43"</f>
        <v>43</v>
      </c>
      <c r="F1595" s="1" t="str">
        <f t="shared" si="1007"/>
        <v>BONIS SPA</v>
      </c>
      <c r="G1595" s="1" t="str">
        <f t="shared" si="1038"/>
        <v>STOCK SCAFFALE MP</v>
      </c>
      <c r="H1595" s="1" t="str">
        <f t="shared" si="1042"/>
        <v>GREY</v>
      </c>
      <c r="K1595" s="1">
        <v>1</v>
      </c>
      <c r="L1595" s="1" t="str">
        <f t="shared" si="1008"/>
        <v>01</v>
      </c>
      <c r="M1595" s="1" t="str">
        <f t="shared" si="1046"/>
        <v>409</v>
      </c>
      <c r="N1595" s="1" t="str">
        <f t="shared" si="1037"/>
        <v>015</v>
      </c>
      <c r="O1595" s="1" t="str">
        <f t="shared" si="1009"/>
        <v>00</v>
      </c>
      <c r="P1595" s="1" t="str">
        <f t="shared" si="1010"/>
        <v>S</v>
      </c>
      <c r="Q1595" s="1" t="str">
        <f t="shared" si="1011"/>
        <v>P</v>
      </c>
      <c r="R1595" s="1" t="str">
        <f t="shared" si="1012"/>
        <v>01</v>
      </c>
      <c r="S1595" s="1" t="str">
        <f t="shared" si="1039"/>
        <v>04</v>
      </c>
      <c r="T1595" s="1" t="str">
        <f t="shared" si="1013"/>
        <v>False</v>
      </c>
      <c r="U1595" s="1" t="str">
        <f t="shared" si="1014"/>
        <v>True</v>
      </c>
      <c r="V1595" s="1" t="str">
        <f t="shared" si="1048"/>
        <v>U0028294</v>
      </c>
      <c r="W1595" s="1">
        <v>1</v>
      </c>
      <c r="Y1595" s="1">
        <v>0</v>
      </c>
      <c r="Z1595" s="1">
        <v>0</v>
      </c>
      <c r="AB1595" s="1" t="str">
        <f t="shared" si="1047"/>
        <v>SMU</v>
      </c>
      <c r="AI1595" s="1" t="str">
        <f t="shared" si="1040"/>
        <v>F11</v>
      </c>
      <c r="AJ1595" s="1" t="str">
        <f t="shared" si="1043"/>
        <v>MAN</v>
      </c>
      <c r="AK1595" s="1" t="str">
        <f t="shared" si="1015"/>
        <v>PA</v>
      </c>
      <c r="AP1595" s="1" t="str">
        <f t="shared" si="1016"/>
        <v>False</v>
      </c>
      <c r="AR1595" s="1" t="str">
        <f t="shared" si="1044"/>
        <v>MARCS</v>
      </c>
      <c r="AY1595" s="1" t="str">
        <f t="shared" si="1017"/>
        <v>PF</v>
      </c>
      <c r="AZ1595" s="1">
        <v>0</v>
      </c>
      <c r="BA1595" s="1">
        <v>0</v>
      </c>
      <c r="BB1595" s="1">
        <v>0</v>
      </c>
      <c r="BC1595" s="1">
        <v>0</v>
      </c>
      <c r="BD1595" s="1">
        <v>0</v>
      </c>
      <c r="BE1595" s="1" t="str">
        <f t="shared" si="1045"/>
        <v>RCS GOMMA TWILL CANVAS</v>
      </c>
      <c r="BF1595" s="1" t="str">
        <f t="shared" si="1018"/>
        <v>Bonis SpA</v>
      </c>
    </row>
    <row r="1596" spans="2:58" x14ac:dyDescent="0.25">
      <c r="B1596" s="1">
        <v>2563</v>
      </c>
      <c r="C1596" s="1" t="str">
        <f t="shared" si="1041"/>
        <v>MARCS4194S7/C1</v>
      </c>
      <c r="E1596" s="1" t="str">
        <f>"42"</f>
        <v>42</v>
      </c>
      <c r="F1596" s="1" t="str">
        <f t="shared" si="1007"/>
        <v>BONIS SPA</v>
      </c>
      <c r="G1596" s="1" t="str">
        <f t="shared" si="1038"/>
        <v>STOCK SCAFFALE MP</v>
      </c>
      <c r="H1596" s="1" t="str">
        <f t="shared" si="1042"/>
        <v>GREY</v>
      </c>
      <c r="K1596" s="1">
        <v>1</v>
      </c>
      <c r="L1596" s="1" t="str">
        <f t="shared" si="1008"/>
        <v>01</v>
      </c>
      <c r="M1596" s="1" t="str">
        <f t="shared" si="1046"/>
        <v>409</v>
      </c>
      <c r="N1596" s="1" t="str">
        <f t="shared" si="1037"/>
        <v>015</v>
      </c>
      <c r="O1596" s="1" t="str">
        <f t="shared" si="1009"/>
        <v>00</v>
      </c>
      <c r="P1596" s="1" t="str">
        <f t="shared" si="1010"/>
        <v>S</v>
      </c>
      <c r="Q1596" s="1" t="str">
        <f t="shared" si="1011"/>
        <v>P</v>
      </c>
      <c r="R1596" s="1" t="str">
        <f t="shared" si="1012"/>
        <v>01</v>
      </c>
      <c r="S1596" s="1" t="str">
        <f t="shared" si="1039"/>
        <v>04</v>
      </c>
      <c r="T1596" s="1" t="str">
        <f t="shared" si="1013"/>
        <v>False</v>
      </c>
      <c r="U1596" s="1" t="str">
        <f t="shared" si="1014"/>
        <v>True</v>
      </c>
      <c r="V1596" s="1" t="str">
        <f t="shared" si="1048"/>
        <v>U0028294</v>
      </c>
      <c r="W1596" s="1">
        <v>1</v>
      </c>
      <c r="Y1596" s="1">
        <v>0</v>
      </c>
      <c r="Z1596" s="1">
        <v>0</v>
      </c>
      <c r="AB1596" s="1" t="str">
        <f t="shared" si="1047"/>
        <v>SMU</v>
      </c>
      <c r="AI1596" s="1" t="str">
        <f t="shared" si="1040"/>
        <v>F11</v>
      </c>
      <c r="AJ1596" s="1" t="str">
        <f t="shared" si="1043"/>
        <v>MAN</v>
      </c>
      <c r="AK1596" s="1" t="str">
        <f t="shared" si="1015"/>
        <v>PA</v>
      </c>
      <c r="AP1596" s="1" t="str">
        <f t="shared" si="1016"/>
        <v>False</v>
      </c>
      <c r="AR1596" s="1" t="str">
        <f t="shared" si="1044"/>
        <v>MARCS</v>
      </c>
      <c r="AY1596" s="1" t="str">
        <f t="shared" si="1017"/>
        <v>PF</v>
      </c>
      <c r="AZ1596" s="1">
        <v>0</v>
      </c>
      <c r="BA1596" s="1">
        <v>0</v>
      </c>
      <c r="BB1596" s="1">
        <v>0</v>
      </c>
      <c r="BC1596" s="1">
        <v>0</v>
      </c>
      <c r="BD1596" s="1">
        <v>0</v>
      </c>
      <c r="BE1596" s="1" t="str">
        <f t="shared" si="1045"/>
        <v>RCS GOMMA TWILL CANVAS</v>
      </c>
      <c r="BF1596" s="1" t="str">
        <f t="shared" si="1018"/>
        <v>Bonis SpA</v>
      </c>
    </row>
    <row r="1597" spans="2:58" x14ac:dyDescent="0.25">
      <c r="B1597" s="1">
        <v>2563</v>
      </c>
      <c r="C1597" s="1" t="str">
        <f t="shared" si="1041"/>
        <v>MARCS4194S7/C1</v>
      </c>
      <c r="E1597" s="1" t="str">
        <f>"41"</f>
        <v>41</v>
      </c>
      <c r="F1597" s="1" t="str">
        <f t="shared" si="1007"/>
        <v>BONIS SPA</v>
      </c>
      <c r="G1597" s="1" t="str">
        <f t="shared" si="1038"/>
        <v>STOCK SCAFFALE MP</v>
      </c>
      <c r="H1597" s="1" t="str">
        <f t="shared" si="1042"/>
        <v>GREY</v>
      </c>
      <c r="K1597" s="1">
        <v>2</v>
      </c>
      <c r="L1597" s="1" t="str">
        <f t="shared" si="1008"/>
        <v>01</v>
      </c>
      <c r="M1597" s="1" t="str">
        <f t="shared" si="1046"/>
        <v>409</v>
      </c>
      <c r="N1597" s="1" t="str">
        <f t="shared" si="1037"/>
        <v>015</v>
      </c>
      <c r="O1597" s="1" t="str">
        <f t="shared" si="1009"/>
        <v>00</v>
      </c>
      <c r="P1597" s="1" t="str">
        <f t="shared" si="1010"/>
        <v>S</v>
      </c>
      <c r="Q1597" s="1" t="str">
        <f t="shared" si="1011"/>
        <v>P</v>
      </c>
      <c r="R1597" s="1" t="str">
        <f t="shared" si="1012"/>
        <v>01</v>
      </c>
      <c r="S1597" s="1" t="str">
        <f t="shared" si="1039"/>
        <v>04</v>
      </c>
      <c r="T1597" s="1" t="str">
        <f t="shared" si="1013"/>
        <v>False</v>
      </c>
      <c r="U1597" s="1" t="str">
        <f t="shared" si="1014"/>
        <v>True</v>
      </c>
      <c r="V1597" s="1" t="str">
        <f t="shared" si="1048"/>
        <v>U0028294</v>
      </c>
      <c r="W1597" s="1">
        <v>1</v>
      </c>
      <c r="Y1597" s="1">
        <v>0</v>
      </c>
      <c r="Z1597" s="1">
        <v>0</v>
      </c>
      <c r="AB1597" s="1" t="str">
        <f t="shared" si="1047"/>
        <v>SMU</v>
      </c>
      <c r="AI1597" s="1" t="str">
        <f t="shared" si="1040"/>
        <v>F11</v>
      </c>
      <c r="AJ1597" s="1" t="str">
        <f t="shared" si="1043"/>
        <v>MAN</v>
      </c>
      <c r="AK1597" s="1" t="str">
        <f t="shared" si="1015"/>
        <v>PA</v>
      </c>
      <c r="AP1597" s="1" t="str">
        <f t="shared" si="1016"/>
        <v>False</v>
      </c>
      <c r="AR1597" s="1" t="str">
        <f t="shared" si="1044"/>
        <v>MARCS</v>
      </c>
      <c r="AY1597" s="1" t="str">
        <f t="shared" si="1017"/>
        <v>PF</v>
      </c>
      <c r="AZ1597" s="1">
        <v>0</v>
      </c>
      <c r="BA1597" s="1">
        <v>0</v>
      </c>
      <c r="BB1597" s="1">
        <v>0</v>
      </c>
      <c r="BC1597" s="1">
        <v>0</v>
      </c>
      <c r="BD1597" s="1">
        <v>0</v>
      </c>
      <c r="BE1597" s="1" t="str">
        <f t="shared" si="1045"/>
        <v>RCS GOMMA TWILL CANVAS</v>
      </c>
      <c r="BF1597" s="1" t="str">
        <f t="shared" si="1018"/>
        <v>Bonis SpA</v>
      </c>
    </row>
    <row r="1598" spans="2:58" x14ac:dyDescent="0.25">
      <c r="B1598" s="1">
        <v>2563</v>
      </c>
      <c r="C1598" s="1" t="str">
        <f t="shared" si="1041"/>
        <v>MARCS4194S7/C1</v>
      </c>
      <c r="E1598" s="1" t="str">
        <f>"42"</f>
        <v>42</v>
      </c>
      <c r="F1598" s="1" t="str">
        <f t="shared" si="1007"/>
        <v>BONIS SPA</v>
      </c>
      <c r="G1598" s="1" t="str">
        <f t="shared" si="1038"/>
        <v>STOCK SCAFFALE MP</v>
      </c>
      <c r="H1598" s="1" t="str">
        <f>"BLK"</f>
        <v>BLK</v>
      </c>
      <c r="K1598" s="1">
        <v>1</v>
      </c>
      <c r="L1598" s="1" t="str">
        <f t="shared" si="1008"/>
        <v>01</v>
      </c>
      <c r="M1598" s="1" t="str">
        <f t="shared" si="1046"/>
        <v>409</v>
      </c>
      <c r="N1598" s="1" t="str">
        <f t="shared" si="1037"/>
        <v>015</v>
      </c>
      <c r="O1598" s="1" t="str">
        <f t="shared" si="1009"/>
        <v>00</v>
      </c>
      <c r="P1598" s="1" t="str">
        <f t="shared" si="1010"/>
        <v>S</v>
      </c>
      <c r="Q1598" s="1" t="str">
        <f t="shared" si="1011"/>
        <v>P</v>
      </c>
      <c r="R1598" s="1" t="str">
        <f t="shared" si="1012"/>
        <v>01</v>
      </c>
      <c r="S1598" s="1" t="str">
        <f t="shared" si="1039"/>
        <v>04</v>
      </c>
      <c r="T1598" s="1" t="str">
        <f t="shared" si="1013"/>
        <v>False</v>
      </c>
      <c r="U1598" s="1" t="str">
        <f t="shared" si="1014"/>
        <v>True</v>
      </c>
      <c r="V1598" s="1" t="str">
        <f t="shared" si="1048"/>
        <v>U0028294</v>
      </c>
      <c r="W1598" s="1">
        <v>1</v>
      </c>
      <c r="Y1598" s="1">
        <v>0</v>
      </c>
      <c r="Z1598" s="1">
        <v>0</v>
      </c>
      <c r="AB1598" s="1" t="str">
        <f t="shared" si="1047"/>
        <v>SMU</v>
      </c>
      <c r="AI1598" s="1" t="str">
        <f t="shared" ref="AI1598:AI1605" si="1049">"106"</f>
        <v>106</v>
      </c>
      <c r="AJ1598" s="1" t="str">
        <f t="shared" si="1043"/>
        <v>MAN</v>
      </c>
      <c r="AK1598" s="1" t="str">
        <f t="shared" si="1015"/>
        <v>PA</v>
      </c>
      <c r="AP1598" s="1" t="str">
        <f t="shared" si="1016"/>
        <v>False</v>
      </c>
      <c r="AR1598" s="1" t="str">
        <f t="shared" si="1044"/>
        <v>MARCS</v>
      </c>
      <c r="AY1598" s="1" t="str">
        <f t="shared" si="1017"/>
        <v>PF</v>
      </c>
      <c r="AZ1598" s="1">
        <v>0</v>
      </c>
      <c r="BA1598" s="1">
        <v>0</v>
      </c>
      <c r="BB1598" s="1">
        <v>0</v>
      </c>
      <c r="BC1598" s="1">
        <v>0</v>
      </c>
      <c r="BD1598" s="1">
        <v>0</v>
      </c>
      <c r="BE1598" s="1" t="str">
        <f t="shared" si="1045"/>
        <v>RCS GOMMA TWILL CANVAS</v>
      </c>
      <c r="BF1598" s="1" t="str">
        <f t="shared" si="1018"/>
        <v>Bonis SpA</v>
      </c>
    </row>
    <row r="1599" spans="2:58" x14ac:dyDescent="0.25">
      <c r="B1599" s="1">
        <v>2563</v>
      </c>
      <c r="C1599" s="1" t="str">
        <f t="shared" si="1041"/>
        <v>MARCS4194S7/C1</v>
      </c>
      <c r="E1599" s="1" t="str">
        <f>"41"</f>
        <v>41</v>
      </c>
      <c r="F1599" s="1" t="str">
        <f t="shared" si="1007"/>
        <v>BONIS SPA</v>
      </c>
      <c r="G1599" s="1" t="str">
        <f t="shared" si="1038"/>
        <v>STOCK SCAFFALE MP</v>
      </c>
      <c r="H1599" s="1" t="str">
        <f>"BLK"</f>
        <v>BLK</v>
      </c>
      <c r="K1599" s="1">
        <v>2</v>
      </c>
      <c r="L1599" s="1" t="str">
        <f t="shared" si="1008"/>
        <v>01</v>
      </c>
      <c r="M1599" s="1" t="str">
        <f t="shared" si="1046"/>
        <v>409</v>
      </c>
      <c r="N1599" s="1" t="str">
        <f t="shared" si="1037"/>
        <v>015</v>
      </c>
      <c r="O1599" s="1" t="str">
        <f t="shared" si="1009"/>
        <v>00</v>
      </c>
      <c r="P1599" s="1" t="str">
        <f t="shared" si="1010"/>
        <v>S</v>
      </c>
      <c r="Q1599" s="1" t="str">
        <f t="shared" si="1011"/>
        <v>P</v>
      </c>
      <c r="R1599" s="1" t="str">
        <f t="shared" si="1012"/>
        <v>01</v>
      </c>
      <c r="S1599" s="1" t="str">
        <f t="shared" si="1039"/>
        <v>04</v>
      </c>
      <c r="T1599" s="1" t="str">
        <f t="shared" si="1013"/>
        <v>False</v>
      </c>
      <c r="U1599" s="1" t="str">
        <f t="shared" si="1014"/>
        <v>True</v>
      </c>
      <c r="V1599" s="1" t="str">
        <f t="shared" si="1048"/>
        <v>U0028294</v>
      </c>
      <c r="W1599" s="1">
        <v>1</v>
      </c>
      <c r="Y1599" s="1">
        <v>0</v>
      </c>
      <c r="Z1599" s="1">
        <v>0</v>
      </c>
      <c r="AB1599" s="1" t="str">
        <f t="shared" si="1047"/>
        <v>SMU</v>
      </c>
      <c r="AI1599" s="1" t="str">
        <f t="shared" si="1049"/>
        <v>106</v>
      </c>
      <c r="AJ1599" s="1" t="str">
        <f t="shared" si="1043"/>
        <v>MAN</v>
      </c>
      <c r="AK1599" s="1" t="str">
        <f t="shared" si="1015"/>
        <v>PA</v>
      </c>
      <c r="AP1599" s="1" t="str">
        <f t="shared" si="1016"/>
        <v>False</v>
      </c>
      <c r="AR1599" s="1" t="str">
        <f t="shared" si="1044"/>
        <v>MARCS</v>
      </c>
      <c r="AY1599" s="1" t="str">
        <f t="shared" si="1017"/>
        <v>PF</v>
      </c>
      <c r="AZ1599" s="1">
        <v>0</v>
      </c>
      <c r="BA1599" s="1">
        <v>0</v>
      </c>
      <c r="BB1599" s="1">
        <v>0</v>
      </c>
      <c r="BC1599" s="1">
        <v>0</v>
      </c>
      <c r="BD1599" s="1">
        <v>0</v>
      </c>
      <c r="BE1599" s="1" t="str">
        <f t="shared" si="1045"/>
        <v>RCS GOMMA TWILL CANVAS</v>
      </c>
      <c r="BF1599" s="1" t="str">
        <f t="shared" si="1018"/>
        <v>Bonis SpA</v>
      </c>
    </row>
    <row r="1600" spans="2:58" x14ac:dyDescent="0.25">
      <c r="B1600" s="1">
        <v>2563</v>
      </c>
      <c r="C1600" s="1" t="str">
        <f t="shared" si="1041"/>
        <v>MARCS4194S7/C1</v>
      </c>
      <c r="E1600" s="1" t="str">
        <f>"43"</f>
        <v>43</v>
      </c>
      <c r="F1600" s="1" t="str">
        <f t="shared" si="1007"/>
        <v>BONIS SPA</v>
      </c>
      <c r="G1600" s="1" t="str">
        <f t="shared" si="1038"/>
        <v>STOCK SCAFFALE MP</v>
      </c>
      <c r="H1600" s="1" t="str">
        <f>"BLK"</f>
        <v>BLK</v>
      </c>
      <c r="K1600" s="1">
        <v>1</v>
      </c>
      <c r="L1600" s="1" t="str">
        <f t="shared" si="1008"/>
        <v>01</v>
      </c>
      <c r="M1600" s="1" t="str">
        <f t="shared" si="1046"/>
        <v>409</v>
      </c>
      <c r="N1600" s="1" t="str">
        <f t="shared" si="1037"/>
        <v>015</v>
      </c>
      <c r="O1600" s="1" t="str">
        <f t="shared" si="1009"/>
        <v>00</v>
      </c>
      <c r="P1600" s="1" t="str">
        <f t="shared" si="1010"/>
        <v>S</v>
      </c>
      <c r="Q1600" s="1" t="str">
        <f t="shared" si="1011"/>
        <v>P</v>
      </c>
      <c r="R1600" s="1" t="str">
        <f t="shared" si="1012"/>
        <v>01</v>
      </c>
      <c r="S1600" s="1" t="str">
        <f t="shared" si="1039"/>
        <v>04</v>
      </c>
      <c r="T1600" s="1" t="str">
        <f t="shared" si="1013"/>
        <v>False</v>
      </c>
      <c r="U1600" s="1" t="str">
        <f t="shared" si="1014"/>
        <v>True</v>
      </c>
      <c r="V1600" s="1" t="str">
        <f t="shared" si="1048"/>
        <v>U0028294</v>
      </c>
      <c r="W1600" s="1">
        <v>1</v>
      </c>
      <c r="Y1600" s="1">
        <v>0</v>
      </c>
      <c r="Z1600" s="1">
        <v>0</v>
      </c>
      <c r="AB1600" s="1" t="str">
        <f t="shared" si="1047"/>
        <v>SMU</v>
      </c>
      <c r="AI1600" s="1" t="str">
        <f t="shared" si="1049"/>
        <v>106</v>
      </c>
      <c r="AJ1600" s="1" t="str">
        <f t="shared" si="1043"/>
        <v>MAN</v>
      </c>
      <c r="AK1600" s="1" t="str">
        <f t="shared" si="1015"/>
        <v>PA</v>
      </c>
      <c r="AP1600" s="1" t="str">
        <f t="shared" si="1016"/>
        <v>False</v>
      </c>
      <c r="AR1600" s="1" t="str">
        <f t="shared" si="1044"/>
        <v>MARCS</v>
      </c>
      <c r="AY1600" s="1" t="str">
        <f t="shared" si="1017"/>
        <v>PF</v>
      </c>
      <c r="AZ1600" s="1">
        <v>0</v>
      </c>
      <c r="BA1600" s="1">
        <v>0</v>
      </c>
      <c r="BB1600" s="1">
        <v>0</v>
      </c>
      <c r="BC1600" s="1">
        <v>0</v>
      </c>
      <c r="BD1600" s="1">
        <v>0</v>
      </c>
      <c r="BE1600" s="1" t="str">
        <f t="shared" si="1045"/>
        <v>RCS GOMMA TWILL CANVAS</v>
      </c>
      <c r="BF1600" s="1" t="str">
        <f t="shared" si="1018"/>
        <v>Bonis SpA</v>
      </c>
    </row>
    <row r="1601" spans="2:58" x14ac:dyDescent="0.25">
      <c r="B1601" s="1">
        <v>2563</v>
      </c>
      <c r="C1601" s="1" t="str">
        <f t="shared" si="1041"/>
        <v>MARCS4194S7/C1</v>
      </c>
      <c r="E1601" s="1" t="str">
        <f>"42"</f>
        <v>42</v>
      </c>
      <c r="F1601" s="1" t="str">
        <f t="shared" si="1007"/>
        <v>BONIS SPA</v>
      </c>
      <c r="G1601" s="1" t="str">
        <f t="shared" si="1038"/>
        <v>STOCK SCAFFALE MP</v>
      </c>
      <c r="H1601" s="1" t="str">
        <f>"WHI"</f>
        <v>WHI</v>
      </c>
      <c r="K1601" s="1">
        <v>1</v>
      </c>
      <c r="L1601" s="1" t="str">
        <f t="shared" si="1008"/>
        <v>01</v>
      </c>
      <c r="M1601" s="1" t="str">
        <f t="shared" si="1046"/>
        <v>409</v>
      </c>
      <c r="N1601" s="1" t="str">
        <f t="shared" si="1037"/>
        <v>015</v>
      </c>
      <c r="O1601" s="1" t="str">
        <f t="shared" si="1009"/>
        <v>00</v>
      </c>
      <c r="P1601" s="1" t="str">
        <f t="shared" si="1010"/>
        <v>S</v>
      </c>
      <c r="Q1601" s="1" t="str">
        <f t="shared" si="1011"/>
        <v>P</v>
      </c>
      <c r="R1601" s="1" t="str">
        <f t="shared" si="1012"/>
        <v>01</v>
      </c>
      <c r="S1601" s="1" t="str">
        <f t="shared" si="1039"/>
        <v>04</v>
      </c>
      <c r="T1601" s="1" t="str">
        <f t="shared" si="1013"/>
        <v>False</v>
      </c>
      <c r="U1601" s="1" t="str">
        <f t="shared" si="1014"/>
        <v>True</v>
      </c>
      <c r="V1601" s="1" t="str">
        <f>"U0028299"</f>
        <v>U0028299</v>
      </c>
      <c r="W1601" s="1">
        <v>1</v>
      </c>
      <c r="Y1601" s="1">
        <v>0</v>
      </c>
      <c r="Z1601" s="1">
        <v>0</v>
      </c>
      <c r="AB1601" s="1" t="str">
        <f t="shared" si="1047"/>
        <v>SMU</v>
      </c>
      <c r="AI1601" s="1" t="str">
        <f t="shared" si="1049"/>
        <v>106</v>
      </c>
      <c r="AJ1601" s="1" t="str">
        <f t="shared" si="1043"/>
        <v>MAN</v>
      </c>
      <c r="AK1601" s="1" t="str">
        <f t="shared" si="1015"/>
        <v>PA</v>
      </c>
      <c r="AP1601" s="1" t="str">
        <f t="shared" si="1016"/>
        <v>False</v>
      </c>
      <c r="AR1601" s="1" t="str">
        <f t="shared" si="1044"/>
        <v>MARCS</v>
      </c>
      <c r="AY1601" s="1" t="str">
        <f t="shared" si="1017"/>
        <v>PF</v>
      </c>
      <c r="AZ1601" s="1">
        <v>0</v>
      </c>
      <c r="BA1601" s="1">
        <v>0</v>
      </c>
      <c r="BB1601" s="1">
        <v>0</v>
      </c>
      <c r="BC1601" s="1">
        <v>0</v>
      </c>
      <c r="BD1601" s="1">
        <v>0</v>
      </c>
      <c r="BE1601" s="1" t="str">
        <f t="shared" si="1045"/>
        <v>RCS GOMMA TWILL CANVAS</v>
      </c>
      <c r="BF1601" s="1" t="str">
        <f t="shared" si="1018"/>
        <v>Bonis SpA</v>
      </c>
    </row>
    <row r="1602" spans="2:58" x14ac:dyDescent="0.25">
      <c r="B1602" s="1">
        <v>2563</v>
      </c>
      <c r="C1602" s="1" t="str">
        <f t="shared" si="1041"/>
        <v>MARCS4194S7/C1</v>
      </c>
      <c r="E1602" s="1" t="str">
        <f>"41"</f>
        <v>41</v>
      </c>
      <c r="F1602" s="1" t="str">
        <f t="shared" ref="F1602:F1665" si="1050">"BONIS SPA"</f>
        <v>BONIS SPA</v>
      </c>
      <c r="G1602" s="1" t="str">
        <f t="shared" si="1038"/>
        <v>STOCK SCAFFALE MP</v>
      </c>
      <c r="H1602" s="1" t="str">
        <f>"WHI"</f>
        <v>WHI</v>
      </c>
      <c r="K1602" s="1">
        <v>2</v>
      </c>
      <c r="L1602" s="1" t="str">
        <f t="shared" ref="L1602:L1665" si="1051">"01"</f>
        <v>01</v>
      </c>
      <c r="M1602" s="1" t="str">
        <f t="shared" si="1046"/>
        <v>409</v>
      </c>
      <c r="N1602" s="1" t="str">
        <f t="shared" si="1037"/>
        <v>015</v>
      </c>
      <c r="O1602" s="1" t="str">
        <f t="shared" ref="O1602:O1665" si="1052">"00"</f>
        <v>00</v>
      </c>
      <c r="P1602" s="1" t="str">
        <f t="shared" ref="P1602:P1665" si="1053">"S"</f>
        <v>S</v>
      </c>
      <c r="Q1602" s="1" t="str">
        <f t="shared" ref="Q1602:Q1665" si="1054">"P"</f>
        <v>P</v>
      </c>
      <c r="R1602" s="1" t="str">
        <f t="shared" ref="R1602:R1665" si="1055">"01"</f>
        <v>01</v>
      </c>
      <c r="S1602" s="1" t="str">
        <f t="shared" si="1039"/>
        <v>04</v>
      </c>
      <c r="T1602" s="1" t="str">
        <f t="shared" ref="T1602:T1665" si="1056">"False"</f>
        <v>False</v>
      </c>
      <c r="U1602" s="1" t="str">
        <f t="shared" ref="U1602:U1665" si="1057">"True"</f>
        <v>True</v>
      </c>
      <c r="V1602" s="1" t="str">
        <f>"U0028299"</f>
        <v>U0028299</v>
      </c>
      <c r="W1602" s="1">
        <v>1</v>
      </c>
      <c r="Y1602" s="1">
        <v>0</v>
      </c>
      <c r="Z1602" s="1">
        <v>0</v>
      </c>
      <c r="AB1602" s="1" t="str">
        <f t="shared" si="1047"/>
        <v>SMU</v>
      </c>
      <c r="AI1602" s="1" t="str">
        <f t="shared" si="1049"/>
        <v>106</v>
      </c>
      <c r="AJ1602" s="1" t="str">
        <f t="shared" si="1043"/>
        <v>MAN</v>
      </c>
      <c r="AK1602" s="1" t="str">
        <f t="shared" ref="AK1602:AK1665" si="1058">"PA"</f>
        <v>PA</v>
      </c>
      <c r="AP1602" s="1" t="str">
        <f t="shared" ref="AP1602:AP1665" si="1059">"False"</f>
        <v>False</v>
      </c>
      <c r="AR1602" s="1" t="str">
        <f t="shared" si="1044"/>
        <v>MARCS</v>
      </c>
      <c r="AY1602" s="1" t="str">
        <f t="shared" ref="AY1602:AY1665" si="1060">"PF"</f>
        <v>PF</v>
      </c>
      <c r="AZ1602" s="1">
        <v>0</v>
      </c>
      <c r="BA1602" s="1">
        <v>0</v>
      </c>
      <c r="BB1602" s="1">
        <v>0</v>
      </c>
      <c r="BC1602" s="1">
        <v>0</v>
      </c>
      <c r="BD1602" s="1">
        <v>0</v>
      </c>
      <c r="BE1602" s="1" t="str">
        <f t="shared" si="1045"/>
        <v>RCS GOMMA TWILL CANVAS</v>
      </c>
      <c r="BF1602" s="1" t="str">
        <f t="shared" ref="BF1602:BF1665" si="1061">"Bonis SpA"</f>
        <v>Bonis SpA</v>
      </c>
    </row>
    <row r="1603" spans="2:58" x14ac:dyDescent="0.25">
      <c r="B1603" s="1">
        <v>2563</v>
      </c>
      <c r="C1603" s="1" t="str">
        <f t="shared" si="1041"/>
        <v>MARCS4194S7/C1</v>
      </c>
      <c r="E1603" s="1" t="str">
        <f>"45"</f>
        <v>45</v>
      </c>
      <c r="F1603" s="1" t="str">
        <f t="shared" si="1050"/>
        <v>BONIS SPA</v>
      </c>
      <c r="G1603" s="1" t="str">
        <f t="shared" si="1038"/>
        <v>STOCK SCAFFALE MP</v>
      </c>
      <c r="H1603" s="1" t="str">
        <f>"WHI"</f>
        <v>WHI</v>
      </c>
      <c r="K1603" s="1">
        <v>1</v>
      </c>
      <c r="L1603" s="1" t="str">
        <f t="shared" si="1051"/>
        <v>01</v>
      </c>
      <c r="M1603" s="1" t="str">
        <f t="shared" si="1046"/>
        <v>409</v>
      </c>
      <c r="N1603" s="1" t="str">
        <f t="shared" si="1037"/>
        <v>015</v>
      </c>
      <c r="O1603" s="1" t="str">
        <f t="shared" si="1052"/>
        <v>00</v>
      </c>
      <c r="P1603" s="1" t="str">
        <f t="shared" si="1053"/>
        <v>S</v>
      </c>
      <c r="Q1603" s="1" t="str">
        <f t="shared" si="1054"/>
        <v>P</v>
      </c>
      <c r="R1603" s="1" t="str">
        <f t="shared" si="1055"/>
        <v>01</v>
      </c>
      <c r="S1603" s="1" t="str">
        <f t="shared" si="1039"/>
        <v>04</v>
      </c>
      <c r="T1603" s="1" t="str">
        <f t="shared" si="1056"/>
        <v>False</v>
      </c>
      <c r="U1603" s="1" t="str">
        <f t="shared" si="1057"/>
        <v>True</v>
      </c>
      <c r="V1603" s="1" t="str">
        <f>"U0028297"</f>
        <v>U0028297</v>
      </c>
      <c r="W1603" s="1">
        <v>1</v>
      </c>
      <c r="Y1603" s="1">
        <v>0</v>
      </c>
      <c r="Z1603" s="1">
        <v>0</v>
      </c>
      <c r="AB1603" s="1" t="str">
        <f t="shared" si="1047"/>
        <v>SMU</v>
      </c>
      <c r="AI1603" s="1" t="str">
        <f t="shared" si="1049"/>
        <v>106</v>
      </c>
      <c r="AJ1603" s="1" t="str">
        <f t="shared" si="1043"/>
        <v>MAN</v>
      </c>
      <c r="AK1603" s="1" t="str">
        <f t="shared" si="1058"/>
        <v>PA</v>
      </c>
      <c r="AP1603" s="1" t="str">
        <f t="shared" si="1059"/>
        <v>False</v>
      </c>
      <c r="AR1603" s="1" t="str">
        <f t="shared" si="1044"/>
        <v>MARCS</v>
      </c>
      <c r="AY1603" s="1" t="str">
        <f t="shared" si="1060"/>
        <v>PF</v>
      </c>
      <c r="AZ1603" s="1">
        <v>0</v>
      </c>
      <c r="BA1603" s="1">
        <v>0</v>
      </c>
      <c r="BB1603" s="1">
        <v>0</v>
      </c>
      <c r="BC1603" s="1">
        <v>0</v>
      </c>
      <c r="BD1603" s="1">
        <v>0</v>
      </c>
      <c r="BE1603" s="1" t="str">
        <f t="shared" si="1045"/>
        <v>RCS GOMMA TWILL CANVAS</v>
      </c>
      <c r="BF1603" s="1" t="str">
        <f t="shared" si="1061"/>
        <v>Bonis SpA</v>
      </c>
    </row>
    <row r="1604" spans="2:58" x14ac:dyDescent="0.25">
      <c r="B1604" s="1">
        <v>2563</v>
      </c>
      <c r="C1604" s="1" t="str">
        <f t="shared" si="1041"/>
        <v>MARCS4194S7/C1</v>
      </c>
      <c r="E1604" s="1" t="str">
        <f>"44"</f>
        <v>44</v>
      </c>
      <c r="F1604" s="1" t="str">
        <f t="shared" si="1050"/>
        <v>BONIS SPA</v>
      </c>
      <c r="G1604" s="1" t="str">
        <f t="shared" si="1038"/>
        <v>STOCK SCAFFALE MP</v>
      </c>
      <c r="H1604" s="1" t="str">
        <f>"WHI"</f>
        <v>WHI</v>
      </c>
      <c r="K1604" s="1">
        <v>1</v>
      </c>
      <c r="L1604" s="1" t="str">
        <f t="shared" si="1051"/>
        <v>01</v>
      </c>
      <c r="M1604" s="1" t="str">
        <f t="shared" si="1046"/>
        <v>409</v>
      </c>
      <c r="N1604" s="1" t="str">
        <f t="shared" si="1037"/>
        <v>015</v>
      </c>
      <c r="O1604" s="1" t="str">
        <f t="shared" si="1052"/>
        <v>00</v>
      </c>
      <c r="P1604" s="1" t="str">
        <f t="shared" si="1053"/>
        <v>S</v>
      </c>
      <c r="Q1604" s="1" t="str">
        <f t="shared" si="1054"/>
        <v>P</v>
      </c>
      <c r="R1604" s="1" t="str">
        <f t="shared" si="1055"/>
        <v>01</v>
      </c>
      <c r="S1604" s="1" t="str">
        <f t="shared" si="1039"/>
        <v>04</v>
      </c>
      <c r="T1604" s="1" t="str">
        <f t="shared" si="1056"/>
        <v>False</v>
      </c>
      <c r="U1604" s="1" t="str">
        <f t="shared" si="1057"/>
        <v>True</v>
      </c>
      <c r="V1604" s="1" t="str">
        <f>"U0028299"</f>
        <v>U0028299</v>
      </c>
      <c r="W1604" s="1">
        <v>1</v>
      </c>
      <c r="Y1604" s="1">
        <v>0</v>
      </c>
      <c r="Z1604" s="1">
        <v>0</v>
      </c>
      <c r="AB1604" s="1" t="str">
        <f t="shared" si="1047"/>
        <v>SMU</v>
      </c>
      <c r="AI1604" s="1" t="str">
        <f t="shared" si="1049"/>
        <v>106</v>
      </c>
      <c r="AJ1604" s="1" t="str">
        <f t="shared" si="1043"/>
        <v>MAN</v>
      </c>
      <c r="AK1604" s="1" t="str">
        <f t="shared" si="1058"/>
        <v>PA</v>
      </c>
      <c r="AP1604" s="1" t="str">
        <f t="shared" si="1059"/>
        <v>False</v>
      </c>
      <c r="AR1604" s="1" t="str">
        <f t="shared" si="1044"/>
        <v>MARCS</v>
      </c>
      <c r="AY1604" s="1" t="str">
        <f t="shared" si="1060"/>
        <v>PF</v>
      </c>
      <c r="AZ1604" s="1">
        <v>0</v>
      </c>
      <c r="BA1604" s="1">
        <v>0</v>
      </c>
      <c r="BB1604" s="1">
        <v>0</v>
      </c>
      <c r="BC1604" s="1">
        <v>0</v>
      </c>
      <c r="BD1604" s="1">
        <v>0</v>
      </c>
      <c r="BE1604" s="1" t="str">
        <f t="shared" si="1045"/>
        <v>RCS GOMMA TWILL CANVAS</v>
      </c>
      <c r="BF1604" s="1" t="str">
        <f t="shared" si="1061"/>
        <v>Bonis SpA</v>
      </c>
    </row>
    <row r="1605" spans="2:58" x14ac:dyDescent="0.25">
      <c r="B1605" s="1">
        <v>2563</v>
      </c>
      <c r="C1605" s="1" t="str">
        <f t="shared" si="1041"/>
        <v>MARCS4194S7/C1</v>
      </c>
      <c r="E1605" s="1" t="str">
        <f>"43"</f>
        <v>43</v>
      </c>
      <c r="F1605" s="1" t="str">
        <f t="shared" si="1050"/>
        <v>BONIS SPA</v>
      </c>
      <c r="G1605" s="1" t="str">
        <f t="shared" si="1038"/>
        <v>STOCK SCAFFALE MP</v>
      </c>
      <c r="H1605" s="1" t="str">
        <f>"WHI"</f>
        <v>WHI</v>
      </c>
      <c r="K1605" s="1">
        <v>2</v>
      </c>
      <c r="L1605" s="1" t="str">
        <f t="shared" si="1051"/>
        <v>01</v>
      </c>
      <c r="M1605" s="1" t="str">
        <f t="shared" si="1046"/>
        <v>409</v>
      </c>
      <c r="N1605" s="1" t="str">
        <f t="shared" si="1037"/>
        <v>015</v>
      </c>
      <c r="O1605" s="1" t="str">
        <f t="shared" si="1052"/>
        <v>00</v>
      </c>
      <c r="P1605" s="1" t="str">
        <f t="shared" si="1053"/>
        <v>S</v>
      </c>
      <c r="Q1605" s="1" t="str">
        <f t="shared" si="1054"/>
        <v>P</v>
      </c>
      <c r="R1605" s="1" t="str">
        <f t="shared" si="1055"/>
        <v>01</v>
      </c>
      <c r="S1605" s="1" t="str">
        <f t="shared" si="1039"/>
        <v>04</v>
      </c>
      <c r="T1605" s="1" t="str">
        <f t="shared" si="1056"/>
        <v>False</v>
      </c>
      <c r="U1605" s="1" t="str">
        <f t="shared" si="1057"/>
        <v>True</v>
      </c>
      <c r="V1605" s="1" t="str">
        <f>"U0028299"</f>
        <v>U0028299</v>
      </c>
      <c r="W1605" s="1">
        <v>1</v>
      </c>
      <c r="Y1605" s="1">
        <v>0</v>
      </c>
      <c r="Z1605" s="1">
        <v>0</v>
      </c>
      <c r="AB1605" s="1" t="str">
        <f t="shared" si="1047"/>
        <v>SMU</v>
      </c>
      <c r="AI1605" s="1" t="str">
        <f t="shared" si="1049"/>
        <v>106</v>
      </c>
      <c r="AJ1605" s="1" t="str">
        <f t="shared" si="1043"/>
        <v>MAN</v>
      </c>
      <c r="AK1605" s="1" t="str">
        <f t="shared" si="1058"/>
        <v>PA</v>
      </c>
      <c r="AP1605" s="1" t="str">
        <f t="shared" si="1059"/>
        <v>False</v>
      </c>
      <c r="AR1605" s="1" t="str">
        <f t="shared" si="1044"/>
        <v>MARCS</v>
      </c>
      <c r="AY1605" s="1" t="str">
        <f t="shared" si="1060"/>
        <v>PF</v>
      </c>
      <c r="AZ1605" s="1">
        <v>0</v>
      </c>
      <c r="BA1605" s="1">
        <v>0</v>
      </c>
      <c r="BB1605" s="1">
        <v>0</v>
      </c>
      <c r="BC1605" s="1">
        <v>0</v>
      </c>
      <c r="BD1605" s="1">
        <v>0</v>
      </c>
      <c r="BE1605" s="1" t="str">
        <f t="shared" si="1045"/>
        <v>RCS GOMMA TWILL CANVAS</v>
      </c>
      <c r="BF1605" s="1" t="str">
        <f t="shared" si="1061"/>
        <v>Bonis SpA</v>
      </c>
    </row>
    <row r="1606" spans="2:58" x14ac:dyDescent="0.25">
      <c r="B1606" s="1">
        <v>2563</v>
      </c>
      <c r="C1606" s="1" t="str">
        <f t="shared" si="1041"/>
        <v>MARCS4194S7/C1</v>
      </c>
      <c r="E1606" s="1" t="str">
        <f>"43"</f>
        <v>43</v>
      </c>
      <c r="F1606" s="1" t="str">
        <f t="shared" si="1050"/>
        <v>BONIS SPA</v>
      </c>
      <c r="G1606" s="1" t="str">
        <f t="shared" si="1038"/>
        <v>STOCK SCAFFALE MP</v>
      </c>
      <c r="H1606" s="1" t="str">
        <f>"BLK"</f>
        <v>BLK</v>
      </c>
      <c r="K1606" s="1">
        <v>2</v>
      </c>
      <c r="L1606" s="1" t="str">
        <f t="shared" si="1051"/>
        <v>01</v>
      </c>
      <c r="M1606" s="1" t="str">
        <f t="shared" si="1046"/>
        <v>409</v>
      </c>
      <c r="N1606" s="1" t="str">
        <f t="shared" si="1037"/>
        <v>015</v>
      </c>
      <c r="O1606" s="1" t="str">
        <f t="shared" si="1052"/>
        <v>00</v>
      </c>
      <c r="P1606" s="1" t="str">
        <f t="shared" si="1053"/>
        <v>S</v>
      </c>
      <c r="Q1606" s="1" t="str">
        <f t="shared" si="1054"/>
        <v>P</v>
      </c>
      <c r="R1606" s="1" t="str">
        <f t="shared" si="1055"/>
        <v>01</v>
      </c>
      <c r="S1606" s="1" t="str">
        <f t="shared" si="1039"/>
        <v>04</v>
      </c>
      <c r="T1606" s="1" t="str">
        <f t="shared" si="1056"/>
        <v>False</v>
      </c>
      <c r="U1606" s="1" t="str">
        <f t="shared" si="1057"/>
        <v>True</v>
      </c>
      <c r="V1606" s="1" t="str">
        <f>"U0028297"</f>
        <v>U0028297</v>
      </c>
      <c r="W1606" s="1">
        <v>1</v>
      </c>
      <c r="Y1606" s="1">
        <v>0</v>
      </c>
      <c r="Z1606" s="1">
        <v>0</v>
      </c>
      <c r="AB1606" s="1" t="str">
        <f t="shared" si="1047"/>
        <v>SMU</v>
      </c>
      <c r="AI1606" s="1" t="str">
        <f t="shared" ref="AI1606:AI1617" si="1062">"F11"</f>
        <v>F11</v>
      </c>
      <c r="AJ1606" s="1" t="str">
        <f t="shared" si="1043"/>
        <v>MAN</v>
      </c>
      <c r="AK1606" s="1" t="str">
        <f t="shared" si="1058"/>
        <v>PA</v>
      </c>
      <c r="AP1606" s="1" t="str">
        <f t="shared" si="1059"/>
        <v>False</v>
      </c>
      <c r="AR1606" s="1" t="str">
        <f t="shared" si="1044"/>
        <v>MARCS</v>
      </c>
      <c r="AY1606" s="1" t="str">
        <f t="shared" si="1060"/>
        <v>PF</v>
      </c>
      <c r="AZ1606" s="1">
        <v>0</v>
      </c>
      <c r="BA1606" s="1">
        <v>0</v>
      </c>
      <c r="BB1606" s="1">
        <v>0</v>
      </c>
      <c r="BC1606" s="1">
        <v>0</v>
      </c>
      <c r="BD1606" s="1">
        <v>0</v>
      </c>
      <c r="BE1606" s="1" t="str">
        <f t="shared" si="1045"/>
        <v>RCS GOMMA TWILL CANVAS</v>
      </c>
      <c r="BF1606" s="1" t="str">
        <f t="shared" si="1061"/>
        <v>Bonis SpA</v>
      </c>
    </row>
    <row r="1607" spans="2:58" x14ac:dyDescent="0.25">
      <c r="B1607" s="1">
        <v>2563</v>
      </c>
      <c r="C1607" s="1" t="str">
        <f t="shared" si="1041"/>
        <v>MARCS4194S7/C1</v>
      </c>
      <c r="E1607" s="1" t="str">
        <f>"43"</f>
        <v>43</v>
      </c>
      <c r="F1607" s="1" t="str">
        <f t="shared" si="1050"/>
        <v>BONIS SPA</v>
      </c>
      <c r="G1607" s="1" t="str">
        <f t="shared" si="1038"/>
        <v>STOCK SCAFFALE MP</v>
      </c>
      <c r="H1607" s="1" t="str">
        <f>"DKBL"</f>
        <v>DKBL</v>
      </c>
      <c r="K1607" s="1">
        <v>1</v>
      </c>
      <c r="L1607" s="1" t="str">
        <f t="shared" si="1051"/>
        <v>01</v>
      </c>
      <c r="M1607" s="1" t="str">
        <f t="shared" si="1046"/>
        <v>409</v>
      </c>
      <c r="N1607" s="1" t="str">
        <f t="shared" si="1037"/>
        <v>015</v>
      </c>
      <c r="O1607" s="1" t="str">
        <f t="shared" si="1052"/>
        <v>00</v>
      </c>
      <c r="P1607" s="1" t="str">
        <f t="shared" si="1053"/>
        <v>S</v>
      </c>
      <c r="Q1607" s="1" t="str">
        <f t="shared" si="1054"/>
        <v>P</v>
      </c>
      <c r="R1607" s="1" t="str">
        <f t="shared" si="1055"/>
        <v>01</v>
      </c>
      <c r="S1607" s="1" t="str">
        <f t="shared" si="1039"/>
        <v>04</v>
      </c>
      <c r="T1607" s="1" t="str">
        <f t="shared" si="1056"/>
        <v>False</v>
      </c>
      <c r="U1607" s="1" t="str">
        <f t="shared" si="1057"/>
        <v>True</v>
      </c>
      <c r="V1607" s="1" t="str">
        <f>"U0028297"</f>
        <v>U0028297</v>
      </c>
      <c r="W1607" s="1">
        <v>1</v>
      </c>
      <c r="Y1607" s="1">
        <v>0</v>
      </c>
      <c r="Z1607" s="1">
        <v>0</v>
      </c>
      <c r="AB1607" s="1" t="str">
        <f t="shared" si="1047"/>
        <v>SMU</v>
      </c>
      <c r="AI1607" s="1" t="str">
        <f t="shared" si="1062"/>
        <v>F11</v>
      </c>
      <c r="AJ1607" s="1" t="str">
        <f t="shared" si="1043"/>
        <v>MAN</v>
      </c>
      <c r="AK1607" s="1" t="str">
        <f t="shared" si="1058"/>
        <v>PA</v>
      </c>
      <c r="AP1607" s="1" t="str">
        <f t="shared" si="1059"/>
        <v>False</v>
      </c>
      <c r="AR1607" s="1" t="str">
        <f t="shared" si="1044"/>
        <v>MARCS</v>
      </c>
      <c r="AY1607" s="1" t="str">
        <f t="shared" si="1060"/>
        <v>PF</v>
      </c>
      <c r="AZ1607" s="1">
        <v>0</v>
      </c>
      <c r="BA1607" s="1">
        <v>0</v>
      </c>
      <c r="BB1607" s="1">
        <v>0</v>
      </c>
      <c r="BC1607" s="1">
        <v>0</v>
      </c>
      <c r="BD1607" s="1">
        <v>0</v>
      </c>
      <c r="BE1607" s="1" t="str">
        <f t="shared" si="1045"/>
        <v>RCS GOMMA TWILL CANVAS</v>
      </c>
      <c r="BF1607" s="1" t="str">
        <f t="shared" si="1061"/>
        <v>Bonis SpA</v>
      </c>
    </row>
    <row r="1608" spans="2:58" x14ac:dyDescent="0.25">
      <c r="B1608" s="1">
        <v>2563</v>
      </c>
      <c r="C1608" s="1" t="str">
        <f t="shared" si="1041"/>
        <v>MARCS4194S7/C1</v>
      </c>
      <c r="E1608" s="1" t="str">
        <f>"41"</f>
        <v>41</v>
      </c>
      <c r="F1608" s="1" t="str">
        <f t="shared" si="1050"/>
        <v>BONIS SPA</v>
      </c>
      <c r="G1608" s="1" t="str">
        <f t="shared" si="1038"/>
        <v>STOCK SCAFFALE MP</v>
      </c>
      <c r="H1608" s="1" t="str">
        <f>"DKBL"</f>
        <v>DKBL</v>
      </c>
      <c r="K1608" s="1">
        <v>2</v>
      </c>
      <c r="L1608" s="1" t="str">
        <f t="shared" si="1051"/>
        <v>01</v>
      </c>
      <c r="M1608" s="1" t="str">
        <f t="shared" si="1046"/>
        <v>409</v>
      </c>
      <c r="N1608" s="1" t="str">
        <f t="shared" si="1037"/>
        <v>015</v>
      </c>
      <c r="O1608" s="1" t="str">
        <f t="shared" si="1052"/>
        <v>00</v>
      </c>
      <c r="P1608" s="1" t="str">
        <f t="shared" si="1053"/>
        <v>S</v>
      </c>
      <c r="Q1608" s="1" t="str">
        <f t="shared" si="1054"/>
        <v>P</v>
      </c>
      <c r="R1608" s="1" t="str">
        <f t="shared" si="1055"/>
        <v>01</v>
      </c>
      <c r="S1608" s="1" t="str">
        <f t="shared" si="1039"/>
        <v>04</v>
      </c>
      <c r="T1608" s="1" t="str">
        <f t="shared" si="1056"/>
        <v>False</v>
      </c>
      <c r="U1608" s="1" t="str">
        <f t="shared" si="1057"/>
        <v>True</v>
      </c>
      <c r="V1608" s="1" t="str">
        <f>"U0028297"</f>
        <v>U0028297</v>
      </c>
      <c r="W1608" s="1">
        <v>1</v>
      </c>
      <c r="Y1608" s="1">
        <v>0</v>
      </c>
      <c r="Z1608" s="1">
        <v>0</v>
      </c>
      <c r="AB1608" s="1" t="str">
        <f t="shared" si="1047"/>
        <v>SMU</v>
      </c>
      <c r="AI1608" s="1" t="str">
        <f t="shared" si="1062"/>
        <v>F11</v>
      </c>
      <c r="AJ1608" s="1" t="str">
        <f t="shared" si="1043"/>
        <v>MAN</v>
      </c>
      <c r="AK1608" s="1" t="str">
        <f t="shared" si="1058"/>
        <v>PA</v>
      </c>
      <c r="AP1608" s="1" t="str">
        <f t="shared" si="1059"/>
        <v>False</v>
      </c>
      <c r="AR1608" s="1" t="str">
        <f t="shared" si="1044"/>
        <v>MARCS</v>
      </c>
      <c r="AY1608" s="1" t="str">
        <f t="shared" si="1060"/>
        <v>PF</v>
      </c>
      <c r="AZ1608" s="1">
        <v>0</v>
      </c>
      <c r="BA1608" s="1">
        <v>0</v>
      </c>
      <c r="BB1608" s="1">
        <v>0</v>
      </c>
      <c r="BC1608" s="1">
        <v>0</v>
      </c>
      <c r="BD1608" s="1">
        <v>0</v>
      </c>
      <c r="BE1608" s="1" t="str">
        <f t="shared" si="1045"/>
        <v>RCS GOMMA TWILL CANVAS</v>
      </c>
      <c r="BF1608" s="1" t="str">
        <f t="shared" si="1061"/>
        <v>Bonis SpA</v>
      </c>
    </row>
    <row r="1609" spans="2:58" x14ac:dyDescent="0.25">
      <c r="B1609" s="1">
        <v>2563</v>
      </c>
      <c r="C1609" s="1" t="str">
        <f t="shared" si="1041"/>
        <v>MARCS4194S7/C1</v>
      </c>
      <c r="E1609" s="1" t="str">
        <f>"42"</f>
        <v>42</v>
      </c>
      <c r="F1609" s="1" t="str">
        <f t="shared" si="1050"/>
        <v>BONIS SPA</v>
      </c>
      <c r="G1609" s="1" t="str">
        <f t="shared" si="1038"/>
        <v>STOCK SCAFFALE MP</v>
      </c>
      <c r="H1609" s="1" t="str">
        <f>"DKBL"</f>
        <v>DKBL</v>
      </c>
      <c r="K1609" s="1">
        <v>3</v>
      </c>
      <c r="L1609" s="1" t="str">
        <f t="shared" si="1051"/>
        <v>01</v>
      </c>
      <c r="M1609" s="1" t="str">
        <f t="shared" si="1046"/>
        <v>409</v>
      </c>
      <c r="N1609" s="1" t="str">
        <f t="shared" si="1037"/>
        <v>015</v>
      </c>
      <c r="O1609" s="1" t="str">
        <f t="shared" si="1052"/>
        <v>00</v>
      </c>
      <c r="P1609" s="1" t="str">
        <f t="shared" si="1053"/>
        <v>S</v>
      </c>
      <c r="Q1609" s="1" t="str">
        <f t="shared" si="1054"/>
        <v>P</v>
      </c>
      <c r="R1609" s="1" t="str">
        <f t="shared" si="1055"/>
        <v>01</v>
      </c>
      <c r="S1609" s="1" t="str">
        <f t="shared" si="1039"/>
        <v>04</v>
      </c>
      <c r="T1609" s="1" t="str">
        <f t="shared" si="1056"/>
        <v>False</v>
      </c>
      <c r="U1609" s="1" t="str">
        <f t="shared" si="1057"/>
        <v>True</v>
      </c>
      <c r="V1609" s="1" t="str">
        <f>"U0028297"</f>
        <v>U0028297</v>
      </c>
      <c r="W1609" s="1">
        <v>1</v>
      </c>
      <c r="Y1609" s="1">
        <v>0</v>
      </c>
      <c r="Z1609" s="1">
        <v>0</v>
      </c>
      <c r="AB1609" s="1" t="str">
        <f t="shared" si="1047"/>
        <v>SMU</v>
      </c>
      <c r="AI1609" s="1" t="str">
        <f t="shared" si="1062"/>
        <v>F11</v>
      </c>
      <c r="AJ1609" s="1" t="str">
        <f t="shared" si="1043"/>
        <v>MAN</v>
      </c>
      <c r="AK1609" s="1" t="str">
        <f t="shared" si="1058"/>
        <v>PA</v>
      </c>
      <c r="AP1609" s="1" t="str">
        <f t="shared" si="1059"/>
        <v>False</v>
      </c>
      <c r="AR1609" s="1" t="str">
        <f t="shared" si="1044"/>
        <v>MARCS</v>
      </c>
      <c r="AY1609" s="1" t="str">
        <f t="shared" si="1060"/>
        <v>PF</v>
      </c>
      <c r="AZ1609" s="1">
        <v>0</v>
      </c>
      <c r="BA1609" s="1">
        <v>0</v>
      </c>
      <c r="BB1609" s="1">
        <v>0</v>
      </c>
      <c r="BC1609" s="1">
        <v>0</v>
      </c>
      <c r="BD1609" s="1">
        <v>0</v>
      </c>
      <c r="BE1609" s="1" t="str">
        <f t="shared" si="1045"/>
        <v>RCS GOMMA TWILL CANVAS</v>
      </c>
      <c r="BF1609" s="1" t="str">
        <f t="shared" si="1061"/>
        <v>Bonis SpA</v>
      </c>
    </row>
    <row r="1610" spans="2:58" x14ac:dyDescent="0.25">
      <c r="B1610" s="1">
        <v>2563</v>
      </c>
      <c r="C1610" s="1" t="str">
        <f t="shared" si="1041"/>
        <v>MARCS4194S7/C1</v>
      </c>
      <c r="E1610" s="1" t="str">
        <f>"42"</f>
        <v>42</v>
      </c>
      <c r="F1610" s="1" t="str">
        <f t="shared" si="1050"/>
        <v>BONIS SPA</v>
      </c>
      <c r="G1610" s="1" t="str">
        <f t="shared" si="1038"/>
        <v>STOCK SCAFFALE MP</v>
      </c>
      <c r="H1610" s="1" t="str">
        <f>"DKBL"</f>
        <v>DKBL</v>
      </c>
      <c r="K1610" s="1">
        <v>2</v>
      </c>
      <c r="L1610" s="1" t="str">
        <f t="shared" si="1051"/>
        <v>01</v>
      </c>
      <c r="M1610" s="1" t="str">
        <f t="shared" si="1046"/>
        <v>409</v>
      </c>
      <c r="N1610" s="1" t="str">
        <f t="shared" si="1037"/>
        <v>015</v>
      </c>
      <c r="O1610" s="1" t="str">
        <f t="shared" si="1052"/>
        <v>00</v>
      </c>
      <c r="P1610" s="1" t="str">
        <f t="shared" si="1053"/>
        <v>S</v>
      </c>
      <c r="Q1610" s="1" t="str">
        <f t="shared" si="1054"/>
        <v>P</v>
      </c>
      <c r="R1610" s="1" t="str">
        <f t="shared" si="1055"/>
        <v>01</v>
      </c>
      <c r="S1610" s="1" t="str">
        <f t="shared" si="1039"/>
        <v>04</v>
      </c>
      <c r="T1610" s="1" t="str">
        <f t="shared" si="1056"/>
        <v>False</v>
      </c>
      <c r="U1610" s="1" t="str">
        <f t="shared" si="1057"/>
        <v>True</v>
      </c>
      <c r="V1610" s="1" t="str">
        <f>"U0028299"</f>
        <v>U0028299</v>
      </c>
      <c r="W1610" s="1">
        <v>1</v>
      </c>
      <c r="Y1610" s="1">
        <v>0</v>
      </c>
      <c r="Z1610" s="1">
        <v>0</v>
      </c>
      <c r="AB1610" s="1" t="str">
        <f t="shared" si="1047"/>
        <v>SMU</v>
      </c>
      <c r="AI1610" s="1" t="str">
        <f t="shared" si="1062"/>
        <v>F11</v>
      </c>
      <c r="AJ1610" s="1" t="str">
        <f t="shared" si="1043"/>
        <v>MAN</v>
      </c>
      <c r="AK1610" s="1" t="str">
        <f t="shared" si="1058"/>
        <v>PA</v>
      </c>
      <c r="AP1610" s="1" t="str">
        <f t="shared" si="1059"/>
        <v>False</v>
      </c>
      <c r="AR1610" s="1" t="str">
        <f t="shared" si="1044"/>
        <v>MARCS</v>
      </c>
      <c r="AY1610" s="1" t="str">
        <f t="shared" si="1060"/>
        <v>PF</v>
      </c>
      <c r="AZ1610" s="1">
        <v>0</v>
      </c>
      <c r="BA1610" s="1">
        <v>0</v>
      </c>
      <c r="BB1610" s="1">
        <v>0</v>
      </c>
      <c r="BC1610" s="1">
        <v>0</v>
      </c>
      <c r="BD1610" s="1">
        <v>0</v>
      </c>
      <c r="BE1610" s="1" t="str">
        <f t="shared" si="1045"/>
        <v>RCS GOMMA TWILL CANVAS</v>
      </c>
      <c r="BF1610" s="1" t="str">
        <f t="shared" si="1061"/>
        <v>Bonis SpA</v>
      </c>
    </row>
    <row r="1611" spans="2:58" x14ac:dyDescent="0.25">
      <c r="B1611" s="1">
        <v>2563</v>
      </c>
      <c r="C1611" s="1" t="str">
        <f t="shared" si="1041"/>
        <v>MARCS4194S7/C1</v>
      </c>
      <c r="E1611" s="1" t="str">
        <f>"41"</f>
        <v>41</v>
      </c>
      <c r="F1611" s="1" t="str">
        <f t="shared" si="1050"/>
        <v>BONIS SPA</v>
      </c>
      <c r="G1611" s="1" t="str">
        <f t="shared" si="1038"/>
        <v>STOCK SCAFFALE MP</v>
      </c>
      <c r="H1611" s="1" t="str">
        <f>"DKBL"</f>
        <v>DKBL</v>
      </c>
      <c r="K1611" s="1">
        <v>1</v>
      </c>
      <c r="L1611" s="1" t="str">
        <f t="shared" si="1051"/>
        <v>01</v>
      </c>
      <c r="M1611" s="1" t="str">
        <f t="shared" si="1046"/>
        <v>409</v>
      </c>
      <c r="N1611" s="1" t="str">
        <f t="shared" si="1037"/>
        <v>015</v>
      </c>
      <c r="O1611" s="1" t="str">
        <f t="shared" si="1052"/>
        <v>00</v>
      </c>
      <c r="P1611" s="1" t="str">
        <f t="shared" si="1053"/>
        <v>S</v>
      </c>
      <c r="Q1611" s="1" t="str">
        <f t="shared" si="1054"/>
        <v>P</v>
      </c>
      <c r="R1611" s="1" t="str">
        <f t="shared" si="1055"/>
        <v>01</v>
      </c>
      <c r="S1611" s="1" t="str">
        <f t="shared" si="1039"/>
        <v>04</v>
      </c>
      <c r="T1611" s="1" t="str">
        <f t="shared" si="1056"/>
        <v>False</v>
      </c>
      <c r="U1611" s="1" t="str">
        <f t="shared" si="1057"/>
        <v>True</v>
      </c>
      <c r="V1611" s="1" t="str">
        <f>"U0028299"</f>
        <v>U0028299</v>
      </c>
      <c r="W1611" s="1">
        <v>1</v>
      </c>
      <c r="Y1611" s="1">
        <v>0</v>
      </c>
      <c r="Z1611" s="1">
        <v>0</v>
      </c>
      <c r="AB1611" s="1" t="str">
        <f t="shared" si="1047"/>
        <v>SMU</v>
      </c>
      <c r="AI1611" s="1" t="str">
        <f t="shared" si="1062"/>
        <v>F11</v>
      </c>
      <c r="AJ1611" s="1" t="str">
        <f t="shared" si="1043"/>
        <v>MAN</v>
      </c>
      <c r="AK1611" s="1" t="str">
        <f t="shared" si="1058"/>
        <v>PA</v>
      </c>
      <c r="AP1611" s="1" t="str">
        <f t="shared" si="1059"/>
        <v>False</v>
      </c>
      <c r="AR1611" s="1" t="str">
        <f t="shared" si="1044"/>
        <v>MARCS</v>
      </c>
      <c r="AY1611" s="1" t="str">
        <f t="shared" si="1060"/>
        <v>PF</v>
      </c>
      <c r="AZ1611" s="1">
        <v>0</v>
      </c>
      <c r="BA1611" s="1">
        <v>0</v>
      </c>
      <c r="BB1611" s="1">
        <v>0</v>
      </c>
      <c r="BC1611" s="1">
        <v>0</v>
      </c>
      <c r="BD1611" s="1">
        <v>0</v>
      </c>
      <c r="BE1611" s="1" t="str">
        <f t="shared" si="1045"/>
        <v>RCS GOMMA TWILL CANVAS</v>
      </c>
      <c r="BF1611" s="1" t="str">
        <f t="shared" si="1061"/>
        <v>Bonis SpA</v>
      </c>
    </row>
    <row r="1612" spans="2:58" x14ac:dyDescent="0.25">
      <c r="B1612" s="1">
        <v>2548</v>
      </c>
      <c r="C1612" s="1" t="str">
        <f t="shared" ref="C1612:C1624" si="1063">"DYON4190S7/C1"</f>
        <v>DYON4190S7/C1</v>
      </c>
      <c r="E1612" s="1" t="str">
        <f>"40"</f>
        <v>40</v>
      </c>
      <c r="F1612" s="1" t="str">
        <f t="shared" si="1050"/>
        <v>BONIS SPA</v>
      </c>
      <c r="G1612" s="1" t="str">
        <f t="shared" si="1038"/>
        <v>STOCK SCAFFALE MP</v>
      </c>
      <c r="H1612" s="1" t="str">
        <f t="shared" ref="H1612:H1617" si="1064">"AVIO"</f>
        <v>AVIO</v>
      </c>
      <c r="K1612" s="1">
        <v>5</v>
      </c>
      <c r="L1612" s="1" t="str">
        <f t="shared" si="1051"/>
        <v>01</v>
      </c>
      <c r="M1612" s="1" t="str">
        <f t="shared" si="1046"/>
        <v>409</v>
      </c>
      <c r="N1612" s="1" t="str">
        <f t="shared" ref="N1612:N1617" si="1065">"010"</f>
        <v>010</v>
      </c>
      <c r="O1612" s="1" t="str">
        <f t="shared" si="1052"/>
        <v>00</v>
      </c>
      <c r="P1612" s="1" t="str">
        <f t="shared" si="1053"/>
        <v>S</v>
      </c>
      <c r="Q1612" s="1" t="str">
        <f t="shared" si="1054"/>
        <v>P</v>
      </c>
      <c r="R1612" s="1" t="str">
        <f t="shared" si="1055"/>
        <v>01</v>
      </c>
      <c r="S1612" s="1" t="str">
        <f t="shared" si="1039"/>
        <v>04</v>
      </c>
      <c r="T1612" s="1" t="str">
        <f t="shared" si="1056"/>
        <v>False</v>
      </c>
      <c r="U1612" s="1" t="str">
        <f t="shared" si="1057"/>
        <v>True</v>
      </c>
      <c r="V1612" s="1" t="str">
        <f>"U0028060"</f>
        <v>U0028060</v>
      </c>
      <c r="W1612" s="1">
        <v>1</v>
      </c>
      <c r="Y1612" s="1">
        <v>0</v>
      </c>
      <c r="Z1612" s="1">
        <v>0</v>
      </c>
      <c r="AB1612" s="1" t="str">
        <f t="shared" si="1047"/>
        <v>SMU</v>
      </c>
      <c r="AI1612" s="1" t="str">
        <f t="shared" si="1062"/>
        <v>F11</v>
      </c>
      <c r="AJ1612" s="1" t="str">
        <f t="shared" ref="AJ1612:AJ1643" si="1066">"WOMAN"</f>
        <v>WOMAN</v>
      </c>
      <c r="AK1612" s="1" t="str">
        <f t="shared" si="1058"/>
        <v>PA</v>
      </c>
      <c r="AP1612" s="1" t="str">
        <f t="shared" si="1059"/>
        <v>False</v>
      </c>
      <c r="AR1612" s="1" t="str">
        <f t="shared" ref="AR1612:AR1643" si="1067">"DYON"</f>
        <v>DYON</v>
      </c>
      <c r="AY1612" s="1" t="str">
        <f t="shared" si="1060"/>
        <v>PF</v>
      </c>
      <c r="AZ1612" s="1">
        <v>0</v>
      </c>
      <c r="BA1612" s="1">
        <v>0</v>
      </c>
      <c r="BB1612" s="1">
        <v>0</v>
      </c>
      <c r="BC1612" s="1">
        <v>0</v>
      </c>
      <c r="BD1612" s="1">
        <v>0</v>
      </c>
      <c r="BE1612" s="1" t="str">
        <f t="shared" ref="BE1612:BE1624" si="1068">"ION GOMMA TWILL CANVAS"</f>
        <v>ION GOMMA TWILL CANVAS</v>
      </c>
      <c r="BF1612" s="1" t="str">
        <f t="shared" si="1061"/>
        <v>Bonis SpA</v>
      </c>
    </row>
    <row r="1613" spans="2:58" x14ac:dyDescent="0.25">
      <c r="B1613" s="1">
        <v>2548</v>
      </c>
      <c r="C1613" s="1" t="str">
        <f t="shared" si="1063"/>
        <v>DYON4190S7/C1</v>
      </c>
      <c r="E1613" s="1" t="str">
        <f>"36"</f>
        <v>36</v>
      </c>
      <c r="F1613" s="1" t="str">
        <f t="shared" si="1050"/>
        <v>BONIS SPA</v>
      </c>
      <c r="G1613" s="1" t="str">
        <f t="shared" si="1038"/>
        <v>STOCK SCAFFALE MP</v>
      </c>
      <c r="H1613" s="1" t="str">
        <f t="shared" si="1064"/>
        <v>AVIO</v>
      </c>
      <c r="K1613" s="1">
        <v>3</v>
      </c>
      <c r="L1613" s="1" t="str">
        <f t="shared" si="1051"/>
        <v>01</v>
      </c>
      <c r="M1613" s="1" t="str">
        <f t="shared" si="1046"/>
        <v>409</v>
      </c>
      <c r="N1613" s="1" t="str">
        <f t="shared" si="1065"/>
        <v>010</v>
      </c>
      <c r="O1613" s="1" t="str">
        <f t="shared" si="1052"/>
        <v>00</v>
      </c>
      <c r="P1613" s="1" t="str">
        <f t="shared" si="1053"/>
        <v>S</v>
      </c>
      <c r="Q1613" s="1" t="str">
        <f t="shared" si="1054"/>
        <v>P</v>
      </c>
      <c r="R1613" s="1" t="str">
        <f t="shared" si="1055"/>
        <v>01</v>
      </c>
      <c r="S1613" s="1" t="str">
        <f t="shared" si="1039"/>
        <v>04</v>
      </c>
      <c r="T1613" s="1" t="str">
        <f t="shared" si="1056"/>
        <v>False</v>
      </c>
      <c r="U1613" s="1" t="str">
        <f t="shared" si="1057"/>
        <v>True</v>
      </c>
      <c r="V1613" s="1" t="str">
        <f>"U0028060"</f>
        <v>U0028060</v>
      </c>
      <c r="W1613" s="1">
        <v>1</v>
      </c>
      <c r="Y1613" s="1">
        <v>0</v>
      </c>
      <c r="Z1613" s="1">
        <v>0</v>
      </c>
      <c r="AB1613" s="1" t="str">
        <f t="shared" si="1047"/>
        <v>SMU</v>
      </c>
      <c r="AI1613" s="1" t="str">
        <f t="shared" si="1062"/>
        <v>F11</v>
      </c>
      <c r="AJ1613" s="1" t="str">
        <f t="shared" si="1066"/>
        <v>WOMAN</v>
      </c>
      <c r="AK1613" s="1" t="str">
        <f t="shared" si="1058"/>
        <v>PA</v>
      </c>
      <c r="AP1613" s="1" t="str">
        <f t="shared" si="1059"/>
        <v>False</v>
      </c>
      <c r="AR1613" s="1" t="str">
        <f t="shared" si="1067"/>
        <v>DYON</v>
      </c>
      <c r="AY1613" s="1" t="str">
        <f t="shared" si="1060"/>
        <v>PF</v>
      </c>
      <c r="AZ1613" s="1">
        <v>0</v>
      </c>
      <c r="BA1613" s="1">
        <v>0</v>
      </c>
      <c r="BB1613" s="1">
        <v>0</v>
      </c>
      <c r="BC1613" s="1">
        <v>0</v>
      </c>
      <c r="BD1613" s="1">
        <v>0</v>
      </c>
      <c r="BE1613" s="1" t="str">
        <f t="shared" si="1068"/>
        <v>ION GOMMA TWILL CANVAS</v>
      </c>
      <c r="BF1613" s="1" t="str">
        <f t="shared" si="1061"/>
        <v>Bonis SpA</v>
      </c>
    </row>
    <row r="1614" spans="2:58" x14ac:dyDescent="0.25">
      <c r="B1614" s="1">
        <v>2548</v>
      </c>
      <c r="C1614" s="1" t="str">
        <f t="shared" si="1063"/>
        <v>DYON4190S7/C1</v>
      </c>
      <c r="E1614" s="1" t="str">
        <f>"41"</f>
        <v>41</v>
      </c>
      <c r="F1614" s="1" t="str">
        <f t="shared" si="1050"/>
        <v>BONIS SPA</v>
      </c>
      <c r="G1614" s="1" t="str">
        <f t="shared" si="1038"/>
        <v>STOCK SCAFFALE MP</v>
      </c>
      <c r="H1614" s="1" t="str">
        <f t="shared" si="1064"/>
        <v>AVIO</v>
      </c>
      <c r="K1614" s="1">
        <v>4</v>
      </c>
      <c r="L1614" s="1" t="str">
        <f t="shared" si="1051"/>
        <v>01</v>
      </c>
      <c r="M1614" s="1" t="str">
        <f t="shared" si="1046"/>
        <v>409</v>
      </c>
      <c r="N1614" s="1" t="str">
        <f t="shared" si="1065"/>
        <v>010</v>
      </c>
      <c r="O1614" s="1" t="str">
        <f t="shared" si="1052"/>
        <v>00</v>
      </c>
      <c r="P1614" s="1" t="str">
        <f t="shared" si="1053"/>
        <v>S</v>
      </c>
      <c r="Q1614" s="1" t="str">
        <f t="shared" si="1054"/>
        <v>P</v>
      </c>
      <c r="R1614" s="1" t="str">
        <f t="shared" si="1055"/>
        <v>01</v>
      </c>
      <c r="S1614" s="1" t="str">
        <f t="shared" si="1039"/>
        <v>04</v>
      </c>
      <c r="T1614" s="1" t="str">
        <f t="shared" si="1056"/>
        <v>False</v>
      </c>
      <c r="U1614" s="1" t="str">
        <f t="shared" si="1057"/>
        <v>True</v>
      </c>
      <c r="V1614" s="1" t="str">
        <f>"U0028060"</f>
        <v>U0028060</v>
      </c>
      <c r="W1614" s="1">
        <v>1</v>
      </c>
      <c r="Y1614" s="1">
        <v>0</v>
      </c>
      <c r="Z1614" s="1">
        <v>0</v>
      </c>
      <c r="AB1614" s="1" t="str">
        <f t="shared" si="1047"/>
        <v>SMU</v>
      </c>
      <c r="AI1614" s="1" t="str">
        <f t="shared" si="1062"/>
        <v>F11</v>
      </c>
      <c r="AJ1614" s="1" t="str">
        <f t="shared" si="1066"/>
        <v>WOMAN</v>
      </c>
      <c r="AK1614" s="1" t="str">
        <f t="shared" si="1058"/>
        <v>PA</v>
      </c>
      <c r="AP1614" s="1" t="str">
        <f t="shared" si="1059"/>
        <v>False</v>
      </c>
      <c r="AR1614" s="1" t="str">
        <f t="shared" si="1067"/>
        <v>DYON</v>
      </c>
      <c r="AY1614" s="1" t="str">
        <f t="shared" si="1060"/>
        <v>PF</v>
      </c>
      <c r="AZ1614" s="1">
        <v>0</v>
      </c>
      <c r="BA1614" s="1">
        <v>0</v>
      </c>
      <c r="BB1614" s="1">
        <v>0</v>
      </c>
      <c r="BC1614" s="1">
        <v>0</v>
      </c>
      <c r="BD1614" s="1">
        <v>0</v>
      </c>
      <c r="BE1614" s="1" t="str">
        <f t="shared" si="1068"/>
        <v>ION GOMMA TWILL CANVAS</v>
      </c>
      <c r="BF1614" s="1" t="str">
        <f t="shared" si="1061"/>
        <v>Bonis SpA</v>
      </c>
    </row>
    <row r="1615" spans="2:58" x14ac:dyDescent="0.25">
      <c r="B1615" s="1">
        <v>2548</v>
      </c>
      <c r="C1615" s="1" t="str">
        <f t="shared" si="1063"/>
        <v>DYON4190S7/C1</v>
      </c>
      <c r="E1615" s="1" t="str">
        <f>"38"</f>
        <v>38</v>
      </c>
      <c r="F1615" s="1" t="str">
        <f t="shared" si="1050"/>
        <v>BONIS SPA</v>
      </c>
      <c r="G1615" s="1" t="str">
        <f t="shared" si="1038"/>
        <v>STOCK SCAFFALE MP</v>
      </c>
      <c r="H1615" s="1" t="str">
        <f t="shared" si="1064"/>
        <v>AVIO</v>
      </c>
      <c r="K1615" s="1">
        <v>9</v>
      </c>
      <c r="L1615" s="1" t="str">
        <f t="shared" si="1051"/>
        <v>01</v>
      </c>
      <c r="M1615" s="1" t="str">
        <f t="shared" si="1046"/>
        <v>409</v>
      </c>
      <c r="N1615" s="1" t="str">
        <f t="shared" si="1065"/>
        <v>010</v>
      </c>
      <c r="O1615" s="1" t="str">
        <f t="shared" si="1052"/>
        <v>00</v>
      </c>
      <c r="P1615" s="1" t="str">
        <f t="shared" si="1053"/>
        <v>S</v>
      </c>
      <c r="Q1615" s="1" t="str">
        <f t="shared" si="1054"/>
        <v>P</v>
      </c>
      <c r="R1615" s="1" t="str">
        <f t="shared" si="1055"/>
        <v>01</v>
      </c>
      <c r="S1615" s="1" t="str">
        <f t="shared" si="1039"/>
        <v>04</v>
      </c>
      <c r="T1615" s="1" t="str">
        <f t="shared" si="1056"/>
        <v>False</v>
      </c>
      <c r="U1615" s="1" t="str">
        <f t="shared" si="1057"/>
        <v>True</v>
      </c>
      <c r="V1615" s="1" t="str">
        <f>"U0028092"</f>
        <v>U0028092</v>
      </c>
      <c r="W1615" s="1">
        <v>1</v>
      </c>
      <c r="Y1615" s="1">
        <v>0</v>
      </c>
      <c r="Z1615" s="1">
        <v>0</v>
      </c>
      <c r="AB1615" s="1" t="str">
        <f t="shared" si="1047"/>
        <v>SMU</v>
      </c>
      <c r="AI1615" s="1" t="str">
        <f t="shared" si="1062"/>
        <v>F11</v>
      </c>
      <c r="AJ1615" s="1" t="str">
        <f t="shared" si="1066"/>
        <v>WOMAN</v>
      </c>
      <c r="AK1615" s="1" t="str">
        <f t="shared" si="1058"/>
        <v>PA</v>
      </c>
      <c r="AP1615" s="1" t="str">
        <f t="shared" si="1059"/>
        <v>False</v>
      </c>
      <c r="AR1615" s="1" t="str">
        <f t="shared" si="1067"/>
        <v>DYON</v>
      </c>
      <c r="AY1615" s="1" t="str">
        <f t="shared" si="1060"/>
        <v>PF</v>
      </c>
      <c r="AZ1615" s="1">
        <v>0</v>
      </c>
      <c r="BA1615" s="1">
        <v>0</v>
      </c>
      <c r="BB1615" s="1">
        <v>0</v>
      </c>
      <c r="BC1615" s="1">
        <v>0</v>
      </c>
      <c r="BD1615" s="1">
        <v>0</v>
      </c>
      <c r="BE1615" s="1" t="str">
        <f t="shared" si="1068"/>
        <v>ION GOMMA TWILL CANVAS</v>
      </c>
      <c r="BF1615" s="1" t="str">
        <f t="shared" si="1061"/>
        <v>Bonis SpA</v>
      </c>
    </row>
    <row r="1616" spans="2:58" x14ac:dyDescent="0.25">
      <c r="B1616" s="1">
        <v>2548</v>
      </c>
      <c r="C1616" s="1" t="str">
        <f t="shared" si="1063"/>
        <v>DYON4190S7/C1</v>
      </c>
      <c r="E1616" s="1" t="str">
        <f>"39"</f>
        <v>39</v>
      </c>
      <c r="F1616" s="1" t="str">
        <f t="shared" si="1050"/>
        <v>BONIS SPA</v>
      </c>
      <c r="G1616" s="1" t="str">
        <f t="shared" si="1038"/>
        <v>STOCK SCAFFALE MP</v>
      </c>
      <c r="H1616" s="1" t="str">
        <f t="shared" si="1064"/>
        <v>AVIO</v>
      </c>
      <c r="K1616" s="1">
        <v>6</v>
      </c>
      <c r="L1616" s="1" t="str">
        <f t="shared" si="1051"/>
        <v>01</v>
      </c>
      <c r="M1616" s="1" t="str">
        <f t="shared" si="1046"/>
        <v>409</v>
      </c>
      <c r="N1616" s="1" t="str">
        <f t="shared" si="1065"/>
        <v>010</v>
      </c>
      <c r="O1616" s="1" t="str">
        <f t="shared" si="1052"/>
        <v>00</v>
      </c>
      <c r="P1616" s="1" t="str">
        <f t="shared" si="1053"/>
        <v>S</v>
      </c>
      <c r="Q1616" s="1" t="str">
        <f t="shared" si="1054"/>
        <v>P</v>
      </c>
      <c r="R1616" s="1" t="str">
        <f t="shared" si="1055"/>
        <v>01</v>
      </c>
      <c r="S1616" s="1" t="str">
        <f t="shared" si="1039"/>
        <v>04</v>
      </c>
      <c r="T1616" s="1" t="str">
        <f t="shared" si="1056"/>
        <v>False</v>
      </c>
      <c r="U1616" s="1" t="str">
        <f t="shared" si="1057"/>
        <v>True</v>
      </c>
      <c r="V1616" s="1" t="str">
        <f>"U0028061"</f>
        <v>U0028061</v>
      </c>
      <c r="W1616" s="1">
        <v>1</v>
      </c>
      <c r="Y1616" s="1">
        <v>0</v>
      </c>
      <c r="Z1616" s="1">
        <v>0</v>
      </c>
      <c r="AB1616" s="1" t="str">
        <f t="shared" si="1047"/>
        <v>SMU</v>
      </c>
      <c r="AI1616" s="1" t="str">
        <f t="shared" si="1062"/>
        <v>F11</v>
      </c>
      <c r="AJ1616" s="1" t="str">
        <f t="shared" si="1066"/>
        <v>WOMAN</v>
      </c>
      <c r="AK1616" s="1" t="str">
        <f t="shared" si="1058"/>
        <v>PA</v>
      </c>
      <c r="AP1616" s="1" t="str">
        <f t="shared" si="1059"/>
        <v>False</v>
      </c>
      <c r="AR1616" s="1" t="str">
        <f t="shared" si="1067"/>
        <v>DYON</v>
      </c>
      <c r="AY1616" s="1" t="str">
        <f t="shared" si="1060"/>
        <v>PF</v>
      </c>
      <c r="AZ1616" s="1">
        <v>0</v>
      </c>
      <c r="BA1616" s="1">
        <v>0</v>
      </c>
      <c r="BB1616" s="1">
        <v>0</v>
      </c>
      <c r="BC1616" s="1">
        <v>0</v>
      </c>
      <c r="BD1616" s="1">
        <v>0</v>
      </c>
      <c r="BE1616" s="1" t="str">
        <f t="shared" si="1068"/>
        <v>ION GOMMA TWILL CANVAS</v>
      </c>
      <c r="BF1616" s="1" t="str">
        <f t="shared" si="1061"/>
        <v>Bonis SpA</v>
      </c>
    </row>
    <row r="1617" spans="2:58" x14ac:dyDescent="0.25">
      <c r="B1617" s="1">
        <v>2548</v>
      </c>
      <c r="C1617" s="1" t="str">
        <f t="shared" si="1063"/>
        <v>DYON4190S7/C1</v>
      </c>
      <c r="E1617" s="1" t="str">
        <f>"37"</f>
        <v>37</v>
      </c>
      <c r="F1617" s="1" t="str">
        <f t="shared" si="1050"/>
        <v>BONIS SPA</v>
      </c>
      <c r="G1617" s="1" t="str">
        <f t="shared" si="1038"/>
        <v>STOCK SCAFFALE MP</v>
      </c>
      <c r="H1617" s="1" t="str">
        <f t="shared" si="1064"/>
        <v>AVIO</v>
      </c>
      <c r="K1617" s="1">
        <v>4</v>
      </c>
      <c r="L1617" s="1" t="str">
        <f t="shared" si="1051"/>
        <v>01</v>
      </c>
      <c r="M1617" s="1" t="str">
        <f t="shared" si="1046"/>
        <v>409</v>
      </c>
      <c r="N1617" s="1" t="str">
        <f t="shared" si="1065"/>
        <v>010</v>
      </c>
      <c r="O1617" s="1" t="str">
        <f t="shared" si="1052"/>
        <v>00</v>
      </c>
      <c r="P1617" s="1" t="str">
        <f t="shared" si="1053"/>
        <v>S</v>
      </c>
      <c r="Q1617" s="1" t="str">
        <f t="shared" si="1054"/>
        <v>P</v>
      </c>
      <c r="R1617" s="1" t="str">
        <f t="shared" si="1055"/>
        <v>01</v>
      </c>
      <c r="S1617" s="1" t="str">
        <f t="shared" si="1039"/>
        <v>04</v>
      </c>
      <c r="T1617" s="1" t="str">
        <f t="shared" si="1056"/>
        <v>False</v>
      </c>
      <c r="U1617" s="1" t="str">
        <f t="shared" si="1057"/>
        <v>True</v>
      </c>
      <c r="V1617" s="1" t="str">
        <f>"U0028061"</f>
        <v>U0028061</v>
      </c>
      <c r="W1617" s="1">
        <v>1</v>
      </c>
      <c r="Y1617" s="1">
        <v>0</v>
      </c>
      <c r="Z1617" s="1">
        <v>0</v>
      </c>
      <c r="AB1617" s="1" t="str">
        <f t="shared" si="1047"/>
        <v>SMU</v>
      </c>
      <c r="AI1617" s="1" t="str">
        <f t="shared" si="1062"/>
        <v>F11</v>
      </c>
      <c r="AJ1617" s="1" t="str">
        <f t="shared" si="1066"/>
        <v>WOMAN</v>
      </c>
      <c r="AK1617" s="1" t="str">
        <f t="shared" si="1058"/>
        <v>PA</v>
      </c>
      <c r="AP1617" s="1" t="str">
        <f t="shared" si="1059"/>
        <v>False</v>
      </c>
      <c r="AR1617" s="1" t="str">
        <f t="shared" si="1067"/>
        <v>DYON</v>
      </c>
      <c r="AY1617" s="1" t="str">
        <f t="shared" si="1060"/>
        <v>PF</v>
      </c>
      <c r="AZ1617" s="1">
        <v>0</v>
      </c>
      <c r="BA1617" s="1">
        <v>0</v>
      </c>
      <c r="BB1617" s="1">
        <v>0</v>
      </c>
      <c r="BC1617" s="1">
        <v>0</v>
      </c>
      <c r="BD1617" s="1">
        <v>0</v>
      </c>
      <c r="BE1617" s="1" t="str">
        <f t="shared" si="1068"/>
        <v>ION GOMMA TWILL CANVAS</v>
      </c>
      <c r="BF1617" s="1" t="str">
        <f t="shared" si="1061"/>
        <v>Bonis SpA</v>
      </c>
    </row>
    <row r="1618" spans="2:58" x14ac:dyDescent="0.25">
      <c r="B1618" s="1">
        <v>2554</v>
      </c>
      <c r="C1618" s="1" t="str">
        <f t="shared" si="1063"/>
        <v>DYON4190S7/C1</v>
      </c>
      <c r="E1618" s="1" t="str">
        <f>"39"</f>
        <v>39</v>
      </c>
      <c r="F1618" s="1" t="str">
        <f t="shared" si="1050"/>
        <v>BONIS SPA</v>
      </c>
      <c r="G1618" s="1" t="str">
        <f t="shared" si="1038"/>
        <v>STOCK SCAFFALE MP</v>
      </c>
      <c r="H1618" s="1" t="str">
        <f t="shared" ref="H1618:H1624" si="1069">"DKBL"</f>
        <v>DKBL</v>
      </c>
      <c r="K1618" s="1">
        <v>1</v>
      </c>
      <c r="L1618" s="1" t="str">
        <f t="shared" si="1051"/>
        <v>01</v>
      </c>
      <c r="M1618" s="1" t="str">
        <f t="shared" si="1046"/>
        <v>409</v>
      </c>
      <c r="N1618" s="1" t="str">
        <f>"012"</f>
        <v>012</v>
      </c>
      <c r="O1618" s="1" t="str">
        <f t="shared" si="1052"/>
        <v>00</v>
      </c>
      <c r="P1618" s="1" t="str">
        <f t="shared" si="1053"/>
        <v>S</v>
      </c>
      <c r="Q1618" s="1" t="str">
        <f t="shared" si="1054"/>
        <v>P</v>
      </c>
      <c r="R1618" s="1" t="str">
        <f t="shared" si="1055"/>
        <v>01</v>
      </c>
      <c r="S1618" s="1" t="str">
        <f t="shared" si="1039"/>
        <v>04</v>
      </c>
      <c r="T1618" s="1" t="str">
        <f t="shared" si="1056"/>
        <v>False</v>
      </c>
      <c r="U1618" s="1" t="str">
        <f t="shared" si="1057"/>
        <v>True</v>
      </c>
      <c r="V1618" s="1" t="str">
        <f>"U0023757"</f>
        <v>U0023757</v>
      </c>
      <c r="W1618" s="1">
        <v>1</v>
      </c>
      <c r="Y1618" s="1">
        <v>0</v>
      </c>
      <c r="Z1618" s="1">
        <v>0</v>
      </c>
      <c r="AB1618" s="1" t="str">
        <f t="shared" si="1047"/>
        <v>SMU</v>
      </c>
      <c r="AI1618" s="1" t="str">
        <f>"106"</f>
        <v>106</v>
      </c>
      <c r="AJ1618" s="1" t="str">
        <f t="shared" si="1066"/>
        <v>WOMAN</v>
      </c>
      <c r="AK1618" s="1" t="str">
        <f t="shared" si="1058"/>
        <v>PA</v>
      </c>
      <c r="AP1618" s="1" t="str">
        <f t="shared" si="1059"/>
        <v>False</v>
      </c>
      <c r="AR1618" s="1" t="str">
        <f t="shared" si="1067"/>
        <v>DYON</v>
      </c>
      <c r="AY1618" s="1" t="str">
        <f t="shared" si="1060"/>
        <v>PF</v>
      </c>
      <c r="AZ1618" s="1">
        <v>0</v>
      </c>
      <c r="BA1618" s="1">
        <v>0</v>
      </c>
      <c r="BB1618" s="1">
        <v>0</v>
      </c>
      <c r="BC1618" s="1">
        <v>0</v>
      </c>
      <c r="BD1618" s="1">
        <v>0</v>
      </c>
      <c r="BE1618" s="1" t="str">
        <f t="shared" si="1068"/>
        <v>ION GOMMA TWILL CANVAS</v>
      </c>
      <c r="BF1618" s="1" t="str">
        <f t="shared" si="1061"/>
        <v>Bonis SpA</v>
      </c>
    </row>
    <row r="1619" spans="2:58" x14ac:dyDescent="0.25">
      <c r="B1619" s="1">
        <v>2554</v>
      </c>
      <c r="C1619" s="1" t="str">
        <f t="shared" si="1063"/>
        <v>DYON4190S7/C1</v>
      </c>
      <c r="E1619" s="1" t="str">
        <f>"36"</f>
        <v>36</v>
      </c>
      <c r="F1619" s="1" t="str">
        <f t="shared" si="1050"/>
        <v>BONIS SPA</v>
      </c>
      <c r="G1619" s="1" t="str">
        <f t="shared" si="1038"/>
        <v>STOCK SCAFFALE MP</v>
      </c>
      <c r="H1619" s="1" t="str">
        <f t="shared" si="1069"/>
        <v>DKBL</v>
      </c>
      <c r="K1619" s="1">
        <v>1</v>
      </c>
      <c r="L1619" s="1" t="str">
        <f t="shared" si="1051"/>
        <v>01</v>
      </c>
      <c r="M1619" s="1" t="str">
        <f t="shared" si="1046"/>
        <v>409</v>
      </c>
      <c r="N1619" s="1" t="str">
        <f>"012"</f>
        <v>012</v>
      </c>
      <c r="O1619" s="1" t="str">
        <f t="shared" si="1052"/>
        <v>00</v>
      </c>
      <c r="P1619" s="1" t="str">
        <f t="shared" si="1053"/>
        <v>S</v>
      </c>
      <c r="Q1619" s="1" t="str">
        <f t="shared" si="1054"/>
        <v>P</v>
      </c>
      <c r="R1619" s="1" t="str">
        <f t="shared" si="1055"/>
        <v>01</v>
      </c>
      <c r="S1619" s="1" t="str">
        <f t="shared" si="1039"/>
        <v>04</v>
      </c>
      <c r="T1619" s="1" t="str">
        <f t="shared" si="1056"/>
        <v>False</v>
      </c>
      <c r="U1619" s="1" t="str">
        <f t="shared" si="1057"/>
        <v>True</v>
      </c>
      <c r="V1619" s="1" t="str">
        <f>"U0023757"</f>
        <v>U0023757</v>
      </c>
      <c r="W1619" s="1">
        <v>1</v>
      </c>
      <c r="Y1619" s="1">
        <v>0</v>
      </c>
      <c r="Z1619" s="1">
        <v>0</v>
      </c>
      <c r="AB1619" s="1" t="str">
        <f t="shared" si="1047"/>
        <v>SMU</v>
      </c>
      <c r="AI1619" s="1" t="str">
        <f>"106"</f>
        <v>106</v>
      </c>
      <c r="AJ1619" s="1" t="str">
        <f t="shared" si="1066"/>
        <v>WOMAN</v>
      </c>
      <c r="AK1619" s="1" t="str">
        <f t="shared" si="1058"/>
        <v>PA</v>
      </c>
      <c r="AP1619" s="1" t="str">
        <f t="shared" si="1059"/>
        <v>False</v>
      </c>
      <c r="AR1619" s="1" t="str">
        <f t="shared" si="1067"/>
        <v>DYON</v>
      </c>
      <c r="AY1619" s="1" t="str">
        <f t="shared" si="1060"/>
        <v>PF</v>
      </c>
      <c r="AZ1619" s="1">
        <v>0</v>
      </c>
      <c r="BA1619" s="1">
        <v>0</v>
      </c>
      <c r="BB1619" s="1">
        <v>0</v>
      </c>
      <c r="BC1619" s="1">
        <v>0</v>
      </c>
      <c r="BD1619" s="1">
        <v>0</v>
      </c>
      <c r="BE1619" s="1" t="str">
        <f t="shared" si="1068"/>
        <v>ION GOMMA TWILL CANVAS</v>
      </c>
      <c r="BF1619" s="1" t="str">
        <f t="shared" si="1061"/>
        <v>Bonis SpA</v>
      </c>
    </row>
    <row r="1620" spans="2:58" x14ac:dyDescent="0.25">
      <c r="B1620" s="1">
        <v>2548</v>
      </c>
      <c r="C1620" s="1" t="str">
        <f t="shared" si="1063"/>
        <v>DYON4190S7/C1</v>
      </c>
      <c r="E1620" s="1" t="str">
        <f>"37"</f>
        <v>37</v>
      </c>
      <c r="F1620" s="1" t="str">
        <f t="shared" si="1050"/>
        <v>BONIS SPA</v>
      </c>
      <c r="G1620" s="1" t="str">
        <f t="shared" si="1038"/>
        <v>STOCK SCAFFALE MP</v>
      </c>
      <c r="H1620" s="1" t="str">
        <f t="shared" si="1069"/>
        <v>DKBL</v>
      </c>
      <c r="K1620" s="1">
        <v>2</v>
      </c>
      <c r="L1620" s="1" t="str">
        <f t="shared" si="1051"/>
        <v>01</v>
      </c>
      <c r="M1620" s="1" t="str">
        <f t="shared" si="1046"/>
        <v>409</v>
      </c>
      <c r="N1620" s="1" t="str">
        <f t="shared" ref="N1620:N1651" si="1070">"010"</f>
        <v>010</v>
      </c>
      <c r="O1620" s="1" t="str">
        <f t="shared" si="1052"/>
        <v>00</v>
      </c>
      <c r="P1620" s="1" t="str">
        <f t="shared" si="1053"/>
        <v>S</v>
      </c>
      <c r="Q1620" s="1" t="str">
        <f t="shared" si="1054"/>
        <v>P</v>
      </c>
      <c r="R1620" s="1" t="str">
        <f t="shared" si="1055"/>
        <v>01</v>
      </c>
      <c r="S1620" s="1" t="str">
        <f t="shared" si="1039"/>
        <v>04</v>
      </c>
      <c r="T1620" s="1" t="str">
        <f t="shared" si="1056"/>
        <v>False</v>
      </c>
      <c r="U1620" s="1" t="str">
        <f t="shared" si="1057"/>
        <v>True</v>
      </c>
      <c r="V1620" s="1" t="str">
        <f>"U0028061"</f>
        <v>U0028061</v>
      </c>
      <c r="W1620" s="1">
        <v>1</v>
      </c>
      <c r="Y1620" s="1">
        <v>0</v>
      </c>
      <c r="Z1620" s="1">
        <v>0</v>
      </c>
      <c r="AB1620" s="1" t="str">
        <f t="shared" si="1047"/>
        <v>SMU</v>
      </c>
      <c r="AI1620" s="1" t="str">
        <f>"106"</f>
        <v>106</v>
      </c>
      <c r="AJ1620" s="1" t="str">
        <f t="shared" si="1066"/>
        <v>WOMAN</v>
      </c>
      <c r="AK1620" s="1" t="str">
        <f t="shared" si="1058"/>
        <v>PA</v>
      </c>
      <c r="AP1620" s="1" t="str">
        <f t="shared" si="1059"/>
        <v>False</v>
      </c>
      <c r="AR1620" s="1" t="str">
        <f t="shared" si="1067"/>
        <v>DYON</v>
      </c>
      <c r="AY1620" s="1" t="str">
        <f t="shared" si="1060"/>
        <v>PF</v>
      </c>
      <c r="AZ1620" s="1">
        <v>0</v>
      </c>
      <c r="BA1620" s="1">
        <v>0</v>
      </c>
      <c r="BB1620" s="1">
        <v>0</v>
      </c>
      <c r="BC1620" s="1">
        <v>0</v>
      </c>
      <c r="BD1620" s="1">
        <v>0</v>
      </c>
      <c r="BE1620" s="1" t="str">
        <f t="shared" si="1068"/>
        <v>ION GOMMA TWILL CANVAS</v>
      </c>
      <c r="BF1620" s="1" t="str">
        <f t="shared" si="1061"/>
        <v>Bonis SpA</v>
      </c>
    </row>
    <row r="1621" spans="2:58" x14ac:dyDescent="0.25">
      <c r="B1621" s="1">
        <v>2548</v>
      </c>
      <c r="C1621" s="1" t="str">
        <f t="shared" si="1063"/>
        <v>DYON4190S7/C1</v>
      </c>
      <c r="E1621" s="1" t="str">
        <f>"37"</f>
        <v>37</v>
      </c>
      <c r="F1621" s="1" t="str">
        <f t="shared" si="1050"/>
        <v>BONIS SPA</v>
      </c>
      <c r="G1621" s="1" t="str">
        <f t="shared" si="1038"/>
        <v>STOCK SCAFFALE MP</v>
      </c>
      <c r="H1621" s="1" t="str">
        <f t="shared" si="1069"/>
        <v>DKBL</v>
      </c>
      <c r="K1621" s="1">
        <v>3</v>
      </c>
      <c r="L1621" s="1" t="str">
        <f t="shared" si="1051"/>
        <v>01</v>
      </c>
      <c r="M1621" s="1" t="str">
        <f t="shared" si="1046"/>
        <v>409</v>
      </c>
      <c r="N1621" s="1" t="str">
        <f t="shared" si="1070"/>
        <v>010</v>
      </c>
      <c r="O1621" s="1" t="str">
        <f t="shared" si="1052"/>
        <v>00</v>
      </c>
      <c r="P1621" s="1" t="str">
        <f t="shared" si="1053"/>
        <v>S</v>
      </c>
      <c r="Q1621" s="1" t="str">
        <f t="shared" si="1054"/>
        <v>P</v>
      </c>
      <c r="R1621" s="1" t="str">
        <f t="shared" si="1055"/>
        <v>01</v>
      </c>
      <c r="S1621" s="1" t="str">
        <f t="shared" si="1039"/>
        <v>04</v>
      </c>
      <c r="T1621" s="1" t="str">
        <f t="shared" si="1056"/>
        <v>False</v>
      </c>
      <c r="U1621" s="1" t="str">
        <f t="shared" si="1057"/>
        <v>True</v>
      </c>
      <c r="V1621" s="1" t="str">
        <f>"U0028095"</f>
        <v>U0028095</v>
      </c>
      <c r="W1621" s="1">
        <v>1</v>
      </c>
      <c r="Y1621" s="1">
        <v>0</v>
      </c>
      <c r="Z1621" s="1">
        <v>0</v>
      </c>
      <c r="AB1621" s="1" t="str">
        <f t="shared" si="1047"/>
        <v>SMU</v>
      </c>
      <c r="AI1621" s="1" t="str">
        <f>"106"</f>
        <v>106</v>
      </c>
      <c r="AJ1621" s="1" t="str">
        <f t="shared" si="1066"/>
        <v>WOMAN</v>
      </c>
      <c r="AK1621" s="1" t="str">
        <f t="shared" si="1058"/>
        <v>PA</v>
      </c>
      <c r="AP1621" s="1" t="str">
        <f t="shared" si="1059"/>
        <v>False</v>
      </c>
      <c r="AR1621" s="1" t="str">
        <f t="shared" si="1067"/>
        <v>DYON</v>
      </c>
      <c r="AY1621" s="1" t="str">
        <f t="shared" si="1060"/>
        <v>PF</v>
      </c>
      <c r="AZ1621" s="1">
        <v>0</v>
      </c>
      <c r="BA1621" s="1">
        <v>0</v>
      </c>
      <c r="BB1621" s="1">
        <v>0</v>
      </c>
      <c r="BC1621" s="1">
        <v>0</v>
      </c>
      <c r="BD1621" s="1">
        <v>0</v>
      </c>
      <c r="BE1621" s="1" t="str">
        <f t="shared" si="1068"/>
        <v>ION GOMMA TWILL CANVAS</v>
      </c>
      <c r="BF1621" s="1" t="str">
        <f t="shared" si="1061"/>
        <v>Bonis SpA</v>
      </c>
    </row>
    <row r="1622" spans="2:58" x14ac:dyDescent="0.25">
      <c r="B1622" s="1">
        <v>2548</v>
      </c>
      <c r="C1622" s="1" t="str">
        <f t="shared" si="1063"/>
        <v>DYON4190S7/C1</v>
      </c>
      <c r="E1622" s="1" t="str">
        <f>"40"</f>
        <v>40</v>
      </c>
      <c r="F1622" s="1" t="str">
        <f t="shared" si="1050"/>
        <v>BONIS SPA</v>
      </c>
      <c r="G1622" s="1" t="str">
        <f t="shared" si="1038"/>
        <v>STOCK SCAFFALE MP</v>
      </c>
      <c r="H1622" s="1" t="str">
        <f t="shared" si="1069"/>
        <v>DKBL</v>
      </c>
      <c r="K1622" s="1">
        <v>4</v>
      </c>
      <c r="L1622" s="1" t="str">
        <f t="shared" si="1051"/>
        <v>01</v>
      </c>
      <c r="M1622" s="1" t="str">
        <f t="shared" si="1046"/>
        <v>409</v>
      </c>
      <c r="N1622" s="1" t="str">
        <f t="shared" si="1070"/>
        <v>010</v>
      </c>
      <c r="O1622" s="1" t="str">
        <f t="shared" si="1052"/>
        <v>00</v>
      </c>
      <c r="P1622" s="1" t="str">
        <f t="shared" si="1053"/>
        <v>S</v>
      </c>
      <c r="Q1622" s="1" t="str">
        <f t="shared" si="1054"/>
        <v>P</v>
      </c>
      <c r="R1622" s="1" t="str">
        <f t="shared" si="1055"/>
        <v>01</v>
      </c>
      <c r="S1622" s="1" t="str">
        <f t="shared" si="1039"/>
        <v>04</v>
      </c>
      <c r="T1622" s="1" t="str">
        <f t="shared" si="1056"/>
        <v>False</v>
      </c>
      <c r="U1622" s="1" t="str">
        <f t="shared" si="1057"/>
        <v>True</v>
      </c>
      <c r="V1622" s="1" t="str">
        <f>"U0028095"</f>
        <v>U0028095</v>
      </c>
      <c r="W1622" s="1">
        <v>1</v>
      </c>
      <c r="Y1622" s="1">
        <v>0</v>
      </c>
      <c r="Z1622" s="1">
        <v>0</v>
      </c>
      <c r="AB1622" s="1" t="str">
        <f t="shared" si="1047"/>
        <v>SMU</v>
      </c>
      <c r="AI1622" s="1" t="str">
        <f t="shared" ref="AI1622:AI1642" si="1071">"F11"</f>
        <v>F11</v>
      </c>
      <c r="AJ1622" s="1" t="str">
        <f t="shared" si="1066"/>
        <v>WOMAN</v>
      </c>
      <c r="AK1622" s="1" t="str">
        <f t="shared" si="1058"/>
        <v>PA</v>
      </c>
      <c r="AP1622" s="1" t="str">
        <f t="shared" si="1059"/>
        <v>False</v>
      </c>
      <c r="AR1622" s="1" t="str">
        <f t="shared" si="1067"/>
        <v>DYON</v>
      </c>
      <c r="AY1622" s="1" t="str">
        <f t="shared" si="1060"/>
        <v>PF</v>
      </c>
      <c r="AZ1622" s="1">
        <v>0</v>
      </c>
      <c r="BA1622" s="1">
        <v>0</v>
      </c>
      <c r="BB1622" s="1">
        <v>0</v>
      </c>
      <c r="BC1622" s="1">
        <v>0</v>
      </c>
      <c r="BD1622" s="1">
        <v>0</v>
      </c>
      <c r="BE1622" s="1" t="str">
        <f t="shared" si="1068"/>
        <v>ION GOMMA TWILL CANVAS</v>
      </c>
      <c r="BF1622" s="1" t="str">
        <f t="shared" si="1061"/>
        <v>Bonis SpA</v>
      </c>
    </row>
    <row r="1623" spans="2:58" x14ac:dyDescent="0.25">
      <c r="B1623" s="1">
        <v>2548</v>
      </c>
      <c r="C1623" s="1" t="str">
        <f t="shared" si="1063"/>
        <v>DYON4190S7/C1</v>
      </c>
      <c r="E1623" s="1" t="str">
        <f>"39"</f>
        <v>39</v>
      </c>
      <c r="F1623" s="1" t="str">
        <f t="shared" si="1050"/>
        <v>BONIS SPA</v>
      </c>
      <c r="G1623" s="1" t="str">
        <f t="shared" si="1038"/>
        <v>STOCK SCAFFALE MP</v>
      </c>
      <c r="H1623" s="1" t="str">
        <f t="shared" si="1069"/>
        <v>DKBL</v>
      </c>
      <c r="K1623" s="1">
        <v>3</v>
      </c>
      <c r="L1623" s="1" t="str">
        <f t="shared" si="1051"/>
        <v>01</v>
      </c>
      <c r="M1623" s="1" t="str">
        <f t="shared" si="1046"/>
        <v>409</v>
      </c>
      <c r="N1623" s="1" t="str">
        <f t="shared" si="1070"/>
        <v>010</v>
      </c>
      <c r="O1623" s="1" t="str">
        <f t="shared" si="1052"/>
        <v>00</v>
      </c>
      <c r="P1623" s="1" t="str">
        <f t="shared" si="1053"/>
        <v>S</v>
      </c>
      <c r="Q1623" s="1" t="str">
        <f t="shared" si="1054"/>
        <v>P</v>
      </c>
      <c r="R1623" s="1" t="str">
        <f t="shared" si="1055"/>
        <v>01</v>
      </c>
      <c r="S1623" s="1" t="str">
        <f t="shared" si="1039"/>
        <v>04</v>
      </c>
      <c r="T1623" s="1" t="str">
        <f t="shared" si="1056"/>
        <v>False</v>
      </c>
      <c r="U1623" s="1" t="str">
        <f t="shared" si="1057"/>
        <v>True</v>
      </c>
      <c r="V1623" s="1" t="str">
        <f>"U0028095"</f>
        <v>U0028095</v>
      </c>
      <c r="W1623" s="1">
        <v>1</v>
      </c>
      <c r="Y1623" s="1">
        <v>0</v>
      </c>
      <c r="Z1623" s="1">
        <v>0</v>
      </c>
      <c r="AB1623" s="1" t="str">
        <f t="shared" si="1047"/>
        <v>SMU</v>
      </c>
      <c r="AI1623" s="1" t="str">
        <f t="shared" si="1071"/>
        <v>F11</v>
      </c>
      <c r="AJ1623" s="1" t="str">
        <f t="shared" si="1066"/>
        <v>WOMAN</v>
      </c>
      <c r="AK1623" s="1" t="str">
        <f t="shared" si="1058"/>
        <v>PA</v>
      </c>
      <c r="AP1623" s="1" t="str">
        <f t="shared" si="1059"/>
        <v>False</v>
      </c>
      <c r="AR1623" s="1" t="str">
        <f t="shared" si="1067"/>
        <v>DYON</v>
      </c>
      <c r="AY1623" s="1" t="str">
        <f t="shared" si="1060"/>
        <v>PF</v>
      </c>
      <c r="AZ1623" s="1">
        <v>0</v>
      </c>
      <c r="BA1623" s="1">
        <v>0</v>
      </c>
      <c r="BB1623" s="1">
        <v>0</v>
      </c>
      <c r="BC1623" s="1">
        <v>0</v>
      </c>
      <c r="BD1623" s="1">
        <v>0</v>
      </c>
      <c r="BE1623" s="1" t="str">
        <f t="shared" si="1068"/>
        <v>ION GOMMA TWILL CANVAS</v>
      </c>
      <c r="BF1623" s="1" t="str">
        <f t="shared" si="1061"/>
        <v>Bonis SpA</v>
      </c>
    </row>
    <row r="1624" spans="2:58" x14ac:dyDescent="0.25">
      <c r="B1624" s="1">
        <v>2548</v>
      </c>
      <c r="C1624" s="1" t="str">
        <f t="shared" si="1063"/>
        <v>DYON4190S7/C1</v>
      </c>
      <c r="E1624" s="1" t="str">
        <f>"38"</f>
        <v>38</v>
      </c>
      <c r="F1624" s="1" t="str">
        <f t="shared" si="1050"/>
        <v>BONIS SPA</v>
      </c>
      <c r="G1624" s="1" t="str">
        <f t="shared" si="1038"/>
        <v>STOCK SCAFFALE MP</v>
      </c>
      <c r="H1624" s="1" t="str">
        <f t="shared" si="1069"/>
        <v>DKBL</v>
      </c>
      <c r="K1624" s="1">
        <v>2</v>
      </c>
      <c r="L1624" s="1" t="str">
        <f t="shared" si="1051"/>
        <v>01</v>
      </c>
      <c r="M1624" s="1" t="str">
        <f t="shared" si="1046"/>
        <v>409</v>
      </c>
      <c r="N1624" s="1" t="str">
        <f t="shared" si="1070"/>
        <v>010</v>
      </c>
      <c r="O1624" s="1" t="str">
        <f t="shared" si="1052"/>
        <v>00</v>
      </c>
      <c r="P1624" s="1" t="str">
        <f t="shared" si="1053"/>
        <v>S</v>
      </c>
      <c r="Q1624" s="1" t="str">
        <f t="shared" si="1054"/>
        <v>P</v>
      </c>
      <c r="R1624" s="1" t="str">
        <f t="shared" si="1055"/>
        <v>01</v>
      </c>
      <c r="S1624" s="1" t="str">
        <f t="shared" si="1039"/>
        <v>04</v>
      </c>
      <c r="T1624" s="1" t="str">
        <f t="shared" si="1056"/>
        <v>False</v>
      </c>
      <c r="U1624" s="1" t="str">
        <f t="shared" si="1057"/>
        <v>True</v>
      </c>
      <c r="V1624" s="1" t="str">
        <f>"U0028095"</f>
        <v>U0028095</v>
      </c>
      <c r="W1624" s="1">
        <v>1</v>
      </c>
      <c r="Y1624" s="1">
        <v>0</v>
      </c>
      <c r="Z1624" s="1">
        <v>0</v>
      </c>
      <c r="AB1624" s="1" t="str">
        <f t="shared" si="1047"/>
        <v>SMU</v>
      </c>
      <c r="AI1624" s="1" t="str">
        <f t="shared" si="1071"/>
        <v>F11</v>
      </c>
      <c r="AJ1624" s="1" t="str">
        <f t="shared" si="1066"/>
        <v>WOMAN</v>
      </c>
      <c r="AK1624" s="1" t="str">
        <f t="shared" si="1058"/>
        <v>PA</v>
      </c>
      <c r="AP1624" s="1" t="str">
        <f t="shared" si="1059"/>
        <v>False</v>
      </c>
      <c r="AR1624" s="1" t="str">
        <f t="shared" si="1067"/>
        <v>DYON</v>
      </c>
      <c r="AY1624" s="1" t="str">
        <f t="shared" si="1060"/>
        <v>PF</v>
      </c>
      <c r="AZ1624" s="1">
        <v>0</v>
      </c>
      <c r="BA1624" s="1">
        <v>0</v>
      </c>
      <c r="BB1624" s="1">
        <v>0</v>
      </c>
      <c r="BC1624" s="1">
        <v>0</v>
      </c>
      <c r="BD1624" s="1">
        <v>0</v>
      </c>
      <c r="BE1624" s="1" t="str">
        <f t="shared" si="1068"/>
        <v>ION GOMMA TWILL CANVAS</v>
      </c>
      <c r="BF1624" s="1" t="str">
        <f t="shared" si="1061"/>
        <v>Bonis SpA</v>
      </c>
    </row>
    <row r="1625" spans="2:58" x14ac:dyDescent="0.25">
      <c r="B1625" s="1">
        <v>2548</v>
      </c>
      <c r="C1625" s="1" t="str">
        <f>"DYON4191S7/C1"</f>
        <v>DYON4191S7/C1</v>
      </c>
      <c r="E1625" s="1" t="str">
        <f>"38"</f>
        <v>38</v>
      </c>
      <c r="F1625" s="1" t="str">
        <f t="shared" si="1050"/>
        <v>BONIS SPA</v>
      </c>
      <c r="G1625" s="1" t="str">
        <f t="shared" si="1038"/>
        <v>STOCK SCAFFALE MP</v>
      </c>
      <c r="H1625" s="1" t="str">
        <f t="shared" ref="H1625:H1631" si="1072">"WHI"</f>
        <v>WHI</v>
      </c>
      <c r="K1625" s="1">
        <v>2</v>
      </c>
      <c r="L1625" s="1" t="str">
        <f t="shared" si="1051"/>
        <v>01</v>
      </c>
      <c r="M1625" s="1" t="str">
        <f t="shared" si="1046"/>
        <v>409</v>
      </c>
      <c r="N1625" s="1" t="str">
        <f t="shared" si="1070"/>
        <v>010</v>
      </c>
      <c r="O1625" s="1" t="str">
        <f t="shared" si="1052"/>
        <v>00</v>
      </c>
      <c r="P1625" s="1" t="str">
        <f t="shared" si="1053"/>
        <v>S</v>
      </c>
      <c r="Q1625" s="1" t="str">
        <f t="shared" si="1054"/>
        <v>P</v>
      </c>
      <c r="R1625" s="1" t="str">
        <f t="shared" si="1055"/>
        <v>01</v>
      </c>
      <c r="S1625" s="1" t="str">
        <f t="shared" si="1039"/>
        <v>04</v>
      </c>
      <c r="T1625" s="1" t="str">
        <f t="shared" si="1056"/>
        <v>False</v>
      </c>
      <c r="U1625" s="1" t="str">
        <f t="shared" si="1057"/>
        <v>True</v>
      </c>
      <c r="V1625" s="1" t="str">
        <f>"U0028051"</f>
        <v>U0028051</v>
      </c>
      <c r="W1625" s="1">
        <v>1</v>
      </c>
      <c r="Y1625" s="1">
        <v>0</v>
      </c>
      <c r="Z1625" s="1">
        <v>0</v>
      </c>
      <c r="AB1625" s="1" t="str">
        <f t="shared" si="1047"/>
        <v>SMU</v>
      </c>
      <c r="AI1625" s="1" t="str">
        <f t="shared" si="1071"/>
        <v>F11</v>
      </c>
      <c r="AJ1625" s="1" t="str">
        <f t="shared" si="1066"/>
        <v>WOMAN</v>
      </c>
      <c r="AK1625" s="1" t="str">
        <f t="shared" si="1058"/>
        <v>PA</v>
      </c>
      <c r="AP1625" s="1" t="str">
        <f t="shared" si="1059"/>
        <v>False</v>
      </c>
      <c r="AR1625" s="1" t="str">
        <f t="shared" si="1067"/>
        <v>DYON</v>
      </c>
      <c r="AY1625" s="1" t="str">
        <f t="shared" si="1060"/>
        <v>PF</v>
      </c>
      <c r="AZ1625" s="1">
        <v>0</v>
      </c>
      <c r="BA1625" s="1">
        <v>0</v>
      </c>
      <c r="BB1625" s="1">
        <v>0</v>
      </c>
      <c r="BC1625" s="1">
        <v>0</v>
      </c>
      <c r="BD1625" s="1">
        <v>0</v>
      </c>
      <c r="BE1625" s="1" t="str">
        <f>"YON GOMMA TWILL CANVAS"</f>
        <v>YON GOMMA TWILL CANVAS</v>
      </c>
      <c r="BF1625" s="1" t="str">
        <f t="shared" si="1061"/>
        <v>Bonis SpA</v>
      </c>
    </row>
    <row r="1626" spans="2:58" x14ac:dyDescent="0.25">
      <c r="B1626" s="1">
        <v>2548</v>
      </c>
      <c r="C1626" s="1" t="str">
        <f>"DYON4191S7/C1"</f>
        <v>DYON4191S7/C1</v>
      </c>
      <c r="E1626" s="1" t="str">
        <f>"39"</f>
        <v>39</v>
      </c>
      <c r="F1626" s="1" t="str">
        <f t="shared" si="1050"/>
        <v>BONIS SPA</v>
      </c>
      <c r="G1626" s="1" t="str">
        <f t="shared" si="1038"/>
        <v>STOCK SCAFFALE MP</v>
      </c>
      <c r="H1626" s="1" t="str">
        <f t="shared" si="1072"/>
        <v>WHI</v>
      </c>
      <c r="K1626" s="1">
        <v>1</v>
      </c>
      <c r="L1626" s="1" t="str">
        <f t="shared" si="1051"/>
        <v>01</v>
      </c>
      <c r="M1626" s="1" t="str">
        <f t="shared" si="1046"/>
        <v>409</v>
      </c>
      <c r="N1626" s="1" t="str">
        <f t="shared" si="1070"/>
        <v>010</v>
      </c>
      <c r="O1626" s="1" t="str">
        <f t="shared" si="1052"/>
        <v>00</v>
      </c>
      <c r="P1626" s="1" t="str">
        <f t="shared" si="1053"/>
        <v>S</v>
      </c>
      <c r="Q1626" s="1" t="str">
        <f t="shared" si="1054"/>
        <v>P</v>
      </c>
      <c r="R1626" s="1" t="str">
        <f t="shared" si="1055"/>
        <v>01</v>
      </c>
      <c r="S1626" s="1" t="str">
        <f t="shared" si="1039"/>
        <v>04</v>
      </c>
      <c r="T1626" s="1" t="str">
        <f t="shared" si="1056"/>
        <v>False</v>
      </c>
      <c r="U1626" s="1" t="str">
        <f t="shared" si="1057"/>
        <v>True</v>
      </c>
      <c r="V1626" s="1" t="str">
        <f>"U0028051"</f>
        <v>U0028051</v>
      </c>
      <c r="W1626" s="1">
        <v>1</v>
      </c>
      <c r="Y1626" s="1">
        <v>0</v>
      </c>
      <c r="Z1626" s="1">
        <v>0</v>
      </c>
      <c r="AB1626" s="1" t="str">
        <f t="shared" si="1047"/>
        <v>SMU</v>
      </c>
      <c r="AI1626" s="1" t="str">
        <f t="shared" si="1071"/>
        <v>F11</v>
      </c>
      <c r="AJ1626" s="1" t="str">
        <f t="shared" si="1066"/>
        <v>WOMAN</v>
      </c>
      <c r="AK1626" s="1" t="str">
        <f t="shared" si="1058"/>
        <v>PA</v>
      </c>
      <c r="AP1626" s="1" t="str">
        <f t="shared" si="1059"/>
        <v>False</v>
      </c>
      <c r="AR1626" s="1" t="str">
        <f t="shared" si="1067"/>
        <v>DYON</v>
      </c>
      <c r="AY1626" s="1" t="str">
        <f t="shared" si="1060"/>
        <v>PF</v>
      </c>
      <c r="AZ1626" s="1">
        <v>0</v>
      </c>
      <c r="BA1626" s="1">
        <v>0</v>
      </c>
      <c r="BB1626" s="1">
        <v>0</v>
      </c>
      <c r="BC1626" s="1">
        <v>0</v>
      </c>
      <c r="BD1626" s="1">
        <v>0</v>
      </c>
      <c r="BE1626" s="1" t="str">
        <f>"YON GOMMA TWILL CANVAS"</f>
        <v>YON GOMMA TWILL CANVAS</v>
      </c>
      <c r="BF1626" s="1" t="str">
        <f t="shared" si="1061"/>
        <v>Bonis SpA</v>
      </c>
    </row>
    <row r="1627" spans="2:58" x14ac:dyDescent="0.25">
      <c r="B1627" s="1">
        <v>2548</v>
      </c>
      <c r="C1627" s="1" t="str">
        <f>"DYON4190S7/C1"</f>
        <v>DYON4190S7/C1</v>
      </c>
      <c r="E1627" s="1" t="str">
        <f>"40"</f>
        <v>40</v>
      </c>
      <c r="F1627" s="1" t="str">
        <f t="shared" si="1050"/>
        <v>BONIS SPA</v>
      </c>
      <c r="G1627" s="1" t="str">
        <f t="shared" si="1038"/>
        <v>STOCK SCAFFALE MP</v>
      </c>
      <c r="H1627" s="1" t="str">
        <f t="shared" si="1072"/>
        <v>WHI</v>
      </c>
      <c r="K1627" s="1">
        <v>6</v>
      </c>
      <c r="L1627" s="1" t="str">
        <f t="shared" si="1051"/>
        <v>01</v>
      </c>
      <c r="M1627" s="1" t="str">
        <f t="shared" si="1046"/>
        <v>409</v>
      </c>
      <c r="N1627" s="1" t="str">
        <f t="shared" si="1070"/>
        <v>010</v>
      </c>
      <c r="O1627" s="1" t="str">
        <f t="shared" si="1052"/>
        <v>00</v>
      </c>
      <c r="P1627" s="1" t="str">
        <f t="shared" si="1053"/>
        <v>S</v>
      </c>
      <c r="Q1627" s="1" t="str">
        <f t="shared" si="1054"/>
        <v>P</v>
      </c>
      <c r="R1627" s="1" t="str">
        <f t="shared" si="1055"/>
        <v>01</v>
      </c>
      <c r="S1627" s="1" t="str">
        <f t="shared" si="1039"/>
        <v>04</v>
      </c>
      <c r="T1627" s="1" t="str">
        <f t="shared" si="1056"/>
        <v>False</v>
      </c>
      <c r="U1627" s="1" t="str">
        <f t="shared" si="1057"/>
        <v>True</v>
      </c>
      <c r="V1627" s="1" t="str">
        <f>"U0028051"</f>
        <v>U0028051</v>
      </c>
      <c r="W1627" s="1">
        <v>1</v>
      </c>
      <c r="Y1627" s="1">
        <v>0</v>
      </c>
      <c r="Z1627" s="1">
        <v>0</v>
      </c>
      <c r="AB1627" s="1" t="str">
        <f t="shared" si="1047"/>
        <v>SMU</v>
      </c>
      <c r="AI1627" s="1" t="str">
        <f t="shared" si="1071"/>
        <v>F11</v>
      </c>
      <c r="AJ1627" s="1" t="str">
        <f t="shared" si="1066"/>
        <v>WOMAN</v>
      </c>
      <c r="AK1627" s="1" t="str">
        <f t="shared" si="1058"/>
        <v>PA</v>
      </c>
      <c r="AP1627" s="1" t="str">
        <f t="shared" si="1059"/>
        <v>False</v>
      </c>
      <c r="AR1627" s="1" t="str">
        <f t="shared" si="1067"/>
        <v>DYON</v>
      </c>
      <c r="AY1627" s="1" t="str">
        <f t="shared" si="1060"/>
        <v>PF</v>
      </c>
      <c r="AZ1627" s="1">
        <v>0</v>
      </c>
      <c r="BA1627" s="1">
        <v>0</v>
      </c>
      <c r="BB1627" s="1">
        <v>0</v>
      </c>
      <c r="BC1627" s="1">
        <v>0</v>
      </c>
      <c r="BD1627" s="1">
        <v>0</v>
      </c>
      <c r="BE1627" s="1" t="str">
        <f>"ION GOMMA TWILL CANVAS"</f>
        <v>ION GOMMA TWILL CANVAS</v>
      </c>
      <c r="BF1627" s="1" t="str">
        <f t="shared" si="1061"/>
        <v>Bonis SpA</v>
      </c>
    </row>
    <row r="1628" spans="2:58" x14ac:dyDescent="0.25">
      <c r="B1628" s="1">
        <v>2548</v>
      </c>
      <c r="C1628" s="1" t="str">
        <f>"DYON4190S7/C1"</f>
        <v>DYON4190S7/C1</v>
      </c>
      <c r="E1628" s="1" t="str">
        <f>"41"</f>
        <v>41</v>
      </c>
      <c r="F1628" s="1" t="str">
        <f t="shared" si="1050"/>
        <v>BONIS SPA</v>
      </c>
      <c r="G1628" s="1" t="str">
        <f t="shared" si="1038"/>
        <v>STOCK SCAFFALE MP</v>
      </c>
      <c r="H1628" s="1" t="str">
        <f t="shared" si="1072"/>
        <v>WHI</v>
      </c>
      <c r="K1628" s="1">
        <v>3</v>
      </c>
      <c r="L1628" s="1" t="str">
        <f t="shared" si="1051"/>
        <v>01</v>
      </c>
      <c r="M1628" s="1" t="str">
        <f t="shared" si="1046"/>
        <v>409</v>
      </c>
      <c r="N1628" s="1" t="str">
        <f t="shared" si="1070"/>
        <v>010</v>
      </c>
      <c r="O1628" s="1" t="str">
        <f t="shared" si="1052"/>
        <v>00</v>
      </c>
      <c r="P1628" s="1" t="str">
        <f t="shared" si="1053"/>
        <v>S</v>
      </c>
      <c r="Q1628" s="1" t="str">
        <f t="shared" si="1054"/>
        <v>P</v>
      </c>
      <c r="R1628" s="1" t="str">
        <f t="shared" si="1055"/>
        <v>01</v>
      </c>
      <c r="S1628" s="1" t="str">
        <f t="shared" si="1039"/>
        <v>04</v>
      </c>
      <c r="T1628" s="1" t="str">
        <f t="shared" si="1056"/>
        <v>False</v>
      </c>
      <c r="U1628" s="1" t="str">
        <f t="shared" si="1057"/>
        <v>True</v>
      </c>
      <c r="V1628" s="1" t="str">
        <f>"U0028051"</f>
        <v>U0028051</v>
      </c>
      <c r="W1628" s="1">
        <v>1</v>
      </c>
      <c r="Y1628" s="1">
        <v>0</v>
      </c>
      <c r="Z1628" s="1">
        <v>0</v>
      </c>
      <c r="AB1628" s="1" t="str">
        <f t="shared" si="1047"/>
        <v>SMU</v>
      </c>
      <c r="AI1628" s="1" t="str">
        <f t="shared" si="1071"/>
        <v>F11</v>
      </c>
      <c r="AJ1628" s="1" t="str">
        <f t="shared" si="1066"/>
        <v>WOMAN</v>
      </c>
      <c r="AK1628" s="1" t="str">
        <f t="shared" si="1058"/>
        <v>PA</v>
      </c>
      <c r="AP1628" s="1" t="str">
        <f t="shared" si="1059"/>
        <v>False</v>
      </c>
      <c r="AR1628" s="1" t="str">
        <f t="shared" si="1067"/>
        <v>DYON</v>
      </c>
      <c r="AY1628" s="1" t="str">
        <f t="shared" si="1060"/>
        <v>PF</v>
      </c>
      <c r="AZ1628" s="1">
        <v>0</v>
      </c>
      <c r="BA1628" s="1">
        <v>0</v>
      </c>
      <c r="BB1628" s="1">
        <v>0</v>
      </c>
      <c r="BC1628" s="1">
        <v>0</v>
      </c>
      <c r="BD1628" s="1">
        <v>0</v>
      </c>
      <c r="BE1628" s="1" t="str">
        <f>"ION GOMMA TWILL CANVAS"</f>
        <v>ION GOMMA TWILL CANVAS</v>
      </c>
      <c r="BF1628" s="1" t="str">
        <f t="shared" si="1061"/>
        <v>Bonis SpA</v>
      </c>
    </row>
    <row r="1629" spans="2:58" x14ac:dyDescent="0.25">
      <c r="B1629" s="1">
        <v>2548</v>
      </c>
      <c r="C1629" s="1" t="str">
        <f>"DYON4190S7/C1"</f>
        <v>DYON4190S7/C1</v>
      </c>
      <c r="E1629" s="1" t="str">
        <f>"41"</f>
        <v>41</v>
      </c>
      <c r="F1629" s="1" t="str">
        <f t="shared" si="1050"/>
        <v>BONIS SPA</v>
      </c>
      <c r="G1629" s="1" t="str">
        <f t="shared" si="1038"/>
        <v>STOCK SCAFFALE MP</v>
      </c>
      <c r="H1629" s="1" t="str">
        <f t="shared" si="1072"/>
        <v>WHI</v>
      </c>
      <c r="K1629" s="1">
        <v>8</v>
      </c>
      <c r="L1629" s="1" t="str">
        <f t="shared" si="1051"/>
        <v>01</v>
      </c>
      <c r="M1629" s="1" t="str">
        <f t="shared" si="1046"/>
        <v>409</v>
      </c>
      <c r="N1629" s="1" t="str">
        <f t="shared" si="1070"/>
        <v>010</v>
      </c>
      <c r="O1629" s="1" t="str">
        <f t="shared" si="1052"/>
        <v>00</v>
      </c>
      <c r="P1629" s="1" t="str">
        <f t="shared" si="1053"/>
        <v>S</v>
      </c>
      <c r="Q1629" s="1" t="str">
        <f t="shared" si="1054"/>
        <v>P</v>
      </c>
      <c r="R1629" s="1" t="str">
        <f t="shared" si="1055"/>
        <v>01</v>
      </c>
      <c r="S1629" s="1" t="str">
        <f t="shared" si="1039"/>
        <v>04</v>
      </c>
      <c r="T1629" s="1" t="str">
        <f t="shared" si="1056"/>
        <v>False</v>
      </c>
      <c r="U1629" s="1" t="str">
        <f t="shared" si="1057"/>
        <v>True</v>
      </c>
      <c r="V1629" s="1" t="str">
        <f>"U0028096"</f>
        <v>U0028096</v>
      </c>
      <c r="W1629" s="1">
        <v>1</v>
      </c>
      <c r="Y1629" s="1">
        <v>0</v>
      </c>
      <c r="Z1629" s="1">
        <v>0</v>
      </c>
      <c r="AB1629" s="1" t="str">
        <f t="shared" si="1047"/>
        <v>SMU</v>
      </c>
      <c r="AI1629" s="1" t="str">
        <f t="shared" si="1071"/>
        <v>F11</v>
      </c>
      <c r="AJ1629" s="1" t="str">
        <f t="shared" si="1066"/>
        <v>WOMAN</v>
      </c>
      <c r="AK1629" s="1" t="str">
        <f t="shared" si="1058"/>
        <v>PA</v>
      </c>
      <c r="AP1629" s="1" t="str">
        <f t="shared" si="1059"/>
        <v>False</v>
      </c>
      <c r="AR1629" s="1" t="str">
        <f t="shared" si="1067"/>
        <v>DYON</v>
      </c>
      <c r="AY1629" s="1" t="str">
        <f t="shared" si="1060"/>
        <v>PF</v>
      </c>
      <c r="AZ1629" s="1">
        <v>0</v>
      </c>
      <c r="BA1629" s="1">
        <v>0</v>
      </c>
      <c r="BB1629" s="1">
        <v>0</v>
      </c>
      <c r="BC1629" s="1">
        <v>0</v>
      </c>
      <c r="BD1629" s="1">
        <v>0</v>
      </c>
      <c r="BE1629" s="1" t="str">
        <f>"ION GOMMA TWILL CANVAS"</f>
        <v>ION GOMMA TWILL CANVAS</v>
      </c>
      <c r="BF1629" s="1" t="str">
        <f t="shared" si="1061"/>
        <v>Bonis SpA</v>
      </c>
    </row>
    <row r="1630" spans="2:58" x14ac:dyDescent="0.25">
      <c r="B1630" s="1">
        <v>2548</v>
      </c>
      <c r="C1630" s="1" t="str">
        <f>"DYON4191S7/C1"</f>
        <v>DYON4191S7/C1</v>
      </c>
      <c r="E1630" s="1" t="str">
        <f>"38"</f>
        <v>38</v>
      </c>
      <c r="F1630" s="1" t="str">
        <f t="shared" si="1050"/>
        <v>BONIS SPA</v>
      </c>
      <c r="G1630" s="1" t="str">
        <f t="shared" si="1038"/>
        <v>STOCK SCAFFALE MP</v>
      </c>
      <c r="H1630" s="1" t="str">
        <f t="shared" si="1072"/>
        <v>WHI</v>
      </c>
      <c r="K1630" s="1">
        <v>6</v>
      </c>
      <c r="L1630" s="1" t="str">
        <f t="shared" si="1051"/>
        <v>01</v>
      </c>
      <c r="M1630" s="1" t="str">
        <f t="shared" si="1046"/>
        <v>409</v>
      </c>
      <c r="N1630" s="1" t="str">
        <f t="shared" si="1070"/>
        <v>010</v>
      </c>
      <c r="O1630" s="1" t="str">
        <f t="shared" si="1052"/>
        <v>00</v>
      </c>
      <c r="P1630" s="1" t="str">
        <f t="shared" si="1053"/>
        <v>S</v>
      </c>
      <c r="Q1630" s="1" t="str">
        <f t="shared" si="1054"/>
        <v>P</v>
      </c>
      <c r="R1630" s="1" t="str">
        <f t="shared" si="1055"/>
        <v>01</v>
      </c>
      <c r="S1630" s="1" t="str">
        <f t="shared" si="1039"/>
        <v>04</v>
      </c>
      <c r="T1630" s="1" t="str">
        <f t="shared" si="1056"/>
        <v>False</v>
      </c>
      <c r="U1630" s="1" t="str">
        <f t="shared" si="1057"/>
        <v>True</v>
      </c>
      <c r="V1630" s="1" t="str">
        <f>"U0028094"</f>
        <v>U0028094</v>
      </c>
      <c r="W1630" s="1">
        <v>1</v>
      </c>
      <c r="Y1630" s="1">
        <v>0</v>
      </c>
      <c r="Z1630" s="1">
        <v>0</v>
      </c>
      <c r="AB1630" s="1" t="str">
        <f t="shared" si="1047"/>
        <v>SMU</v>
      </c>
      <c r="AI1630" s="1" t="str">
        <f t="shared" si="1071"/>
        <v>F11</v>
      </c>
      <c r="AJ1630" s="1" t="str">
        <f t="shared" si="1066"/>
        <v>WOMAN</v>
      </c>
      <c r="AK1630" s="1" t="str">
        <f t="shared" si="1058"/>
        <v>PA</v>
      </c>
      <c r="AP1630" s="1" t="str">
        <f t="shared" si="1059"/>
        <v>False</v>
      </c>
      <c r="AR1630" s="1" t="str">
        <f t="shared" si="1067"/>
        <v>DYON</v>
      </c>
      <c r="AY1630" s="1" t="str">
        <f t="shared" si="1060"/>
        <v>PF</v>
      </c>
      <c r="AZ1630" s="1">
        <v>0</v>
      </c>
      <c r="BA1630" s="1">
        <v>0</v>
      </c>
      <c r="BB1630" s="1">
        <v>0</v>
      </c>
      <c r="BC1630" s="1">
        <v>0</v>
      </c>
      <c r="BD1630" s="1">
        <v>0</v>
      </c>
      <c r="BE1630" s="1" t="str">
        <f>"YON GOMMA TWILL CANVAS"</f>
        <v>YON GOMMA TWILL CANVAS</v>
      </c>
      <c r="BF1630" s="1" t="str">
        <f t="shared" si="1061"/>
        <v>Bonis SpA</v>
      </c>
    </row>
    <row r="1631" spans="2:58" x14ac:dyDescent="0.25">
      <c r="B1631" s="1">
        <v>2548</v>
      </c>
      <c r="C1631" s="1" t="str">
        <f t="shared" ref="C1631:C1642" si="1073">"DYON4190S7/C1"</f>
        <v>DYON4190S7/C1</v>
      </c>
      <c r="E1631" s="1" t="str">
        <f>"40"</f>
        <v>40</v>
      </c>
      <c r="F1631" s="1" t="str">
        <f t="shared" si="1050"/>
        <v>BONIS SPA</v>
      </c>
      <c r="G1631" s="1" t="str">
        <f t="shared" si="1038"/>
        <v>STOCK SCAFFALE MP</v>
      </c>
      <c r="H1631" s="1" t="str">
        <f t="shared" si="1072"/>
        <v>WHI</v>
      </c>
      <c r="K1631" s="1">
        <v>3</v>
      </c>
      <c r="L1631" s="1" t="str">
        <f t="shared" si="1051"/>
        <v>01</v>
      </c>
      <c r="M1631" s="1" t="str">
        <f t="shared" si="1046"/>
        <v>409</v>
      </c>
      <c r="N1631" s="1" t="str">
        <f t="shared" si="1070"/>
        <v>010</v>
      </c>
      <c r="O1631" s="1" t="str">
        <f t="shared" si="1052"/>
        <v>00</v>
      </c>
      <c r="P1631" s="1" t="str">
        <f t="shared" si="1053"/>
        <v>S</v>
      </c>
      <c r="Q1631" s="1" t="str">
        <f t="shared" si="1054"/>
        <v>P</v>
      </c>
      <c r="R1631" s="1" t="str">
        <f t="shared" si="1055"/>
        <v>01</v>
      </c>
      <c r="S1631" s="1" t="str">
        <f t="shared" si="1039"/>
        <v>04</v>
      </c>
      <c r="T1631" s="1" t="str">
        <f t="shared" si="1056"/>
        <v>False</v>
      </c>
      <c r="U1631" s="1" t="str">
        <f t="shared" si="1057"/>
        <v>True</v>
      </c>
      <c r="V1631" s="1" t="str">
        <f>"U0028094"</f>
        <v>U0028094</v>
      </c>
      <c r="W1631" s="1">
        <v>1</v>
      </c>
      <c r="Y1631" s="1">
        <v>0</v>
      </c>
      <c r="Z1631" s="1">
        <v>0</v>
      </c>
      <c r="AB1631" s="1" t="str">
        <f t="shared" si="1047"/>
        <v>SMU</v>
      </c>
      <c r="AI1631" s="1" t="str">
        <f t="shared" si="1071"/>
        <v>F11</v>
      </c>
      <c r="AJ1631" s="1" t="str">
        <f t="shared" si="1066"/>
        <v>WOMAN</v>
      </c>
      <c r="AK1631" s="1" t="str">
        <f t="shared" si="1058"/>
        <v>PA</v>
      </c>
      <c r="AP1631" s="1" t="str">
        <f t="shared" si="1059"/>
        <v>False</v>
      </c>
      <c r="AR1631" s="1" t="str">
        <f t="shared" si="1067"/>
        <v>DYON</v>
      </c>
      <c r="AY1631" s="1" t="str">
        <f t="shared" si="1060"/>
        <v>PF</v>
      </c>
      <c r="AZ1631" s="1">
        <v>0</v>
      </c>
      <c r="BA1631" s="1">
        <v>0</v>
      </c>
      <c r="BB1631" s="1">
        <v>0</v>
      </c>
      <c r="BC1631" s="1">
        <v>0</v>
      </c>
      <c r="BD1631" s="1">
        <v>0</v>
      </c>
      <c r="BE1631" s="1" t="str">
        <f t="shared" ref="BE1631:BE1642" si="1074">"ION GOMMA TWILL CANVAS"</f>
        <v>ION GOMMA TWILL CANVAS</v>
      </c>
      <c r="BF1631" s="1" t="str">
        <f t="shared" si="1061"/>
        <v>Bonis SpA</v>
      </c>
    </row>
    <row r="1632" spans="2:58" x14ac:dyDescent="0.25">
      <c r="B1632" s="1">
        <v>2548</v>
      </c>
      <c r="C1632" s="1" t="str">
        <f t="shared" si="1073"/>
        <v>DYON4190S7/C1</v>
      </c>
      <c r="E1632" s="1" t="str">
        <f>"39"</f>
        <v>39</v>
      </c>
      <c r="F1632" s="1" t="str">
        <f t="shared" si="1050"/>
        <v>BONIS SPA</v>
      </c>
      <c r="G1632" s="1" t="str">
        <f t="shared" si="1038"/>
        <v>STOCK SCAFFALE MP</v>
      </c>
      <c r="H1632" s="1" t="str">
        <f>"FUX"</f>
        <v>FUX</v>
      </c>
      <c r="K1632" s="1">
        <v>5</v>
      </c>
      <c r="L1632" s="1" t="str">
        <f t="shared" si="1051"/>
        <v>01</v>
      </c>
      <c r="M1632" s="1" t="str">
        <f t="shared" si="1046"/>
        <v>409</v>
      </c>
      <c r="N1632" s="1" t="str">
        <f t="shared" si="1070"/>
        <v>010</v>
      </c>
      <c r="O1632" s="1" t="str">
        <f t="shared" si="1052"/>
        <v>00</v>
      </c>
      <c r="P1632" s="1" t="str">
        <f t="shared" si="1053"/>
        <v>S</v>
      </c>
      <c r="Q1632" s="1" t="str">
        <f t="shared" si="1054"/>
        <v>P</v>
      </c>
      <c r="R1632" s="1" t="str">
        <f t="shared" si="1055"/>
        <v>01</v>
      </c>
      <c r="S1632" s="1" t="str">
        <f t="shared" si="1039"/>
        <v>04</v>
      </c>
      <c r="T1632" s="1" t="str">
        <f t="shared" si="1056"/>
        <v>False</v>
      </c>
      <c r="U1632" s="1" t="str">
        <f t="shared" si="1057"/>
        <v>True</v>
      </c>
      <c r="V1632" s="1" t="str">
        <f>"U0028053"</f>
        <v>U0028053</v>
      </c>
      <c r="W1632" s="1">
        <v>1</v>
      </c>
      <c r="Y1632" s="1">
        <v>0</v>
      </c>
      <c r="Z1632" s="1">
        <v>0</v>
      </c>
      <c r="AB1632" s="1" t="str">
        <f t="shared" si="1047"/>
        <v>SMU</v>
      </c>
      <c r="AI1632" s="1" t="str">
        <f t="shared" si="1071"/>
        <v>F11</v>
      </c>
      <c r="AJ1632" s="1" t="str">
        <f t="shared" si="1066"/>
        <v>WOMAN</v>
      </c>
      <c r="AK1632" s="1" t="str">
        <f t="shared" si="1058"/>
        <v>PA</v>
      </c>
      <c r="AP1632" s="1" t="str">
        <f t="shared" si="1059"/>
        <v>False</v>
      </c>
      <c r="AR1632" s="1" t="str">
        <f t="shared" si="1067"/>
        <v>DYON</v>
      </c>
      <c r="AY1632" s="1" t="str">
        <f t="shared" si="1060"/>
        <v>PF</v>
      </c>
      <c r="AZ1632" s="1">
        <v>0</v>
      </c>
      <c r="BA1632" s="1">
        <v>0</v>
      </c>
      <c r="BB1632" s="1">
        <v>0</v>
      </c>
      <c r="BC1632" s="1">
        <v>0</v>
      </c>
      <c r="BD1632" s="1">
        <v>0</v>
      </c>
      <c r="BE1632" s="1" t="str">
        <f t="shared" si="1074"/>
        <v>ION GOMMA TWILL CANVAS</v>
      </c>
      <c r="BF1632" s="1" t="str">
        <f t="shared" si="1061"/>
        <v>Bonis SpA</v>
      </c>
    </row>
    <row r="1633" spans="2:58" x14ac:dyDescent="0.25">
      <c r="B1633" s="1">
        <v>2548</v>
      </c>
      <c r="C1633" s="1" t="str">
        <f t="shared" si="1073"/>
        <v>DYON4190S7/C1</v>
      </c>
      <c r="E1633" s="1" t="str">
        <f>"40"</f>
        <v>40</v>
      </c>
      <c r="F1633" s="1" t="str">
        <f t="shared" si="1050"/>
        <v>BONIS SPA</v>
      </c>
      <c r="G1633" s="1" t="str">
        <f t="shared" si="1038"/>
        <v>STOCK SCAFFALE MP</v>
      </c>
      <c r="H1633" s="1" t="str">
        <f>"FUX"</f>
        <v>FUX</v>
      </c>
      <c r="K1633" s="1">
        <v>2</v>
      </c>
      <c r="L1633" s="1" t="str">
        <f t="shared" si="1051"/>
        <v>01</v>
      </c>
      <c r="M1633" s="1" t="str">
        <f t="shared" si="1046"/>
        <v>409</v>
      </c>
      <c r="N1633" s="1" t="str">
        <f t="shared" si="1070"/>
        <v>010</v>
      </c>
      <c r="O1633" s="1" t="str">
        <f t="shared" si="1052"/>
        <v>00</v>
      </c>
      <c r="P1633" s="1" t="str">
        <f t="shared" si="1053"/>
        <v>S</v>
      </c>
      <c r="Q1633" s="1" t="str">
        <f t="shared" si="1054"/>
        <v>P</v>
      </c>
      <c r="R1633" s="1" t="str">
        <f t="shared" si="1055"/>
        <v>01</v>
      </c>
      <c r="S1633" s="1" t="str">
        <f t="shared" si="1039"/>
        <v>04</v>
      </c>
      <c r="T1633" s="1" t="str">
        <f t="shared" si="1056"/>
        <v>False</v>
      </c>
      <c r="U1633" s="1" t="str">
        <f t="shared" si="1057"/>
        <v>True</v>
      </c>
      <c r="V1633" s="1" t="str">
        <f>"U0028053"</f>
        <v>U0028053</v>
      </c>
      <c r="W1633" s="1">
        <v>1</v>
      </c>
      <c r="Y1633" s="1">
        <v>0</v>
      </c>
      <c r="Z1633" s="1">
        <v>0</v>
      </c>
      <c r="AB1633" s="1" t="str">
        <f t="shared" si="1047"/>
        <v>SMU</v>
      </c>
      <c r="AI1633" s="1" t="str">
        <f t="shared" si="1071"/>
        <v>F11</v>
      </c>
      <c r="AJ1633" s="1" t="str">
        <f t="shared" si="1066"/>
        <v>WOMAN</v>
      </c>
      <c r="AK1633" s="1" t="str">
        <f t="shared" si="1058"/>
        <v>PA</v>
      </c>
      <c r="AP1633" s="1" t="str">
        <f t="shared" si="1059"/>
        <v>False</v>
      </c>
      <c r="AR1633" s="1" t="str">
        <f t="shared" si="1067"/>
        <v>DYON</v>
      </c>
      <c r="AY1633" s="1" t="str">
        <f t="shared" si="1060"/>
        <v>PF</v>
      </c>
      <c r="AZ1633" s="1">
        <v>0</v>
      </c>
      <c r="BA1633" s="1">
        <v>0</v>
      </c>
      <c r="BB1633" s="1">
        <v>0</v>
      </c>
      <c r="BC1633" s="1">
        <v>0</v>
      </c>
      <c r="BD1633" s="1">
        <v>0</v>
      </c>
      <c r="BE1633" s="1" t="str">
        <f t="shared" si="1074"/>
        <v>ION GOMMA TWILL CANVAS</v>
      </c>
      <c r="BF1633" s="1" t="str">
        <f t="shared" si="1061"/>
        <v>Bonis SpA</v>
      </c>
    </row>
    <row r="1634" spans="2:58" x14ac:dyDescent="0.25">
      <c r="B1634" s="1">
        <v>2548</v>
      </c>
      <c r="C1634" s="1" t="str">
        <f t="shared" si="1073"/>
        <v>DYON4190S7/C1</v>
      </c>
      <c r="E1634" s="1" t="str">
        <f>"38"</f>
        <v>38</v>
      </c>
      <c r="F1634" s="1" t="str">
        <f t="shared" si="1050"/>
        <v>BONIS SPA</v>
      </c>
      <c r="G1634" s="1" t="str">
        <f t="shared" si="1038"/>
        <v>STOCK SCAFFALE MP</v>
      </c>
      <c r="H1634" s="1" t="str">
        <f>"FUX"</f>
        <v>FUX</v>
      </c>
      <c r="K1634" s="1">
        <v>4</v>
      </c>
      <c r="L1634" s="1" t="str">
        <f t="shared" si="1051"/>
        <v>01</v>
      </c>
      <c r="M1634" s="1" t="str">
        <f t="shared" si="1046"/>
        <v>409</v>
      </c>
      <c r="N1634" s="1" t="str">
        <f t="shared" si="1070"/>
        <v>010</v>
      </c>
      <c r="O1634" s="1" t="str">
        <f t="shared" si="1052"/>
        <v>00</v>
      </c>
      <c r="P1634" s="1" t="str">
        <f t="shared" si="1053"/>
        <v>S</v>
      </c>
      <c r="Q1634" s="1" t="str">
        <f t="shared" si="1054"/>
        <v>P</v>
      </c>
      <c r="R1634" s="1" t="str">
        <f t="shared" si="1055"/>
        <v>01</v>
      </c>
      <c r="S1634" s="1" t="str">
        <f t="shared" si="1039"/>
        <v>04</v>
      </c>
      <c r="T1634" s="1" t="str">
        <f t="shared" si="1056"/>
        <v>False</v>
      </c>
      <c r="U1634" s="1" t="str">
        <f t="shared" si="1057"/>
        <v>True</v>
      </c>
      <c r="V1634" s="1" t="str">
        <f>"U0028053"</f>
        <v>U0028053</v>
      </c>
      <c r="W1634" s="1">
        <v>1</v>
      </c>
      <c r="Y1634" s="1">
        <v>0</v>
      </c>
      <c r="Z1634" s="1">
        <v>0</v>
      </c>
      <c r="AB1634" s="1" t="str">
        <f t="shared" si="1047"/>
        <v>SMU</v>
      </c>
      <c r="AI1634" s="1" t="str">
        <f t="shared" si="1071"/>
        <v>F11</v>
      </c>
      <c r="AJ1634" s="1" t="str">
        <f t="shared" si="1066"/>
        <v>WOMAN</v>
      </c>
      <c r="AK1634" s="1" t="str">
        <f t="shared" si="1058"/>
        <v>PA</v>
      </c>
      <c r="AP1634" s="1" t="str">
        <f t="shared" si="1059"/>
        <v>False</v>
      </c>
      <c r="AR1634" s="1" t="str">
        <f t="shared" si="1067"/>
        <v>DYON</v>
      </c>
      <c r="AY1634" s="1" t="str">
        <f t="shared" si="1060"/>
        <v>PF</v>
      </c>
      <c r="AZ1634" s="1">
        <v>0</v>
      </c>
      <c r="BA1634" s="1">
        <v>0</v>
      </c>
      <c r="BB1634" s="1">
        <v>0</v>
      </c>
      <c r="BC1634" s="1">
        <v>0</v>
      </c>
      <c r="BD1634" s="1">
        <v>0</v>
      </c>
      <c r="BE1634" s="1" t="str">
        <f t="shared" si="1074"/>
        <v>ION GOMMA TWILL CANVAS</v>
      </c>
      <c r="BF1634" s="1" t="str">
        <f t="shared" si="1061"/>
        <v>Bonis SpA</v>
      </c>
    </row>
    <row r="1635" spans="2:58" x14ac:dyDescent="0.25">
      <c r="B1635" s="1">
        <v>2548</v>
      </c>
      <c r="C1635" s="1" t="str">
        <f t="shared" si="1073"/>
        <v>DYON4190S7/C1</v>
      </c>
      <c r="E1635" s="1" t="str">
        <f>"39"</f>
        <v>39</v>
      </c>
      <c r="F1635" s="1" t="str">
        <f t="shared" si="1050"/>
        <v>BONIS SPA</v>
      </c>
      <c r="G1635" s="1" t="str">
        <f t="shared" si="1038"/>
        <v>STOCK SCAFFALE MP</v>
      </c>
      <c r="H1635" s="1" t="str">
        <f>"BLK"</f>
        <v>BLK</v>
      </c>
      <c r="K1635" s="1">
        <v>2</v>
      </c>
      <c r="L1635" s="1" t="str">
        <f t="shared" si="1051"/>
        <v>01</v>
      </c>
      <c r="M1635" s="1" t="str">
        <f t="shared" si="1046"/>
        <v>409</v>
      </c>
      <c r="N1635" s="1" t="str">
        <f t="shared" si="1070"/>
        <v>010</v>
      </c>
      <c r="O1635" s="1" t="str">
        <f t="shared" si="1052"/>
        <v>00</v>
      </c>
      <c r="P1635" s="1" t="str">
        <f t="shared" si="1053"/>
        <v>S</v>
      </c>
      <c r="Q1635" s="1" t="str">
        <f t="shared" si="1054"/>
        <v>P</v>
      </c>
      <c r="R1635" s="1" t="str">
        <f t="shared" si="1055"/>
        <v>01</v>
      </c>
      <c r="S1635" s="1" t="str">
        <f t="shared" si="1039"/>
        <v>04</v>
      </c>
      <c r="T1635" s="1" t="str">
        <f t="shared" si="1056"/>
        <v>False</v>
      </c>
      <c r="U1635" s="1" t="str">
        <f t="shared" si="1057"/>
        <v>True</v>
      </c>
      <c r="V1635" s="1" t="str">
        <f>"U0028050"</f>
        <v>U0028050</v>
      </c>
      <c r="W1635" s="1">
        <v>1</v>
      </c>
      <c r="Y1635" s="1">
        <v>0</v>
      </c>
      <c r="Z1635" s="1">
        <v>0</v>
      </c>
      <c r="AB1635" s="1" t="str">
        <f t="shared" si="1047"/>
        <v>SMU</v>
      </c>
      <c r="AI1635" s="1" t="str">
        <f t="shared" si="1071"/>
        <v>F11</v>
      </c>
      <c r="AJ1635" s="1" t="str">
        <f t="shared" si="1066"/>
        <v>WOMAN</v>
      </c>
      <c r="AK1635" s="1" t="str">
        <f t="shared" si="1058"/>
        <v>PA</v>
      </c>
      <c r="AP1635" s="1" t="str">
        <f t="shared" si="1059"/>
        <v>False</v>
      </c>
      <c r="AR1635" s="1" t="str">
        <f t="shared" si="1067"/>
        <v>DYON</v>
      </c>
      <c r="AY1635" s="1" t="str">
        <f t="shared" si="1060"/>
        <v>PF</v>
      </c>
      <c r="AZ1635" s="1">
        <v>0</v>
      </c>
      <c r="BA1635" s="1">
        <v>0</v>
      </c>
      <c r="BB1635" s="1">
        <v>0</v>
      </c>
      <c r="BC1635" s="1">
        <v>0</v>
      </c>
      <c r="BD1635" s="1">
        <v>0</v>
      </c>
      <c r="BE1635" s="1" t="str">
        <f t="shared" si="1074"/>
        <v>ION GOMMA TWILL CANVAS</v>
      </c>
      <c r="BF1635" s="1" t="str">
        <f t="shared" si="1061"/>
        <v>Bonis SpA</v>
      </c>
    </row>
    <row r="1636" spans="2:58" x14ac:dyDescent="0.25">
      <c r="B1636" s="1">
        <v>2548</v>
      </c>
      <c r="C1636" s="1" t="str">
        <f t="shared" si="1073"/>
        <v>DYON4190S7/C1</v>
      </c>
      <c r="E1636" s="1" t="str">
        <f>"37"</f>
        <v>37</v>
      </c>
      <c r="F1636" s="1" t="str">
        <f t="shared" si="1050"/>
        <v>BONIS SPA</v>
      </c>
      <c r="G1636" s="1" t="str">
        <f t="shared" si="1038"/>
        <v>STOCK SCAFFALE MP</v>
      </c>
      <c r="H1636" s="1" t="str">
        <f>"FUX"</f>
        <v>FUX</v>
      </c>
      <c r="K1636" s="1">
        <v>2</v>
      </c>
      <c r="L1636" s="1" t="str">
        <f t="shared" si="1051"/>
        <v>01</v>
      </c>
      <c r="M1636" s="1" t="str">
        <f t="shared" si="1046"/>
        <v>409</v>
      </c>
      <c r="N1636" s="1" t="str">
        <f t="shared" si="1070"/>
        <v>010</v>
      </c>
      <c r="O1636" s="1" t="str">
        <f t="shared" si="1052"/>
        <v>00</v>
      </c>
      <c r="P1636" s="1" t="str">
        <f t="shared" si="1053"/>
        <v>S</v>
      </c>
      <c r="Q1636" s="1" t="str">
        <f t="shared" si="1054"/>
        <v>P</v>
      </c>
      <c r="R1636" s="1" t="str">
        <f t="shared" si="1055"/>
        <v>01</v>
      </c>
      <c r="S1636" s="1" t="str">
        <f t="shared" si="1039"/>
        <v>04</v>
      </c>
      <c r="T1636" s="1" t="str">
        <f t="shared" si="1056"/>
        <v>False</v>
      </c>
      <c r="U1636" s="1" t="str">
        <f t="shared" si="1057"/>
        <v>True</v>
      </c>
      <c r="V1636" s="1" t="str">
        <f>"U0028050"</f>
        <v>U0028050</v>
      </c>
      <c r="W1636" s="1">
        <v>1</v>
      </c>
      <c r="Y1636" s="1">
        <v>0</v>
      </c>
      <c r="Z1636" s="1">
        <v>0</v>
      </c>
      <c r="AB1636" s="1" t="str">
        <f t="shared" si="1047"/>
        <v>SMU</v>
      </c>
      <c r="AI1636" s="1" t="str">
        <f t="shared" si="1071"/>
        <v>F11</v>
      </c>
      <c r="AJ1636" s="1" t="str">
        <f t="shared" si="1066"/>
        <v>WOMAN</v>
      </c>
      <c r="AK1636" s="1" t="str">
        <f t="shared" si="1058"/>
        <v>PA</v>
      </c>
      <c r="AP1636" s="1" t="str">
        <f t="shared" si="1059"/>
        <v>False</v>
      </c>
      <c r="AR1636" s="1" t="str">
        <f t="shared" si="1067"/>
        <v>DYON</v>
      </c>
      <c r="AY1636" s="1" t="str">
        <f t="shared" si="1060"/>
        <v>PF</v>
      </c>
      <c r="AZ1636" s="1">
        <v>0</v>
      </c>
      <c r="BA1636" s="1">
        <v>0</v>
      </c>
      <c r="BB1636" s="1">
        <v>0</v>
      </c>
      <c r="BC1636" s="1">
        <v>0</v>
      </c>
      <c r="BD1636" s="1">
        <v>0</v>
      </c>
      <c r="BE1636" s="1" t="str">
        <f t="shared" si="1074"/>
        <v>ION GOMMA TWILL CANVAS</v>
      </c>
      <c r="BF1636" s="1" t="str">
        <f t="shared" si="1061"/>
        <v>Bonis SpA</v>
      </c>
    </row>
    <row r="1637" spans="2:58" x14ac:dyDescent="0.25">
      <c r="B1637" s="1">
        <v>2548</v>
      </c>
      <c r="C1637" s="1" t="str">
        <f t="shared" si="1073"/>
        <v>DYON4190S7/C1</v>
      </c>
      <c r="E1637" s="1" t="str">
        <f>"40"</f>
        <v>40</v>
      </c>
      <c r="F1637" s="1" t="str">
        <f t="shared" si="1050"/>
        <v>BONIS SPA</v>
      </c>
      <c r="G1637" s="1" t="str">
        <f t="shared" si="1038"/>
        <v>STOCK SCAFFALE MP</v>
      </c>
      <c r="H1637" s="1" t="str">
        <f>"WHI"</f>
        <v>WHI</v>
      </c>
      <c r="K1637" s="1">
        <v>4</v>
      </c>
      <c r="L1637" s="1" t="str">
        <f t="shared" si="1051"/>
        <v>01</v>
      </c>
      <c r="M1637" s="1" t="str">
        <f t="shared" si="1046"/>
        <v>409</v>
      </c>
      <c r="N1637" s="1" t="str">
        <f t="shared" si="1070"/>
        <v>010</v>
      </c>
      <c r="O1637" s="1" t="str">
        <f t="shared" si="1052"/>
        <v>00</v>
      </c>
      <c r="P1637" s="1" t="str">
        <f t="shared" si="1053"/>
        <v>S</v>
      </c>
      <c r="Q1637" s="1" t="str">
        <f t="shared" si="1054"/>
        <v>P</v>
      </c>
      <c r="R1637" s="1" t="str">
        <f t="shared" si="1055"/>
        <v>01</v>
      </c>
      <c r="S1637" s="1" t="str">
        <f t="shared" si="1039"/>
        <v>04</v>
      </c>
      <c r="T1637" s="1" t="str">
        <f t="shared" si="1056"/>
        <v>False</v>
      </c>
      <c r="U1637" s="1" t="str">
        <f t="shared" si="1057"/>
        <v>True</v>
      </c>
      <c r="V1637" s="1" t="str">
        <f>"U0028050"</f>
        <v>U0028050</v>
      </c>
      <c r="W1637" s="1">
        <v>1</v>
      </c>
      <c r="Y1637" s="1">
        <v>0</v>
      </c>
      <c r="Z1637" s="1">
        <v>0</v>
      </c>
      <c r="AB1637" s="1" t="str">
        <f t="shared" si="1047"/>
        <v>SMU</v>
      </c>
      <c r="AI1637" s="1" t="str">
        <f t="shared" si="1071"/>
        <v>F11</v>
      </c>
      <c r="AJ1637" s="1" t="str">
        <f t="shared" si="1066"/>
        <v>WOMAN</v>
      </c>
      <c r="AK1637" s="1" t="str">
        <f t="shared" si="1058"/>
        <v>PA</v>
      </c>
      <c r="AP1637" s="1" t="str">
        <f t="shared" si="1059"/>
        <v>False</v>
      </c>
      <c r="AR1637" s="1" t="str">
        <f t="shared" si="1067"/>
        <v>DYON</v>
      </c>
      <c r="AY1637" s="1" t="str">
        <f t="shared" si="1060"/>
        <v>PF</v>
      </c>
      <c r="AZ1637" s="1">
        <v>0</v>
      </c>
      <c r="BA1637" s="1">
        <v>0</v>
      </c>
      <c r="BB1637" s="1">
        <v>0</v>
      </c>
      <c r="BC1637" s="1">
        <v>0</v>
      </c>
      <c r="BD1637" s="1">
        <v>0</v>
      </c>
      <c r="BE1637" s="1" t="str">
        <f t="shared" si="1074"/>
        <v>ION GOMMA TWILL CANVAS</v>
      </c>
      <c r="BF1637" s="1" t="str">
        <f t="shared" si="1061"/>
        <v>Bonis SpA</v>
      </c>
    </row>
    <row r="1638" spans="2:58" x14ac:dyDescent="0.25">
      <c r="B1638" s="1">
        <v>2548</v>
      </c>
      <c r="C1638" s="1" t="str">
        <f t="shared" si="1073"/>
        <v>DYON4190S7/C1</v>
      </c>
      <c r="E1638" s="1" t="str">
        <f>"41"</f>
        <v>41</v>
      </c>
      <c r="F1638" s="1" t="str">
        <f t="shared" si="1050"/>
        <v>BONIS SPA</v>
      </c>
      <c r="G1638" s="1" t="str">
        <f t="shared" si="1038"/>
        <v>STOCK SCAFFALE MP</v>
      </c>
      <c r="H1638" s="1" t="str">
        <f>"BLK"</f>
        <v>BLK</v>
      </c>
      <c r="K1638" s="1">
        <v>1</v>
      </c>
      <c r="L1638" s="1" t="str">
        <f t="shared" si="1051"/>
        <v>01</v>
      </c>
      <c r="M1638" s="1" t="str">
        <f t="shared" si="1046"/>
        <v>409</v>
      </c>
      <c r="N1638" s="1" t="str">
        <f t="shared" si="1070"/>
        <v>010</v>
      </c>
      <c r="O1638" s="1" t="str">
        <f t="shared" si="1052"/>
        <v>00</v>
      </c>
      <c r="P1638" s="1" t="str">
        <f t="shared" si="1053"/>
        <v>S</v>
      </c>
      <c r="Q1638" s="1" t="str">
        <f t="shared" si="1054"/>
        <v>P</v>
      </c>
      <c r="R1638" s="1" t="str">
        <f t="shared" si="1055"/>
        <v>01</v>
      </c>
      <c r="S1638" s="1" t="str">
        <f t="shared" si="1039"/>
        <v>04</v>
      </c>
      <c r="T1638" s="1" t="str">
        <f t="shared" si="1056"/>
        <v>False</v>
      </c>
      <c r="U1638" s="1" t="str">
        <f t="shared" si="1057"/>
        <v>True</v>
      </c>
      <c r="V1638" s="1" t="str">
        <f>"U0028050"</f>
        <v>U0028050</v>
      </c>
      <c r="W1638" s="1">
        <v>1</v>
      </c>
      <c r="Y1638" s="1">
        <v>0</v>
      </c>
      <c r="Z1638" s="1">
        <v>0</v>
      </c>
      <c r="AB1638" s="1" t="str">
        <f t="shared" si="1047"/>
        <v>SMU</v>
      </c>
      <c r="AI1638" s="1" t="str">
        <f t="shared" si="1071"/>
        <v>F11</v>
      </c>
      <c r="AJ1638" s="1" t="str">
        <f t="shared" si="1066"/>
        <v>WOMAN</v>
      </c>
      <c r="AK1638" s="1" t="str">
        <f t="shared" si="1058"/>
        <v>PA</v>
      </c>
      <c r="AP1638" s="1" t="str">
        <f t="shared" si="1059"/>
        <v>False</v>
      </c>
      <c r="AR1638" s="1" t="str">
        <f t="shared" si="1067"/>
        <v>DYON</v>
      </c>
      <c r="AY1638" s="1" t="str">
        <f t="shared" si="1060"/>
        <v>PF</v>
      </c>
      <c r="AZ1638" s="1">
        <v>0</v>
      </c>
      <c r="BA1638" s="1">
        <v>0</v>
      </c>
      <c r="BB1638" s="1">
        <v>0</v>
      </c>
      <c r="BC1638" s="1">
        <v>0</v>
      </c>
      <c r="BD1638" s="1">
        <v>0</v>
      </c>
      <c r="BE1638" s="1" t="str">
        <f t="shared" si="1074"/>
        <v>ION GOMMA TWILL CANVAS</v>
      </c>
      <c r="BF1638" s="1" t="str">
        <f t="shared" si="1061"/>
        <v>Bonis SpA</v>
      </c>
    </row>
    <row r="1639" spans="2:58" x14ac:dyDescent="0.25">
      <c r="B1639" s="1">
        <v>2548</v>
      </c>
      <c r="C1639" s="1" t="str">
        <f t="shared" si="1073"/>
        <v>DYON4190S7/C1</v>
      </c>
      <c r="E1639" s="1" t="str">
        <f>"38"</f>
        <v>38</v>
      </c>
      <c r="F1639" s="1" t="str">
        <f t="shared" si="1050"/>
        <v>BONIS SPA</v>
      </c>
      <c r="G1639" s="1" t="str">
        <f t="shared" si="1038"/>
        <v>STOCK SCAFFALE MP</v>
      </c>
      <c r="H1639" s="1" t="str">
        <f>"BLK"</f>
        <v>BLK</v>
      </c>
      <c r="K1639" s="1">
        <v>1</v>
      </c>
      <c r="L1639" s="1" t="str">
        <f t="shared" si="1051"/>
        <v>01</v>
      </c>
      <c r="M1639" s="1" t="str">
        <f t="shared" si="1046"/>
        <v>409</v>
      </c>
      <c r="N1639" s="1" t="str">
        <f t="shared" si="1070"/>
        <v>010</v>
      </c>
      <c r="O1639" s="1" t="str">
        <f t="shared" si="1052"/>
        <v>00</v>
      </c>
      <c r="P1639" s="1" t="str">
        <f t="shared" si="1053"/>
        <v>S</v>
      </c>
      <c r="Q1639" s="1" t="str">
        <f t="shared" si="1054"/>
        <v>P</v>
      </c>
      <c r="R1639" s="1" t="str">
        <f t="shared" si="1055"/>
        <v>01</v>
      </c>
      <c r="S1639" s="1" t="str">
        <f t="shared" si="1039"/>
        <v>04</v>
      </c>
      <c r="T1639" s="1" t="str">
        <f t="shared" si="1056"/>
        <v>False</v>
      </c>
      <c r="U1639" s="1" t="str">
        <f t="shared" si="1057"/>
        <v>True</v>
      </c>
      <c r="V1639" s="1" t="str">
        <f>"U0028050"</f>
        <v>U0028050</v>
      </c>
      <c r="W1639" s="1">
        <v>1</v>
      </c>
      <c r="Y1639" s="1">
        <v>0</v>
      </c>
      <c r="Z1639" s="1">
        <v>0</v>
      </c>
      <c r="AB1639" s="1" t="str">
        <f t="shared" si="1047"/>
        <v>SMU</v>
      </c>
      <c r="AI1639" s="1" t="str">
        <f t="shared" si="1071"/>
        <v>F11</v>
      </c>
      <c r="AJ1639" s="1" t="str">
        <f t="shared" si="1066"/>
        <v>WOMAN</v>
      </c>
      <c r="AK1639" s="1" t="str">
        <f t="shared" si="1058"/>
        <v>PA</v>
      </c>
      <c r="AP1639" s="1" t="str">
        <f t="shared" si="1059"/>
        <v>False</v>
      </c>
      <c r="AR1639" s="1" t="str">
        <f t="shared" si="1067"/>
        <v>DYON</v>
      </c>
      <c r="AY1639" s="1" t="str">
        <f t="shared" si="1060"/>
        <v>PF</v>
      </c>
      <c r="AZ1639" s="1">
        <v>0</v>
      </c>
      <c r="BA1639" s="1">
        <v>0</v>
      </c>
      <c r="BB1639" s="1">
        <v>0</v>
      </c>
      <c r="BC1639" s="1">
        <v>0</v>
      </c>
      <c r="BD1639" s="1">
        <v>0</v>
      </c>
      <c r="BE1639" s="1" t="str">
        <f t="shared" si="1074"/>
        <v>ION GOMMA TWILL CANVAS</v>
      </c>
      <c r="BF1639" s="1" t="str">
        <f t="shared" si="1061"/>
        <v>Bonis SpA</v>
      </c>
    </row>
    <row r="1640" spans="2:58" x14ac:dyDescent="0.25">
      <c r="B1640" s="1">
        <v>2548</v>
      </c>
      <c r="C1640" s="1" t="str">
        <f t="shared" si="1073"/>
        <v>DYON4190S7/C1</v>
      </c>
      <c r="E1640" s="1" t="str">
        <f>"37"</f>
        <v>37</v>
      </c>
      <c r="F1640" s="1" t="str">
        <f t="shared" si="1050"/>
        <v>BONIS SPA</v>
      </c>
      <c r="G1640" s="1" t="str">
        <f t="shared" si="1038"/>
        <v>STOCK SCAFFALE MP</v>
      </c>
      <c r="H1640" s="1" t="str">
        <f>"BLK"</f>
        <v>BLK</v>
      </c>
      <c r="K1640" s="1">
        <v>5</v>
      </c>
      <c r="L1640" s="1" t="str">
        <f t="shared" si="1051"/>
        <v>01</v>
      </c>
      <c r="M1640" s="1" t="str">
        <f t="shared" si="1046"/>
        <v>409</v>
      </c>
      <c r="N1640" s="1" t="str">
        <f t="shared" si="1070"/>
        <v>010</v>
      </c>
      <c r="O1640" s="1" t="str">
        <f t="shared" si="1052"/>
        <v>00</v>
      </c>
      <c r="P1640" s="1" t="str">
        <f t="shared" si="1053"/>
        <v>S</v>
      </c>
      <c r="Q1640" s="1" t="str">
        <f t="shared" si="1054"/>
        <v>P</v>
      </c>
      <c r="R1640" s="1" t="str">
        <f t="shared" si="1055"/>
        <v>01</v>
      </c>
      <c r="S1640" s="1" t="str">
        <f t="shared" si="1039"/>
        <v>04</v>
      </c>
      <c r="T1640" s="1" t="str">
        <f t="shared" si="1056"/>
        <v>False</v>
      </c>
      <c r="U1640" s="1" t="str">
        <f t="shared" si="1057"/>
        <v>True</v>
      </c>
      <c r="V1640" s="1" t="str">
        <f>"U0028059"</f>
        <v>U0028059</v>
      </c>
      <c r="W1640" s="1">
        <v>1</v>
      </c>
      <c r="Y1640" s="1">
        <v>0</v>
      </c>
      <c r="Z1640" s="1">
        <v>0</v>
      </c>
      <c r="AB1640" s="1" t="str">
        <f t="shared" si="1047"/>
        <v>SMU</v>
      </c>
      <c r="AI1640" s="1" t="str">
        <f t="shared" si="1071"/>
        <v>F11</v>
      </c>
      <c r="AJ1640" s="1" t="str">
        <f t="shared" si="1066"/>
        <v>WOMAN</v>
      </c>
      <c r="AK1640" s="1" t="str">
        <f t="shared" si="1058"/>
        <v>PA</v>
      </c>
      <c r="AP1640" s="1" t="str">
        <f t="shared" si="1059"/>
        <v>False</v>
      </c>
      <c r="AR1640" s="1" t="str">
        <f t="shared" si="1067"/>
        <v>DYON</v>
      </c>
      <c r="AY1640" s="1" t="str">
        <f t="shared" si="1060"/>
        <v>PF</v>
      </c>
      <c r="AZ1640" s="1">
        <v>0</v>
      </c>
      <c r="BA1640" s="1">
        <v>0</v>
      </c>
      <c r="BB1640" s="1">
        <v>0</v>
      </c>
      <c r="BC1640" s="1">
        <v>0</v>
      </c>
      <c r="BD1640" s="1">
        <v>0</v>
      </c>
      <c r="BE1640" s="1" t="str">
        <f t="shared" si="1074"/>
        <v>ION GOMMA TWILL CANVAS</v>
      </c>
      <c r="BF1640" s="1" t="str">
        <f t="shared" si="1061"/>
        <v>Bonis SpA</v>
      </c>
    </row>
    <row r="1641" spans="2:58" x14ac:dyDescent="0.25">
      <c r="B1641" s="1">
        <v>2548</v>
      </c>
      <c r="C1641" s="1" t="str">
        <f t="shared" si="1073"/>
        <v>DYON4190S7/C1</v>
      </c>
      <c r="E1641" s="1" t="str">
        <f>"38"</f>
        <v>38</v>
      </c>
      <c r="F1641" s="1" t="str">
        <f t="shared" si="1050"/>
        <v>BONIS SPA</v>
      </c>
      <c r="G1641" s="1" t="str">
        <f t="shared" si="1038"/>
        <v>STOCK SCAFFALE MP</v>
      </c>
      <c r="H1641" s="1" t="str">
        <f>"BLK"</f>
        <v>BLK</v>
      </c>
      <c r="K1641" s="1">
        <v>3</v>
      </c>
      <c r="L1641" s="1" t="str">
        <f t="shared" si="1051"/>
        <v>01</v>
      </c>
      <c r="M1641" s="1" t="str">
        <f t="shared" si="1046"/>
        <v>409</v>
      </c>
      <c r="N1641" s="1" t="str">
        <f t="shared" si="1070"/>
        <v>010</v>
      </c>
      <c r="O1641" s="1" t="str">
        <f t="shared" si="1052"/>
        <v>00</v>
      </c>
      <c r="P1641" s="1" t="str">
        <f t="shared" si="1053"/>
        <v>S</v>
      </c>
      <c r="Q1641" s="1" t="str">
        <f t="shared" si="1054"/>
        <v>P</v>
      </c>
      <c r="R1641" s="1" t="str">
        <f t="shared" si="1055"/>
        <v>01</v>
      </c>
      <c r="S1641" s="1" t="str">
        <f t="shared" si="1039"/>
        <v>04</v>
      </c>
      <c r="T1641" s="1" t="str">
        <f t="shared" si="1056"/>
        <v>False</v>
      </c>
      <c r="U1641" s="1" t="str">
        <f t="shared" si="1057"/>
        <v>True</v>
      </c>
      <c r="V1641" s="1" t="str">
        <f>"U0028059"</f>
        <v>U0028059</v>
      </c>
      <c r="W1641" s="1">
        <v>1</v>
      </c>
      <c r="Y1641" s="1">
        <v>0</v>
      </c>
      <c r="Z1641" s="1">
        <v>0</v>
      </c>
      <c r="AB1641" s="1" t="str">
        <f t="shared" si="1047"/>
        <v>SMU</v>
      </c>
      <c r="AI1641" s="1" t="str">
        <f t="shared" si="1071"/>
        <v>F11</v>
      </c>
      <c r="AJ1641" s="1" t="str">
        <f t="shared" si="1066"/>
        <v>WOMAN</v>
      </c>
      <c r="AK1641" s="1" t="str">
        <f t="shared" si="1058"/>
        <v>PA</v>
      </c>
      <c r="AP1641" s="1" t="str">
        <f t="shared" si="1059"/>
        <v>False</v>
      </c>
      <c r="AR1641" s="1" t="str">
        <f t="shared" si="1067"/>
        <v>DYON</v>
      </c>
      <c r="AY1641" s="1" t="str">
        <f t="shared" si="1060"/>
        <v>PF</v>
      </c>
      <c r="AZ1641" s="1">
        <v>0</v>
      </c>
      <c r="BA1641" s="1">
        <v>0</v>
      </c>
      <c r="BB1641" s="1">
        <v>0</v>
      </c>
      <c r="BC1641" s="1">
        <v>0</v>
      </c>
      <c r="BD1641" s="1">
        <v>0</v>
      </c>
      <c r="BE1641" s="1" t="str">
        <f t="shared" si="1074"/>
        <v>ION GOMMA TWILL CANVAS</v>
      </c>
      <c r="BF1641" s="1" t="str">
        <f t="shared" si="1061"/>
        <v>Bonis SpA</v>
      </c>
    </row>
    <row r="1642" spans="2:58" x14ac:dyDescent="0.25">
      <c r="B1642" s="1">
        <v>2548</v>
      </c>
      <c r="C1642" s="1" t="str">
        <f t="shared" si="1073"/>
        <v>DYON4190S7/C1</v>
      </c>
      <c r="E1642" s="1" t="str">
        <f>"36"</f>
        <v>36</v>
      </c>
      <c r="F1642" s="1" t="str">
        <f t="shared" si="1050"/>
        <v>BONIS SPA</v>
      </c>
      <c r="G1642" s="1" t="str">
        <f t="shared" si="1038"/>
        <v>STOCK SCAFFALE MP</v>
      </c>
      <c r="H1642" s="1" t="str">
        <f>"BLK"</f>
        <v>BLK</v>
      </c>
      <c r="K1642" s="1">
        <v>4</v>
      </c>
      <c r="L1642" s="1" t="str">
        <f t="shared" si="1051"/>
        <v>01</v>
      </c>
      <c r="M1642" s="1" t="str">
        <f t="shared" si="1046"/>
        <v>409</v>
      </c>
      <c r="N1642" s="1" t="str">
        <f t="shared" si="1070"/>
        <v>010</v>
      </c>
      <c r="O1642" s="1" t="str">
        <f t="shared" si="1052"/>
        <v>00</v>
      </c>
      <c r="P1642" s="1" t="str">
        <f t="shared" si="1053"/>
        <v>S</v>
      </c>
      <c r="Q1642" s="1" t="str">
        <f t="shared" si="1054"/>
        <v>P</v>
      </c>
      <c r="R1642" s="1" t="str">
        <f t="shared" si="1055"/>
        <v>01</v>
      </c>
      <c r="S1642" s="1" t="str">
        <f t="shared" si="1039"/>
        <v>04</v>
      </c>
      <c r="T1642" s="1" t="str">
        <f t="shared" si="1056"/>
        <v>False</v>
      </c>
      <c r="U1642" s="1" t="str">
        <f t="shared" si="1057"/>
        <v>True</v>
      </c>
      <c r="V1642" s="1" t="str">
        <f>"U0028059"</f>
        <v>U0028059</v>
      </c>
      <c r="W1642" s="1">
        <v>1</v>
      </c>
      <c r="Y1642" s="1">
        <v>0</v>
      </c>
      <c r="Z1642" s="1">
        <v>0</v>
      </c>
      <c r="AB1642" s="1" t="str">
        <f t="shared" si="1047"/>
        <v>SMU</v>
      </c>
      <c r="AI1642" s="1" t="str">
        <f t="shared" si="1071"/>
        <v>F11</v>
      </c>
      <c r="AJ1642" s="1" t="str">
        <f t="shared" si="1066"/>
        <v>WOMAN</v>
      </c>
      <c r="AK1642" s="1" t="str">
        <f t="shared" si="1058"/>
        <v>PA</v>
      </c>
      <c r="AP1642" s="1" t="str">
        <f t="shared" si="1059"/>
        <v>False</v>
      </c>
      <c r="AR1642" s="1" t="str">
        <f t="shared" si="1067"/>
        <v>DYON</v>
      </c>
      <c r="AY1642" s="1" t="str">
        <f t="shared" si="1060"/>
        <v>PF</v>
      </c>
      <c r="AZ1642" s="1">
        <v>0</v>
      </c>
      <c r="BA1642" s="1">
        <v>0</v>
      </c>
      <c r="BB1642" s="1">
        <v>0</v>
      </c>
      <c r="BC1642" s="1">
        <v>0</v>
      </c>
      <c r="BD1642" s="1">
        <v>0</v>
      </c>
      <c r="BE1642" s="1" t="str">
        <f t="shared" si="1074"/>
        <v>ION GOMMA TWILL CANVAS</v>
      </c>
      <c r="BF1642" s="1" t="str">
        <f t="shared" si="1061"/>
        <v>Bonis SpA</v>
      </c>
    </row>
    <row r="1643" spans="2:58" x14ac:dyDescent="0.25">
      <c r="B1643" s="1">
        <v>2548</v>
      </c>
      <c r="C1643" s="1" t="str">
        <f t="shared" ref="C1643:C1685" si="1075">"DYON4191S7/C1"</f>
        <v>DYON4191S7/C1</v>
      </c>
      <c r="E1643" s="1" t="str">
        <f>"40"</f>
        <v>40</v>
      </c>
      <c r="F1643" s="1" t="str">
        <f t="shared" si="1050"/>
        <v>BONIS SPA</v>
      </c>
      <c r="G1643" s="1" t="str">
        <f t="shared" si="1038"/>
        <v>STOCK SCAFFALE MP</v>
      </c>
      <c r="H1643" s="1" t="str">
        <f>"FUX"</f>
        <v>FUX</v>
      </c>
      <c r="K1643" s="1">
        <v>2</v>
      </c>
      <c r="L1643" s="1" t="str">
        <f t="shared" si="1051"/>
        <v>01</v>
      </c>
      <c r="M1643" s="1" t="str">
        <f t="shared" si="1046"/>
        <v>409</v>
      </c>
      <c r="N1643" s="1" t="str">
        <f t="shared" si="1070"/>
        <v>010</v>
      </c>
      <c r="O1643" s="1" t="str">
        <f t="shared" si="1052"/>
        <v>00</v>
      </c>
      <c r="P1643" s="1" t="str">
        <f t="shared" si="1053"/>
        <v>S</v>
      </c>
      <c r="Q1643" s="1" t="str">
        <f t="shared" si="1054"/>
        <v>P</v>
      </c>
      <c r="R1643" s="1" t="str">
        <f t="shared" si="1055"/>
        <v>01</v>
      </c>
      <c r="S1643" s="1" t="str">
        <f t="shared" si="1039"/>
        <v>04</v>
      </c>
      <c r="T1643" s="1" t="str">
        <f t="shared" si="1056"/>
        <v>False</v>
      </c>
      <c r="U1643" s="1" t="str">
        <f t="shared" si="1057"/>
        <v>True</v>
      </c>
      <c r="V1643" s="1" t="str">
        <f>"U0028094"</f>
        <v>U0028094</v>
      </c>
      <c r="W1643" s="1">
        <v>1</v>
      </c>
      <c r="Y1643" s="1">
        <v>0</v>
      </c>
      <c r="Z1643" s="1">
        <v>0</v>
      </c>
      <c r="AB1643" s="1" t="str">
        <f t="shared" si="1047"/>
        <v>SMU</v>
      </c>
      <c r="AI1643" s="1" t="str">
        <f>"106"</f>
        <v>106</v>
      </c>
      <c r="AJ1643" s="1" t="str">
        <f t="shared" si="1066"/>
        <v>WOMAN</v>
      </c>
      <c r="AK1643" s="1" t="str">
        <f t="shared" si="1058"/>
        <v>PA</v>
      </c>
      <c r="AP1643" s="1" t="str">
        <f t="shared" si="1059"/>
        <v>False</v>
      </c>
      <c r="AR1643" s="1" t="str">
        <f t="shared" si="1067"/>
        <v>DYON</v>
      </c>
      <c r="AY1643" s="1" t="str">
        <f t="shared" si="1060"/>
        <v>PF</v>
      </c>
      <c r="AZ1643" s="1">
        <v>0</v>
      </c>
      <c r="BA1643" s="1">
        <v>0</v>
      </c>
      <c r="BB1643" s="1">
        <v>0</v>
      </c>
      <c r="BC1643" s="1">
        <v>0</v>
      </c>
      <c r="BD1643" s="1">
        <v>0</v>
      </c>
      <c r="BE1643" s="1" t="str">
        <f t="shared" ref="BE1643:BE1685" si="1076">"YON GOMMA TWILL CANVAS"</f>
        <v>YON GOMMA TWILL CANVAS</v>
      </c>
      <c r="BF1643" s="1" t="str">
        <f t="shared" si="1061"/>
        <v>Bonis SpA</v>
      </c>
    </row>
    <row r="1644" spans="2:58" x14ac:dyDescent="0.25">
      <c r="B1644" s="1">
        <v>2548</v>
      </c>
      <c r="C1644" s="1" t="str">
        <f t="shared" si="1075"/>
        <v>DYON4191S7/C1</v>
      </c>
      <c r="E1644" s="1" t="str">
        <f>"39"</f>
        <v>39</v>
      </c>
      <c r="F1644" s="1" t="str">
        <f t="shared" si="1050"/>
        <v>BONIS SPA</v>
      </c>
      <c r="G1644" s="1" t="str">
        <f t="shared" si="1038"/>
        <v>STOCK SCAFFALE MP</v>
      </c>
      <c r="H1644" s="1" t="str">
        <f>"FUX"</f>
        <v>FUX</v>
      </c>
      <c r="K1644" s="1">
        <v>3</v>
      </c>
      <c r="L1644" s="1" t="str">
        <f t="shared" si="1051"/>
        <v>01</v>
      </c>
      <c r="M1644" s="1" t="str">
        <f t="shared" si="1046"/>
        <v>409</v>
      </c>
      <c r="N1644" s="1" t="str">
        <f t="shared" si="1070"/>
        <v>010</v>
      </c>
      <c r="O1644" s="1" t="str">
        <f t="shared" si="1052"/>
        <v>00</v>
      </c>
      <c r="P1644" s="1" t="str">
        <f t="shared" si="1053"/>
        <v>S</v>
      </c>
      <c r="Q1644" s="1" t="str">
        <f t="shared" si="1054"/>
        <v>P</v>
      </c>
      <c r="R1644" s="1" t="str">
        <f t="shared" si="1055"/>
        <v>01</v>
      </c>
      <c r="S1644" s="1" t="str">
        <f t="shared" si="1039"/>
        <v>04</v>
      </c>
      <c r="T1644" s="1" t="str">
        <f t="shared" si="1056"/>
        <v>False</v>
      </c>
      <c r="U1644" s="1" t="str">
        <f t="shared" si="1057"/>
        <v>True</v>
      </c>
      <c r="V1644" s="1" t="str">
        <f>"U0028092"</f>
        <v>U0028092</v>
      </c>
      <c r="W1644" s="1">
        <v>1</v>
      </c>
      <c r="Y1644" s="1">
        <v>0</v>
      </c>
      <c r="Z1644" s="1">
        <v>0</v>
      </c>
      <c r="AB1644" s="1" t="str">
        <f t="shared" si="1047"/>
        <v>SMU</v>
      </c>
      <c r="AI1644" s="1" t="str">
        <f>"106"</f>
        <v>106</v>
      </c>
      <c r="AJ1644" s="1" t="str">
        <f t="shared" ref="AJ1644:AJ1675" si="1077">"WOMAN"</f>
        <v>WOMAN</v>
      </c>
      <c r="AK1644" s="1" t="str">
        <f t="shared" si="1058"/>
        <v>PA</v>
      </c>
      <c r="AP1644" s="1" t="str">
        <f t="shared" si="1059"/>
        <v>False</v>
      </c>
      <c r="AR1644" s="1" t="str">
        <f t="shared" ref="AR1644:AR1675" si="1078">"DYON"</f>
        <v>DYON</v>
      </c>
      <c r="AY1644" s="1" t="str">
        <f t="shared" si="1060"/>
        <v>PF</v>
      </c>
      <c r="AZ1644" s="1">
        <v>0</v>
      </c>
      <c r="BA1644" s="1">
        <v>0</v>
      </c>
      <c r="BB1644" s="1">
        <v>0</v>
      </c>
      <c r="BC1644" s="1">
        <v>0</v>
      </c>
      <c r="BD1644" s="1">
        <v>0</v>
      </c>
      <c r="BE1644" s="1" t="str">
        <f t="shared" si="1076"/>
        <v>YON GOMMA TWILL CANVAS</v>
      </c>
      <c r="BF1644" s="1" t="str">
        <f t="shared" si="1061"/>
        <v>Bonis SpA</v>
      </c>
    </row>
    <row r="1645" spans="2:58" x14ac:dyDescent="0.25">
      <c r="B1645" s="1">
        <v>2548</v>
      </c>
      <c r="C1645" s="1" t="str">
        <f t="shared" si="1075"/>
        <v>DYON4191S7/C1</v>
      </c>
      <c r="E1645" s="1" t="str">
        <f>"38"</f>
        <v>38</v>
      </c>
      <c r="F1645" s="1" t="str">
        <f t="shared" si="1050"/>
        <v>BONIS SPA</v>
      </c>
      <c r="G1645" s="1" t="str">
        <f t="shared" si="1038"/>
        <v>STOCK SCAFFALE MP</v>
      </c>
      <c r="H1645" s="1" t="str">
        <f>"FUX"</f>
        <v>FUX</v>
      </c>
      <c r="K1645" s="1">
        <v>9</v>
      </c>
      <c r="L1645" s="1" t="str">
        <f t="shared" si="1051"/>
        <v>01</v>
      </c>
      <c r="M1645" s="1" t="str">
        <f t="shared" si="1046"/>
        <v>409</v>
      </c>
      <c r="N1645" s="1" t="str">
        <f t="shared" si="1070"/>
        <v>010</v>
      </c>
      <c r="O1645" s="1" t="str">
        <f t="shared" si="1052"/>
        <v>00</v>
      </c>
      <c r="P1645" s="1" t="str">
        <f t="shared" si="1053"/>
        <v>S</v>
      </c>
      <c r="Q1645" s="1" t="str">
        <f t="shared" si="1054"/>
        <v>P</v>
      </c>
      <c r="R1645" s="1" t="str">
        <f t="shared" si="1055"/>
        <v>01</v>
      </c>
      <c r="S1645" s="1" t="str">
        <f t="shared" si="1039"/>
        <v>04</v>
      </c>
      <c r="T1645" s="1" t="str">
        <f t="shared" si="1056"/>
        <v>False</v>
      </c>
      <c r="U1645" s="1" t="str">
        <f t="shared" si="1057"/>
        <v>True</v>
      </c>
      <c r="V1645" s="1" t="str">
        <f>"U0028065"</f>
        <v>U0028065</v>
      </c>
      <c r="W1645" s="1">
        <v>1</v>
      </c>
      <c r="Y1645" s="1">
        <v>0</v>
      </c>
      <c r="Z1645" s="1">
        <v>0</v>
      </c>
      <c r="AB1645" s="1" t="str">
        <f t="shared" si="1047"/>
        <v>SMU</v>
      </c>
      <c r="AI1645" s="1" t="str">
        <f>"F11"</f>
        <v>F11</v>
      </c>
      <c r="AJ1645" s="1" t="str">
        <f t="shared" si="1077"/>
        <v>WOMAN</v>
      </c>
      <c r="AK1645" s="1" t="str">
        <f t="shared" si="1058"/>
        <v>PA</v>
      </c>
      <c r="AP1645" s="1" t="str">
        <f t="shared" si="1059"/>
        <v>False</v>
      </c>
      <c r="AR1645" s="1" t="str">
        <f t="shared" si="1078"/>
        <v>DYON</v>
      </c>
      <c r="AY1645" s="1" t="str">
        <f t="shared" si="1060"/>
        <v>PF</v>
      </c>
      <c r="AZ1645" s="1">
        <v>0</v>
      </c>
      <c r="BA1645" s="1">
        <v>0</v>
      </c>
      <c r="BB1645" s="1">
        <v>0</v>
      </c>
      <c r="BC1645" s="1">
        <v>0</v>
      </c>
      <c r="BD1645" s="1">
        <v>0</v>
      </c>
      <c r="BE1645" s="1" t="str">
        <f t="shared" si="1076"/>
        <v>YON GOMMA TWILL CANVAS</v>
      </c>
      <c r="BF1645" s="1" t="str">
        <f t="shared" si="1061"/>
        <v>Bonis SpA</v>
      </c>
    </row>
    <row r="1646" spans="2:58" x14ac:dyDescent="0.25">
      <c r="B1646" s="1">
        <v>2548</v>
      </c>
      <c r="C1646" s="1" t="str">
        <f t="shared" si="1075"/>
        <v>DYON4191S7/C1</v>
      </c>
      <c r="E1646" s="1" t="str">
        <f>"39"</f>
        <v>39</v>
      </c>
      <c r="F1646" s="1" t="str">
        <f t="shared" si="1050"/>
        <v>BONIS SPA</v>
      </c>
      <c r="G1646" s="1" t="str">
        <f t="shared" si="1038"/>
        <v>STOCK SCAFFALE MP</v>
      </c>
      <c r="H1646" s="1" t="str">
        <f>"FUX"</f>
        <v>FUX</v>
      </c>
      <c r="K1646" s="1">
        <v>2</v>
      </c>
      <c r="L1646" s="1" t="str">
        <f t="shared" si="1051"/>
        <v>01</v>
      </c>
      <c r="M1646" s="1" t="str">
        <f t="shared" si="1046"/>
        <v>409</v>
      </c>
      <c r="N1646" s="1" t="str">
        <f t="shared" si="1070"/>
        <v>010</v>
      </c>
      <c r="O1646" s="1" t="str">
        <f t="shared" si="1052"/>
        <v>00</v>
      </c>
      <c r="P1646" s="1" t="str">
        <f t="shared" si="1053"/>
        <v>S</v>
      </c>
      <c r="Q1646" s="1" t="str">
        <f t="shared" si="1054"/>
        <v>P</v>
      </c>
      <c r="R1646" s="1" t="str">
        <f t="shared" si="1055"/>
        <v>01</v>
      </c>
      <c r="S1646" s="1" t="str">
        <f t="shared" si="1039"/>
        <v>04</v>
      </c>
      <c r="T1646" s="1" t="str">
        <f t="shared" si="1056"/>
        <v>False</v>
      </c>
      <c r="U1646" s="1" t="str">
        <f t="shared" si="1057"/>
        <v>True</v>
      </c>
      <c r="V1646" s="1" t="str">
        <f>"U0028065"</f>
        <v>U0028065</v>
      </c>
      <c r="W1646" s="1">
        <v>1</v>
      </c>
      <c r="Y1646" s="1">
        <v>0</v>
      </c>
      <c r="Z1646" s="1">
        <v>0</v>
      </c>
      <c r="AB1646" s="1" t="str">
        <f t="shared" si="1047"/>
        <v>SMU</v>
      </c>
      <c r="AI1646" s="1" t="str">
        <f>"F11"</f>
        <v>F11</v>
      </c>
      <c r="AJ1646" s="1" t="str">
        <f t="shared" si="1077"/>
        <v>WOMAN</v>
      </c>
      <c r="AK1646" s="1" t="str">
        <f t="shared" si="1058"/>
        <v>PA</v>
      </c>
      <c r="AP1646" s="1" t="str">
        <f t="shared" si="1059"/>
        <v>False</v>
      </c>
      <c r="AR1646" s="1" t="str">
        <f t="shared" si="1078"/>
        <v>DYON</v>
      </c>
      <c r="AY1646" s="1" t="str">
        <f t="shared" si="1060"/>
        <v>PF</v>
      </c>
      <c r="AZ1646" s="1">
        <v>0</v>
      </c>
      <c r="BA1646" s="1">
        <v>0</v>
      </c>
      <c r="BB1646" s="1">
        <v>0</v>
      </c>
      <c r="BC1646" s="1">
        <v>0</v>
      </c>
      <c r="BD1646" s="1">
        <v>0</v>
      </c>
      <c r="BE1646" s="1" t="str">
        <f t="shared" si="1076"/>
        <v>YON GOMMA TWILL CANVAS</v>
      </c>
      <c r="BF1646" s="1" t="str">
        <f t="shared" si="1061"/>
        <v>Bonis SpA</v>
      </c>
    </row>
    <row r="1647" spans="2:58" x14ac:dyDescent="0.25">
      <c r="B1647" s="1">
        <v>2548</v>
      </c>
      <c r="C1647" s="1" t="str">
        <f t="shared" si="1075"/>
        <v>DYON4191S7/C1</v>
      </c>
      <c r="E1647" s="1" t="str">
        <f>"40"</f>
        <v>40</v>
      </c>
      <c r="F1647" s="1" t="str">
        <f t="shared" si="1050"/>
        <v>BONIS SPA</v>
      </c>
      <c r="G1647" s="1" t="str">
        <f t="shared" si="1038"/>
        <v>STOCK SCAFFALE MP</v>
      </c>
      <c r="H1647" s="1" t="str">
        <f>"AVIO"</f>
        <v>AVIO</v>
      </c>
      <c r="K1647" s="1">
        <v>3</v>
      </c>
      <c r="L1647" s="1" t="str">
        <f t="shared" si="1051"/>
        <v>01</v>
      </c>
      <c r="M1647" s="1" t="str">
        <f t="shared" si="1046"/>
        <v>409</v>
      </c>
      <c r="N1647" s="1" t="str">
        <f t="shared" si="1070"/>
        <v>010</v>
      </c>
      <c r="O1647" s="1" t="str">
        <f t="shared" si="1052"/>
        <v>00</v>
      </c>
      <c r="P1647" s="1" t="str">
        <f t="shared" si="1053"/>
        <v>S</v>
      </c>
      <c r="Q1647" s="1" t="str">
        <f t="shared" si="1054"/>
        <v>P</v>
      </c>
      <c r="R1647" s="1" t="str">
        <f t="shared" si="1055"/>
        <v>01</v>
      </c>
      <c r="S1647" s="1" t="str">
        <f t="shared" si="1039"/>
        <v>04</v>
      </c>
      <c r="T1647" s="1" t="str">
        <f t="shared" si="1056"/>
        <v>False</v>
      </c>
      <c r="U1647" s="1" t="str">
        <f t="shared" si="1057"/>
        <v>True</v>
      </c>
      <c r="V1647" s="1" t="str">
        <f>"U0022976"</f>
        <v>U0022976</v>
      </c>
      <c r="W1647" s="1">
        <v>1</v>
      </c>
      <c r="Y1647" s="1">
        <v>0</v>
      </c>
      <c r="Z1647" s="1">
        <v>0</v>
      </c>
      <c r="AB1647" s="1" t="str">
        <f t="shared" si="1047"/>
        <v>SMU</v>
      </c>
      <c r="AI1647" s="1" t="str">
        <f>"106"</f>
        <v>106</v>
      </c>
      <c r="AJ1647" s="1" t="str">
        <f t="shared" si="1077"/>
        <v>WOMAN</v>
      </c>
      <c r="AK1647" s="1" t="str">
        <f t="shared" si="1058"/>
        <v>PA</v>
      </c>
      <c r="AP1647" s="1" t="str">
        <f t="shared" si="1059"/>
        <v>False</v>
      </c>
      <c r="AR1647" s="1" t="str">
        <f t="shared" si="1078"/>
        <v>DYON</v>
      </c>
      <c r="AY1647" s="1" t="str">
        <f t="shared" si="1060"/>
        <v>PF</v>
      </c>
      <c r="AZ1647" s="1">
        <v>0</v>
      </c>
      <c r="BA1647" s="1">
        <v>0</v>
      </c>
      <c r="BB1647" s="1">
        <v>0</v>
      </c>
      <c r="BC1647" s="1">
        <v>0</v>
      </c>
      <c r="BD1647" s="1">
        <v>0</v>
      </c>
      <c r="BE1647" s="1" t="str">
        <f t="shared" si="1076"/>
        <v>YON GOMMA TWILL CANVAS</v>
      </c>
      <c r="BF1647" s="1" t="str">
        <f t="shared" si="1061"/>
        <v>Bonis SpA</v>
      </c>
    </row>
    <row r="1648" spans="2:58" x14ac:dyDescent="0.25">
      <c r="B1648" s="1">
        <v>2548</v>
      </c>
      <c r="C1648" s="1" t="str">
        <f t="shared" si="1075"/>
        <v>DYON4191S7/C1</v>
      </c>
      <c r="E1648" s="1" t="str">
        <f>"41"</f>
        <v>41</v>
      </c>
      <c r="F1648" s="1" t="str">
        <f t="shared" si="1050"/>
        <v>BONIS SPA</v>
      </c>
      <c r="G1648" s="1" t="str">
        <f t="shared" ref="G1648:G1711" si="1079">"STOCK SCAFFALE MP"</f>
        <v>STOCK SCAFFALE MP</v>
      </c>
      <c r="H1648" s="1" t="str">
        <f>"AVIO"</f>
        <v>AVIO</v>
      </c>
      <c r="K1648" s="1">
        <v>1</v>
      </c>
      <c r="L1648" s="1" t="str">
        <f t="shared" si="1051"/>
        <v>01</v>
      </c>
      <c r="M1648" s="1" t="str">
        <f t="shared" si="1046"/>
        <v>409</v>
      </c>
      <c r="N1648" s="1" t="str">
        <f t="shared" si="1070"/>
        <v>010</v>
      </c>
      <c r="O1648" s="1" t="str">
        <f t="shared" si="1052"/>
        <v>00</v>
      </c>
      <c r="P1648" s="1" t="str">
        <f t="shared" si="1053"/>
        <v>S</v>
      </c>
      <c r="Q1648" s="1" t="str">
        <f t="shared" si="1054"/>
        <v>P</v>
      </c>
      <c r="R1648" s="1" t="str">
        <f t="shared" si="1055"/>
        <v>01</v>
      </c>
      <c r="S1648" s="1" t="str">
        <f t="shared" ref="S1648:S1711" si="1080">"04"</f>
        <v>04</v>
      </c>
      <c r="T1648" s="1" t="str">
        <f t="shared" si="1056"/>
        <v>False</v>
      </c>
      <c r="U1648" s="1" t="str">
        <f t="shared" si="1057"/>
        <v>True</v>
      </c>
      <c r="V1648" s="1" t="str">
        <f>"U0028089"</f>
        <v>U0028089</v>
      </c>
      <c r="W1648" s="1">
        <v>1</v>
      </c>
      <c r="Y1648" s="1">
        <v>0</v>
      </c>
      <c r="Z1648" s="1">
        <v>0</v>
      </c>
      <c r="AB1648" s="1" t="str">
        <f t="shared" si="1047"/>
        <v>SMU</v>
      </c>
      <c r="AI1648" s="1" t="str">
        <f>"106"</f>
        <v>106</v>
      </c>
      <c r="AJ1648" s="1" t="str">
        <f t="shared" si="1077"/>
        <v>WOMAN</v>
      </c>
      <c r="AK1648" s="1" t="str">
        <f t="shared" si="1058"/>
        <v>PA</v>
      </c>
      <c r="AP1648" s="1" t="str">
        <f t="shared" si="1059"/>
        <v>False</v>
      </c>
      <c r="AR1648" s="1" t="str">
        <f t="shared" si="1078"/>
        <v>DYON</v>
      </c>
      <c r="AY1648" s="1" t="str">
        <f t="shared" si="1060"/>
        <v>PF</v>
      </c>
      <c r="AZ1648" s="1">
        <v>0</v>
      </c>
      <c r="BA1648" s="1">
        <v>0</v>
      </c>
      <c r="BB1648" s="1">
        <v>0</v>
      </c>
      <c r="BC1648" s="1">
        <v>0</v>
      </c>
      <c r="BD1648" s="1">
        <v>0</v>
      </c>
      <c r="BE1648" s="1" t="str">
        <f t="shared" si="1076"/>
        <v>YON GOMMA TWILL CANVAS</v>
      </c>
      <c r="BF1648" s="1" t="str">
        <f t="shared" si="1061"/>
        <v>Bonis SpA</v>
      </c>
    </row>
    <row r="1649" spans="2:58" x14ac:dyDescent="0.25">
      <c r="B1649" s="1">
        <v>2548</v>
      </c>
      <c r="C1649" s="1" t="str">
        <f t="shared" si="1075"/>
        <v>DYON4191S7/C1</v>
      </c>
      <c r="E1649" s="1" t="str">
        <f>"39"</f>
        <v>39</v>
      </c>
      <c r="F1649" s="1" t="str">
        <f t="shared" si="1050"/>
        <v>BONIS SPA</v>
      </c>
      <c r="G1649" s="1" t="str">
        <f t="shared" si="1079"/>
        <v>STOCK SCAFFALE MP</v>
      </c>
      <c r="H1649" s="1" t="str">
        <f>"AVIO"</f>
        <v>AVIO</v>
      </c>
      <c r="K1649" s="1">
        <v>1</v>
      </c>
      <c r="L1649" s="1" t="str">
        <f t="shared" si="1051"/>
        <v>01</v>
      </c>
      <c r="M1649" s="1" t="str">
        <f t="shared" si="1046"/>
        <v>409</v>
      </c>
      <c r="N1649" s="1" t="str">
        <f t="shared" si="1070"/>
        <v>010</v>
      </c>
      <c r="O1649" s="1" t="str">
        <f t="shared" si="1052"/>
        <v>00</v>
      </c>
      <c r="P1649" s="1" t="str">
        <f t="shared" si="1053"/>
        <v>S</v>
      </c>
      <c r="Q1649" s="1" t="str">
        <f t="shared" si="1054"/>
        <v>P</v>
      </c>
      <c r="R1649" s="1" t="str">
        <f t="shared" si="1055"/>
        <v>01</v>
      </c>
      <c r="S1649" s="1" t="str">
        <f t="shared" si="1080"/>
        <v>04</v>
      </c>
      <c r="T1649" s="1" t="str">
        <f t="shared" si="1056"/>
        <v>False</v>
      </c>
      <c r="U1649" s="1" t="str">
        <f t="shared" si="1057"/>
        <v>True</v>
      </c>
      <c r="V1649" s="1" t="str">
        <f>"U0028089"</f>
        <v>U0028089</v>
      </c>
      <c r="W1649" s="1">
        <v>1</v>
      </c>
      <c r="Y1649" s="1">
        <v>0</v>
      </c>
      <c r="Z1649" s="1">
        <v>0</v>
      </c>
      <c r="AB1649" s="1" t="str">
        <f t="shared" si="1047"/>
        <v>SMU</v>
      </c>
      <c r="AI1649" s="1" t="str">
        <f>"106"</f>
        <v>106</v>
      </c>
      <c r="AJ1649" s="1" t="str">
        <f t="shared" si="1077"/>
        <v>WOMAN</v>
      </c>
      <c r="AK1649" s="1" t="str">
        <f t="shared" si="1058"/>
        <v>PA</v>
      </c>
      <c r="AP1649" s="1" t="str">
        <f t="shared" si="1059"/>
        <v>False</v>
      </c>
      <c r="AR1649" s="1" t="str">
        <f t="shared" si="1078"/>
        <v>DYON</v>
      </c>
      <c r="AY1649" s="1" t="str">
        <f t="shared" si="1060"/>
        <v>PF</v>
      </c>
      <c r="AZ1649" s="1">
        <v>0</v>
      </c>
      <c r="BA1649" s="1">
        <v>0</v>
      </c>
      <c r="BB1649" s="1">
        <v>0</v>
      </c>
      <c r="BC1649" s="1">
        <v>0</v>
      </c>
      <c r="BD1649" s="1">
        <v>0</v>
      </c>
      <c r="BE1649" s="1" t="str">
        <f t="shared" si="1076"/>
        <v>YON GOMMA TWILL CANVAS</v>
      </c>
      <c r="BF1649" s="1" t="str">
        <f t="shared" si="1061"/>
        <v>Bonis SpA</v>
      </c>
    </row>
    <row r="1650" spans="2:58" x14ac:dyDescent="0.25">
      <c r="B1650" s="1">
        <v>2548</v>
      </c>
      <c r="C1650" s="1" t="str">
        <f t="shared" si="1075"/>
        <v>DYON4191S7/C1</v>
      </c>
      <c r="E1650" s="1" t="str">
        <f>"40"</f>
        <v>40</v>
      </c>
      <c r="F1650" s="1" t="str">
        <f t="shared" si="1050"/>
        <v>BONIS SPA</v>
      </c>
      <c r="G1650" s="1" t="str">
        <f t="shared" si="1079"/>
        <v>STOCK SCAFFALE MP</v>
      </c>
      <c r="H1650" s="1" t="str">
        <f t="shared" ref="H1650:H1656" si="1081">"DKBL"</f>
        <v>DKBL</v>
      </c>
      <c r="K1650" s="1">
        <v>7</v>
      </c>
      <c r="L1650" s="1" t="str">
        <f t="shared" si="1051"/>
        <v>01</v>
      </c>
      <c r="M1650" s="1" t="str">
        <f t="shared" si="1046"/>
        <v>409</v>
      </c>
      <c r="N1650" s="1" t="str">
        <f t="shared" si="1070"/>
        <v>010</v>
      </c>
      <c r="O1650" s="1" t="str">
        <f t="shared" si="1052"/>
        <v>00</v>
      </c>
      <c r="P1650" s="1" t="str">
        <f t="shared" si="1053"/>
        <v>S</v>
      </c>
      <c r="Q1650" s="1" t="str">
        <f t="shared" si="1054"/>
        <v>P</v>
      </c>
      <c r="R1650" s="1" t="str">
        <f t="shared" si="1055"/>
        <v>01</v>
      </c>
      <c r="S1650" s="1" t="str">
        <f t="shared" si="1080"/>
        <v>04</v>
      </c>
      <c r="T1650" s="1" t="str">
        <f t="shared" si="1056"/>
        <v>False</v>
      </c>
      <c r="U1650" s="1" t="str">
        <f t="shared" si="1057"/>
        <v>True</v>
      </c>
      <c r="V1650" s="1" t="str">
        <f>"U0023738"</f>
        <v>U0023738</v>
      </c>
      <c r="W1650" s="1">
        <v>1</v>
      </c>
      <c r="Y1650" s="1">
        <v>0</v>
      </c>
      <c r="Z1650" s="1">
        <v>0</v>
      </c>
      <c r="AB1650" s="1" t="str">
        <f t="shared" si="1047"/>
        <v>SMU</v>
      </c>
      <c r="AI1650" s="1" t="str">
        <f t="shared" ref="AI1650:AI1656" si="1082">"F11"</f>
        <v>F11</v>
      </c>
      <c r="AJ1650" s="1" t="str">
        <f t="shared" si="1077"/>
        <v>WOMAN</v>
      </c>
      <c r="AK1650" s="1" t="str">
        <f t="shared" si="1058"/>
        <v>PA</v>
      </c>
      <c r="AP1650" s="1" t="str">
        <f t="shared" si="1059"/>
        <v>False</v>
      </c>
      <c r="AR1650" s="1" t="str">
        <f t="shared" si="1078"/>
        <v>DYON</v>
      </c>
      <c r="AY1650" s="1" t="str">
        <f t="shared" si="1060"/>
        <v>PF</v>
      </c>
      <c r="AZ1650" s="1">
        <v>0</v>
      </c>
      <c r="BA1650" s="1">
        <v>0</v>
      </c>
      <c r="BB1650" s="1">
        <v>0</v>
      </c>
      <c r="BC1650" s="1">
        <v>0</v>
      </c>
      <c r="BD1650" s="1">
        <v>0</v>
      </c>
      <c r="BE1650" s="1" t="str">
        <f t="shared" si="1076"/>
        <v>YON GOMMA TWILL CANVAS</v>
      </c>
      <c r="BF1650" s="1" t="str">
        <f t="shared" si="1061"/>
        <v>Bonis SpA</v>
      </c>
    </row>
    <row r="1651" spans="2:58" x14ac:dyDescent="0.25">
      <c r="B1651" s="1">
        <v>2548</v>
      </c>
      <c r="C1651" s="1" t="str">
        <f t="shared" si="1075"/>
        <v>DYON4191S7/C1</v>
      </c>
      <c r="E1651" s="1" t="str">
        <f>"39"</f>
        <v>39</v>
      </c>
      <c r="F1651" s="1" t="str">
        <f t="shared" si="1050"/>
        <v>BONIS SPA</v>
      </c>
      <c r="G1651" s="1" t="str">
        <f t="shared" si="1079"/>
        <v>STOCK SCAFFALE MP</v>
      </c>
      <c r="H1651" s="1" t="str">
        <f t="shared" si="1081"/>
        <v>DKBL</v>
      </c>
      <c r="K1651" s="1">
        <v>2</v>
      </c>
      <c r="L1651" s="1" t="str">
        <f t="shared" si="1051"/>
        <v>01</v>
      </c>
      <c r="M1651" s="1" t="str">
        <f t="shared" si="1046"/>
        <v>409</v>
      </c>
      <c r="N1651" s="1" t="str">
        <f t="shared" si="1070"/>
        <v>010</v>
      </c>
      <c r="O1651" s="1" t="str">
        <f t="shared" si="1052"/>
        <v>00</v>
      </c>
      <c r="P1651" s="1" t="str">
        <f t="shared" si="1053"/>
        <v>S</v>
      </c>
      <c r="Q1651" s="1" t="str">
        <f t="shared" si="1054"/>
        <v>P</v>
      </c>
      <c r="R1651" s="1" t="str">
        <f t="shared" si="1055"/>
        <v>01</v>
      </c>
      <c r="S1651" s="1" t="str">
        <f t="shared" si="1080"/>
        <v>04</v>
      </c>
      <c r="T1651" s="1" t="str">
        <f t="shared" si="1056"/>
        <v>False</v>
      </c>
      <c r="U1651" s="1" t="str">
        <f t="shared" si="1057"/>
        <v>True</v>
      </c>
      <c r="V1651" s="1" t="str">
        <f>"U0023738"</f>
        <v>U0023738</v>
      </c>
      <c r="W1651" s="1">
        <v>1</v>
      </c>
      <c r="Y1651" s="1">
        <v>0</v>
      </c>
      <c r="Z1651" s="1">
        <v>0</v>
      </c>
      <c r="AB1651" s="1" t="str">
        <f t="shared" si="1047"/>
        <v>SMU</v>
      </c>
      <c r="AI1651" s="1" t="str">
        <f t="shared" si="1082"/>
        <v>F11</v>
      </c>
      <c r="AJ1651" s="1" t="str">
        <f t="shared" si="1077"/>
        <v>WOMAN</v>
      </c>
      <c r="AK1651" s="1" t="str">
        <f t="shared" si="1058"/>
        <v>PA</v>
      </c>
      <c r="AP1651" s="1" t="str">
        <f t="shared" si="1059"/>
        <v>False</v>
      </c>
      <c r="AR1651" s="1" t="str">
        <f t="shared" si="1078"/>
        <v>DYON</v>
      </c>
      <c r="AY1651" s="1" t="str">
        <f t="shared" si="1060"/>
        <v>PF</v>
      </c>
      <c r="AZ1651" s="1">
        <v>0</v>
      </c>
      <c r="BA1651" s="1">
        <v>0</v>
      </c>
      <c r="BB1651" s="1">
        <v>0</v>
      </c>
      <c r="BC1651" s="1">
        <v>0</v>
      </c>
      <c r="BD1651" s="1">
        <v>0</v>
      </c>
      <c r="BE1651" s="1" t="str">
        <f t="shared" si="1076"/>
        <v>YON GOMMA TWILL CANVAS</v>
      </c>
      <c r="BF1651" s="1" t="str">
        <f t="shared" si="1061"/>
        <v>Bonis SpA</v>
      </c>
    </row>
    <row r="1652" spans="2:58" x14ac:dyDescent="0.25">
      <c r="B1652" s="1">
        <v>2548</v>
      </c>
      <c r="C1652" s="1" t="str">
        <f t="shared" si="1075"/>
        <v>DYON4191S7/C1</v>
      </c>
      <c r="E1652" s="1" t="str">
        <f>"39"</f>
        <v>39</v>
      </c>
      <c r="F1652" s="1" t="str">
        <f t="shared" si="1050"/>
        <v>BONIS SPA</v>
      </c>
      <c r="G1652" s="1" t="str">
        <f t="shared" si="1079"/>
        <v>STOCK SCAFFALE MP</v>
      </c>
      <c r="H1652" s="1" t="str">
        <f t="shared" si="1081"/>
        <v>DKBL</v>
      </c>
      <c r="K1652" s="1">
        <v>1</v>
      </c>
      <c r="L1652" s="1" t="str">
        <f t="shared" si="1051"/>
        <v>01</v>
      </c>
      <c r="M1652" s="1" t="str">
        <f t="shared" si="1046"/>
        <v>409</v>
      </c>
      <c r="N1652" s="1" t="str">
        <f t="shared" ref="N1652:N1683" si="1083">"010"</f>
        <v>010</v>
      </c>
      <c r="O1652" s="1" t="str">
        <f t="shared" si="1052"/>
        <v>00</v>
      </c>
      <c r="P1652" s="1" t="str">
        <f t="shared" si="1053"/>
        <v>S</v>
      </c>
      <c r="Q1652" s="1" t="str">
        <f t="shared" si="1054"/>
        <v>P</v>
      </c>
      <c r="R1652" s="1" t="str">
        <f t="shared" si="1055"/>
        <v>01</v>
      </c>
      <c r="S1652" s="1" t="str">
        <f t="shared" si="1080"/>
        <v>04</v>
      </c>
      <c r="T1652" s="1" t="str">
        <f t="shared" si="1056"/>
        <v>False</v>
      </c>
      <c r="U1652" s="1" t="str">
        <f t="shared" si="1057"/>
        <v>True</v>
      </c>
      <c r="V1652" s="1" t="str">
        <f>"U0028088"</f>
        <v>U0028088</v>
      </c>
      <c r="W1652" s="1">
        <v>1</v>
      </c>
      <c r="Y1652" s="1">
        <v>0</v>
      </c>
      <c r="Z1652" s="1">
        <v>0</v>
      </c>
      <c r="AB1652" s="1" t="str">
        <f t="shared" si="1047"/>
        <v>SMU</v>
      </c>
      <c r="AI1652" s="1" t="str">
        <f t="shared" si="1082"/>
        <v>F11</v>
      </c>
      <c r="AJ1652" s="1" t="str">
        <f t="shared" si="1077"/>
        <v>WOMAN</v>
      </c>
      <c r="AK1652" s="1" t="str">
        <f t="shared" si="1058"/>
        <v>PA</v>
      </c>
      <c r="AP1652" s="1" t="str">
        <f t="shared" si="1059"/>
        <v>False</v>
      </c>
      <c r="AR1652" s="1" t="str">
        <f t="shared" si="1078"/>
        <v>DYON</v>
      </c>
      <c r="AY1652" s="1" t="str">
        <f t="shared" si="1060"/>
        <v>PF</v>
      </c>
      <c r="AZ1652" s="1">
        <v>0</v>
      </c>
      <c r="BA1652" s="1">
        <v>0</v>
      </c>
      <c r="BB1652" s="1">
        <v>0</v>
      </c>
      <c r="BC1652" s="1">
        <v>0</v>
      </c>
      <c r="BD1652" s="1">
        <v>0</v>
      </c>
      <c r="BE1652" s="1" t="str">
        <f t="shared" si="1076"/>
        <v>YON GOMMA TWILL CANVAS</v>
      </c>
      <c r="BF1652" s="1" t="str">
        <f t="shared" si="1061"/>
        <v>Bonis SpA</v>
      </c>
    </row>
    <row r="1653" spans="2:58" x14ac:dyDescent="0.25">
      <c r="B1653" s="1">
        <v>2548</v>
      </c>
      <c r="C1653" s="1" t="str">
        <f t="shared" si="1075"/>
        <v>DYON4191S7/C1</v>
      </c>
      <c r="E1653" s="1" t="str">
        <f>"38"</f>
        <v>38</v>
      </c>
      <c r="F1653" s="1" t="str">
        <f t="shared" si="1050"/>
        <v>BONIS SPA</v>
      </c>
      <c r="G1653" s="1" t="str">
        <f t="shared" si="1079"/>
        <v>STOCK SCAFFALE MP</v>
      </c>
      <c r="H1653" s="1" t="str">
        <f t="shared" si="1081"/>
        <v>DKBL</v>
      </c>
      <c r="K1653" s="1">
        <v>6</v>
      </c>
      <c r="L1653" s="1" t="str">
        <f t="shared" si="1051"/>
        <v>01</v>
      </c>
      <c r="M1653" s="1" t="str">
        <f t="shared" si="1046"/>
        <v>409</v>
      </c>
      <c r="N1653" s="1" t="str">
        <f t="shared" si="1083"/>
        <v>010</v>
      </c>
      <c r="O1653" s="1" t="str">
        <f t="shared" si="1052"/>
        <v>00</v>
      </c>
      <c r="P1653" s="1" t="str">
        <f t="shared" si="1053"/>
        <v>S</v>
      </c>
      <c r="Q1653" s="1" t="str">
        <f t="shared" si="1054"/>
        <v>P</v>
      </c>
      <c r="R1653" s="1" t="str">
        <f t="shared" si="1055"/>
        <v>01</v>
      </c>
      <c r="S1653" s="1" t="str">
        <f t="shared" si="1080"/>
        <v>04</v>
      </c>
      <c r="T1653" s="1" t="str">
        <f t="shared" si="1056"/>
        <v>False</v>
      </c>
      <c r="U1653" s="1" t="str">
        <f t="shared" si="1057"/>
        <v>True</v>
      </c>
      <c r="V1653" s="1" t="str">
        <f>"U0028088"</f>
        <v>U0028088</v>
      </c>
      <c r="W1653" s="1">
        <v>1</v>
      </c>
      <c r="Y1653" s="1">
        <v>0</v>
      </c>
      <c r="Z1653" s="1">
        <v>0</v>
      </c>
      <c r="AB1653" s="1" t="str">
        <f t="shared" si="1047"/>
        <v>SMU</v>
      </c>
      <c r="AI1653" s="1" t="str">
        <f t="shared" si="1082"/>
        <v>F11</v>
      </c>
      <c r="AJ1653" s="1" t="str">
        <f t="shared" si="1077"/>
        <v>WOMAN</v>
      </c>
      <c r="AK1653" s="1" t="str">
        <f t="shared" si="1058"/>
        <v>PA</v>
      </c>
      <c r="AP1653" s="1" t="str">
        <f t="shared" si="1059"/>
        <v>False</v>
      </c>
      <c r="AR1653" s="1" t="str">
        <f t="shared" si="1078"/>
        <v>DYON</v>
      </c>
      <c r="AY1653" s="1" t="str">
        <f t="shared" si="1060"/>
        <v>PF</v>
      </c>
      <c r="AZ1653" s="1">
        <v>0</v>
      </c>
      <c r="BA1653" s="1">
        <v>0</v>
      </c>
      <c r="BB1653" s="1">
        <v>0</v>
      </c>
      <c r="BC1653" s="1">
        <v>0</v>
      </c>
      <c r="BD1653" s="1">
        <v>0</v>
      </c>
      <c r="BE1653" s="1" t="str">
        <f t="shared" si="1076"/>
        <v>YON GOMMA TWILL CANVAS</v>
      </c>
      <c r="BF1653" s="1" t="str">
        <f t="shared" si="1061"/>
        <v>Bonis SpA</v>
      </c>
    </row>
    <row r="1654" spans="2:58" x14ac:dyDescent="0.25">
      <c r="B1654" s="1">
        <v>2548</v>
      </c>
      <c r="C1654" s="1" t="str">
        <f t="shared" si="1075"/>
        <v>DYON4191S7/C1</v>
      </c>
      <c r="E1654" s="1" t="str">
        <f>"41"</f>
        <v>41</v>
      </c>
      <c r="F1654" s="1" t="str">
        <f t="shared" si="1050"/>
        <v>BONIS SPA</v>
      </c>
      <c r="G1654" s="1" t="str">
        <f t="shared" si="1079"/>
        <v>STOCK SCAFFALE MP</v>
      </c>
      <c r="H1654" s="1" t="str">
        <f t="shared" si="1081"/>
        <v>DKBL</v>
      </c>
      <c r="K1654" s="1">
        <v>1</v>
      </c>
      <c r="L1654" s="1" t="str">
        <f t="shared" si="1051"/>
        <v>01</v>
      </c>
      <c r="M1654" s="1" t="str">
        <f t="shared" ref="M1654:M1717" si="1084">"409"</f>
        <v>409</v>
      </c>
      <c r="N1654" s="1" t="str">
        <f t="shared" si="1083"/>
        <v>010</v>
      </c>
      <c r="O1654" s="1" t="str">
        <f t="shared" si="1052"/>
        <v>00</v>
      </c>
      <c r="P1654" s="1" t="str">
        <f t="shared" si="1053"/>
        <v>S</v>
      </c>
      <c r="Q1654" s="1" t="str">
        <f t="shared" si="1054"/>
        <v>P</v>
      </c>
      <c r="R1654" s="1" t="str">
        <f t="shared" si="1055"/>
        <v>01</v>
      </c>
      <c r="S1654" s="1" t="str">
        <f t="shared" si="1080"/>
        <v>04</v>
      </c>
      <c r="T1654" s="1" t="str">
        <f t="shared" si="1056"/>
        <v>False</v>
      </c>
      <c r="U1654" s="1" t="str">
        <f t="shared" si="1057"/>
        <v>True</v>
      </c>
      <c r="V1654" s="1" t="str">
        <f>"U0028088"</f>
        <v>U0028088</v>
      </c>
      <c r="W1654" s="1">
        <v>1</v>
      </c>
      <c r="Y1654" s="1">
        <v>0</v>
      </c>
      <c r="Z1654" s="1">
        <v>0</v>
      </c>
      <c r="AB1654" s="1" t="str">
        <f t="shared" ref="AB1654:AB1717" si="1085">"SMU"</f>
        <v>SMU</v>
      </c>
      <c r="AI1654" s="1" t="str">
        <f t="shared" si="1082"/>
        <v>F11</v>
      </c>
      <c r="AJ1654" s="1" t="str">
        <f t="shared" si="1077"/>
        <v>WOMAN</v>
      </c>
      <c r="AK1654" s="1" t="str">
        <f t="shared" si="1058"/>
        <v>PA</v>
      </c>
      <c r="AP1654" s="1" t="str">
        <f t="shared" si="1059"/>
        <v>False</v>
      </c>
      <c r="AR1654" s="1" t="str">
        <f t="shared" si="1078"/>
        <v>DYON</v>
      </c>
      <c r="AY1654" s="1" t="str">
        <f t="shared" si="1060"/>
        <v>PF</v>
      </c>
      <c r="AZ1654" s="1">
        <v>0</v>
      </c>
      <c r="BA1654" s="1">
        <v>0</v>
      </c>
      <c r="BB1654" s="1">
        <v>0</v>
      </c>
      <c r="BC1654" s="1">
        <v>0</v>
      </c>
      <c r="BD1654" s="1">
        <v>0</v>
      </c>
      <c r="BE1654" s="1" t="str">
        <f t="shared" si="1076"/>
        <v>YON GOMMA TWILL CANVAS</v>
      </c>
      <c r="BF1654" s="1" t="str">
        <f t="shared" si="1061"/>
        <v>Bonis SpA</v>
      </c>
    </row>
    <row r="1655" spans="2:58" x14ac:dyDescent="0.25">
      <c r="B1655" s="1">
        <v>2548</v>
      </c>
      <c r="C1655" s="1" t="str">
        <f t="shared" si="1075"/>
        <v>DYON4191S7/C1</v>
      </c>
      <c r="E1655" s="1" t="str">
        <f>"40"</f>
        <v>40</v>
      </c>
      <c r="F1655" s="1" t="str">
        <f t="shared" si="1050"/>
        <v>BONIS SPA</v>
      </c>
      <c r="G1655" s="1" t="str">
        <f t="shared" si="1079"/>
        <v>STOCK SCAFFALE MP</v>
      </c>
      <c r="H1655" s="1" t="str">
        <f t="shared" si="1081"/>
        <v>DKBL</v>
      </c>
      <c r="K1655" s="1">
        <v>2</v>
      </c>
      <c r="L1655" s="1" t="str">
        <f t="shared" si="1051"/>
        <v>01</v>
      </c>
      <c r="M1655" s="1" t="str">
        <f t="shared" si="1084"/>
        <v>409</v>
      </c>
      <c r="N1655" s="1" t="str">
        <f t="shared" si="1083"/>
        <v>010</v>
      </c>
      <c r="O1655" s="1" t="str">
        <f t="shared" si="1052"/>
        <v>00</v>
      </c>
      <c r="P1655" s="1" t="str">
        <f t="shared" si="1053"/>
        <v>S</v>
      </c>
      <c r="Q1655" s="1" t="str">
        <f t="shared" si="1054"/>
        <v>P</v>
      </c>
      <c r="R1655" s="1" t="str">
        <f t="shared" si="1055"/>
        <v>01</v>
      </c>
      <c r="S1655" s="1" t="str">
        <f t="shared" si="1080"/>
        <v>04</v>
      </c>
      <c r="T1655" s="1" t="str">
        <f t="shared" si="1056"/>
        <v>False</v>
      </c>
      <c r="U1655" s="1" t="str">
        <f t="shared" si="1057"/>
        <v>True</v>
      </c>
      <c r="V1655" s="1" t="str">
        <f>"U0028088"</f>
        <v>U0028088</v>
      </c>
      <c r="W1655" s="1">
        <v>1</v>
      </c>
      <c r="Y1655" s="1">
        <v>0</v>
      </c>
      <c r="Z1655" s="1">
        <v>0</v>
      </c>
      <c r="AB1655" s="1" t="str">
        <f t="shared" si="1085"/>
        <v>SMU</v>
      </c>
      <c r="AI1655" s="1" t="str">
        <f t="shared" si="1082"/>
        <v>F11</v>
      </c>
      <c r="AJ1655" s="1" t="str">
        <f t="shared" si="1077"/>
        <v>WOMAN</v>
      </c>
      <c r="AK1655" s="1" t="str">
        <f t="shared" si="1058"/>
        <v>PA</v>
      </c>
      <c r="AP1655" s="1" t="str">
        <f t="shared" si="1059"/>
        <v>False</v>
      </c>
      <c r="AR1655" s="1" t="str">
        <f t="shared" si="1078"/>
        <v>DYON</v>
      </c>
      <c r="AY1655" s="1" t="str">
        <f t="shared" si="1060"/>
        <v>PF</v>
      </c>
      <c r="AZ1655" s="1">
        <v>0</v>
      </c>
      <c r="BA1655" s="1">
        <v>0</v>
      </c>
      <c r="BB1655" s="1">
        <v>0</v>
      </c>
      <c r="BC1655" s="1">
        <v>0</v>
      </c>
      <c r="BD1655" s="1">
        <v>0</v>
      </c>
      <c r="BE1655" s="1" t="str">
        <f t="shared" si="1076"/>
        <v>YON GOMMA TWILL CANVAS</v>
      </c>
      <c r="BF1655" s="1" t="str">
        <f t="shared" si="1061"/>
        <v>Bonis SpA</v>
      </c>
    </row>
    <row r="1656" spans="2:58" x14ac:dyDescent="0.25">
      <c r="B1656" s="1">
        <v>2548</v>
      </c>
      <c r="C1656" s="1" t="str">
        <f t="shared" si="1075"/>
        <v>DYON4191S7/C1</v>
      </c>
      <c r="E1656" s="1" t="str">
        <f>"37"</f>
        <v>37</v>
      </c>
      <c r="F1656" s="1" t="str">
        <f t="shared" si="1050"/>
        <v>BONIS SPA</v>
      </c>
      <c r="G1656" s="1" t="str">
        <f t="shared" si="1079"/>
        <v>STOCK SCAFFALE MP</v>
      </c>
      <c r="H1656" s="1" t="str">
        <f t="shared" si="1081"/>
        <v>DKBL</v>
      </c>
      <c r="K1656" s="1">
        <v>2</v>
      </c>
      <c r="L1656" s="1" t="str">
        <f t="shared" si="1051"/>
        <v>01</v>
      </c>
      <c r="M1656" s="1" t="str">
        <f t="shared" si="1084"/>
        <v>409</v>
      </c>
      <c r="N1656" s="1" t="str">
        <f t="shared" si="1083"/>
        <v>010</v>
      </c>
      <c r="O1656" s="1" t="str">
        <f t="shared" si="1052"/>
        <v>00</v>
      </c>
      <c r="P1656" s="1" t="str">
        <f t="shared" si="1053"/>
        <v>S</v>
      </c>
      <c r="Q1656" s="1" t="str">
        <f t="shared" si="1054"/>
        <v>P</v>
      </c>
      <c r="R1656" s="1" t="str">
        <f t="shared" si="1055"/>
        <v>01</v>
      </c>
      <c r="S1656" s="1" t="str">
        <f t="shared" si="1080"/>
        <v>04</v>
      </c>
      <c r="T1656" s="1" t="str">
        <f t="shared" si="1056"/>
        <v>False</v>
      </c>
      <c r="U1656" s="1" t="str">
        <f t="shared" si="1057"/>
        <v>True</v>
      </c>
      <c r="V1656" s="1" t="str">
        <f>"U0028088"</f>
        <v>U0028088</v>
      </c>
      <c r="W1656" s="1">
        <v>1</v>
      </c>
      <c r="Y1656" s="1">
        <v>0</v>
      </c>
      <c r="Z1656" s="1">
        <v>0</v>
      </c>
      <c r="AB1656" s="1" t="str">
        <f t="shared" si="1085"/>
        <v>SMU</v>
      </c>
      <c r="AI1656" s="1" t="str">
        <f t="shared" si="1082"/>
        <v>F11</v>
      </c>
      <c r="AJ1656" s="1" t="str">
        <f t="shared" si="1077"/>
        <v>WOMAN</v>
      </c>
      <c r="AK1656" s="1" t="str">
        <f t="shared" si="1058"/>
        <v>PA</v>
      </c>
      <c r="AP1656" s="1" t="str">
        <f t="shared" si="1059"/>
        <v>False</v>
      </c>
      <c r="AR1656" s="1" t="str">
        <f t="shared" si="1078"/>
        <v>DYON</v>
      </c>
      <c r="AY1656" s="1" t="str">
        <f t="shared" si="1060"/>
        <v>PF</v>
      </c>
      <c r="AZ1656" s="1">
        <v>0</v>
      </c>
      <c r="BA1656" s="1">
        <v>0</v>
      </c>
      <c r="BB1656" s="1">
        <v>0</v>
      </c>
      <c r="BC1656" s="1">
        <v>0</v>
      </c>
      <c r="BD1656" s="1">
        <v>0</v>
      </c>
      <c r="BE1656" s="1" t="str">
        <f t="shared" si="1076"/>
        <v>YON GOMMA TWILL CANVAS</v>
      </c>
      <c r="BF1656" s="1" t="str">
        <f t="shared" si="1061"/>
        <v>Bonis SpA</v>
      </c>
    </row>
    <row r="1657" spans="2:58" x14ac:dyDescent="0.25">
      <c r="B1657" s="1">
        <v>2548</v>
      </c>
      <c r="C1657" s="1" t="str">
        <f t="shared" si="1075"/>
        <v>DYON4191S7/C1</v>
      </c>
      <c r="E1657" s="1" t="str">
        <f>"38"</f>
        <v>38</v>
      </c>
      <c r="F1657" s="1" t="str">
        <f t="shared" si="1050"/>
        <v>BONIS SPA</v>
      </c>
      <c r="G1657" s="1" t="str">
        <f t="shared" si="1079"/>
        <v>STOCK SCAFFALE MP</v>
      </c>
      <c r="H1657" s="1" t="str">
        <f>"AVIO"</f>
        <v>AVIO</v>
      </c>
      <c r="K1657" s="1">
        <v>4</v>
      </c>
      <c r="L1657" s="1" t="str">
        <f t="shared" si="1051"/>
        <v>01</v>
      </c>
      <c r="M1657" s="1" t="str">
        <f t="shared" si="1084"/>
        <v>409</v>
      </c>
      <c r="N1657" s="1" t="str">
        <f t="shared" si="1083"/>
        <v>010</v>
      </c>
      <c r="O1657" s="1" t="str">
        <f t="shared" si="1052"/>
        <v>00</v>
      </c>
      <c r="P1657" s="1" t="str">
        <f t="shared" si="1053"/>
        <v>S</v>
      </c>
      <c r="Q1657" s="1" t="str">
        <f t="shared" si="1054"/>
        <v>P</v>
      </c>
      <c r="R1657" s="1" t="str">
        <f t="shared" si="1055"/>
        <v>01</v>
      </c>
      <c r="S1657" s="1" t="str">
        <f t="shared" si="1080"/>
        <v>04</v>
      </c>
      <c r="T1657" s="1" t="str">
        <f t="shared" si="1056"/>
        <v>False</v>
      </c>
      <c r="U1657" s="1" t="str">
        <f t="shared" si="1057"/>
        <v>True</v>
      </c>
      <c r="V1657" s="1" t="str">
        <f>"U0028096"</f>
        <v>U0028096</v>
      </c>
      <c r="W1657" s="1">
        <v>1</v>
      </c>
      <c r="Y1657" s="1">
        <v>0</v>
      </c>
      <c r="Z1657" s="1">
        <v>0</v>
      </c>
      <c r="AB1657" s="1" t="str">
        <f t="shared" si="1085"/>
        <v>SMU</v>
      </c>
      <c r="AI1657" s="1" t="str">
        <f>"106"</f>
        <v>106</v>
      </c>
      <c r="AJ1657" s="1" t="str">
        <f t="shared" si="1077"/>
        <v>WOMAN</v>
      </c>
      <c r="AK1657" s="1" t="str">
        <f t="shared" si="1058"/>
        <v>PA</v>
      </c>
      <c r="AP1657" s="1" t="str">
        <f t="shared" si="1059"/>
        <v>False</v>
      </c>
      <c r="AR1657" s="1" t="str">
        <f t="shared" si="1078"/>
        <v>DYON</v>
      </c>
      <c r="AY1657" s="1" t="str">
        <f t="shared" si="1060"/>
        <v>PF</v>
      </c>
      <c r="AZ1657" s="1">
        <v>0</v>
      </c>
      <c r="BA1657" s="1">
        <v>0</v>
      </c>
      <c r="BB1657" s="1">
        <v>0</v>
      </c>
      <c r="BC1657" s="1">
        <v>0</v>
      </c>
      <c r="BD1657" s="1">
        <v>0</v>
      </c>
      <c r="BE1657" s="1" t="str">
        <f t="shared" si="1076"/>
        <v>YON GOMMA TWILL CANVAS</v>
      </c>
      <c r="BF1657" s="1" t="str">
        <f t="shared" si="1061"/>
        <v>Bonis SpA</v>
      </c>
    </row>
    <row r="1658" spans="2:58" x14ac:dyDescent="0.25">
      <c r="B1658" s="1">
        <v>2548</v>
      </c>
      <c r="C1658" s="1" t="str">
        <f t="shared" si="1075"/>
        <v>DYON4191S7/C1</v>
      </c>
      <c r="E1658" s="1" t="str">
        <f>"39"</f>
        <v>39</v>
      </c>
      <c r="F1658" s="1" t="str">
        <f t="shared" si="1050"/>
        <v>BONIS SPA</v>
      </c>
      <c r="G1658" s="1" t="str">
        <f t="shared" si="1079"/>
        <v>STOCK SCAFFALE MP</v>
      </c>
      <c r="H1658" s="1" t="str">
        <f>"AVIO"</f>
        <v>AVIO</v>
      </c>
      <c r="K1658" s="1">
        <v>1</v>
      </c>
      <c r="L1658" s="1" t="str">
        <f t="shared" si="1051"/>
        <v>01</v>
      </c>
      <c r="M1658" s="1" t="str">
        <f t="shared" si="1084"/>
        <v>409</v>
      </c>
      <c r="N1658" s="1" t="str">
        <f t="shared" si="1083"/>
        <v>010</v>
      </c>
      <c r="O1658" s="1" t="str">
        <f t="shared" si="1052"/>
        <v>00</v>
      </c>
      <c r="P1658" s="1" t="str">
        <f t="shared" si="1053"/>
        <v>S</v>
      </c>
      <c r="Q1658" s="1" t="str">
        <f t="shared" si="1054"/>
        <v>P</v>
      </c>
      <c r="R1658" s="1" t="str">
        <f t="shared" si="1055"/>
        <v>01</v>
      </c>
      <c r="S1658" s="1" t="str">
        <f t="shared" si="1080"/>
        <v>04</v>
      </c>
      <c r="T1658" s="1" t="str">
        <f t="shared" si="1056"/>
        <v>False</v>
      </c>
      <c r="U1658" s="1" t="str">
        <f t="shared" si="1057"/>
        <v>True</v>
      </c>
      <c r="V1658" s="1" t="str">
        <f>"U0028094"</f>
        <v>U0028094</v>
      </c>
      <c r="W1658" s="1">
        <v>1</v>
      </c>
      <c r="Y1658" s="1">
        <v>0</v>
      </c>
      <c r="Z1658" s="1">
        <v>0</v>
      </c>
      <c r="AB1658" s="1" t="str">
        <f t="shared" si="1085"/>
        <v>SMU</v>
      </c>
      <c r="AI1658" s="1" t="str">
        <f>"106"</f>
        <v>106</v>
      </c>
      <c r="AJ1658" s="1" t="str">
        <f t="shared" si="1077"/>
        <v>WOMAN</v>
      </c>
      <c r="AK1658" s="1" t="str">
        <f t="shared" si="1058"/>
        <v>PA</v>
      </c>
      <c r="AP1658" s="1" t="str">
        <f t="shared" si="1059"/>
        <v>False</v>
      </c>
      <c r="AR1658" s="1" t="str">
        <f t="shared" si="1078"/>
        <v>DYON</v>
      </c>
      <c r="AY1658" s="1" t="str">
        <f t="shared" si="1060"/>
        <v>PF</v>
      </c>
      <c r="AZ1658" s="1">
        <v>0</v>
      </c>
      <c r="BA1658" s="1">
        <v>0</v>
      </c>
      <c r="BB1658" s="1">
        <v>0</v>
      </c>
      <c r="BC1658" s="1">
        <v>0</v>
      </c>
      <c r="BD1658" s="1">
        <v>0</v>
      </c>
      <c r="BE1658" s="1" t="str">
        <f t="shared" si="1076"/>
        <v>YON GOMMA TWILL CANVAS</v>
      </c>
      <c r="BF1658" s="1" t="str">
        <f t="shared" si="1061"/>
        <v>Bonis SpA</v>
      </c>
    </row>
    <row r="1659" spans="2:58" x14ac:dyDescent="0.25">
      <c r="B1659" s="1">
        <v>2548</v>
      </c>
      <c r="C1659" s="1" t="str">
        <f t="shared" si="1075"/>
        <v>DYON4191S7/C1</v>
      </c>
      <c r="E1659" s="1" t="str">
        <f>"36"</f>
        <v>36</v>
      </c>
      <c r="F1659" s="1" t="str">
        <f t="shared" si="1050"/>
        <v>BONIS SPA</v>
      </c>
      <c r="G1659" s="1" t="str">
        <f t="shared" si="1079"/>
        <v>STOCK SCAFFALE MP</v>
      </c>
      <c r="H1659" s="1" t="str">
        <f>"FUX"</f>
        <v>FUX</v>
      </c>
      <c r="K1659" s="1">
        <v>3</v>
      </c>
      <c r="L1659" s="1" t="str">
        <f t="shared" si="1051"/>
        <v>01</v>
      </c>
      <c r="M1659" s="1" t="str">
        <f t="shared" si="1084"/>
        <v>409</v>
      </c>
      <c r="N1659" s="1" t="str">
        <f t="shared" si="1083"/>
        <v>010</v>
      </c>
      <c r="O1659" s="1" t="str">
        <f t="shared" si="1052"/>
        <v>00</v>
      </c>
      <c r="P1659" s="1" t="str">
        <f t="shared" si="1053"/>
        <v>S</v>
      </c>
      <c r="Q1659" s="1" t="str">
        <f t="shared" si="1054"/>
        <v>P</v>
      </c>
      <c r="R1659" s="1" t="str">
        <f t="shared" si="1055"/>
        <v>01</v>
      </c>
      <c r="S1659" s="1" t="str">
        <f t="shared" si="1080"/>
        <v>04</v>
      </c>
      <c r="T1659" s="1" t="str">
        <f t="shared" si="1056"/>
        <v>False</v>
      </c>
      <c r="U1659" s="1" t="str">
        <f t="shared" si="1057"/>
        <v>True</v>
      </c>
      <c r="V1659" s="1" t="str">
        <f>"U0028089"</f>
        <v>U0028089</v>
      </c>
      <c r="W1659" s="1">
        <v>1</v>
      </c>
      <c r="Y1659" s="1">
        <v>0</v>
      </c>
      <c r="Z1659" s="1">
        <v>0</v>
      </c>
      <c r="AB1659" s="1" t="str">
        <f t="shared" si="1085"/>
        <v>SMU</v>
      </c>
      <c r="AI1659" s="1" t="str">
        <f t="shared" ref="AI1659:AI1664" si="1086">"F11"</f>
        <v>F11</v>
      </c>
      <c r="AJ1659" s="1" t="str">
        <f t="shared" si="1077"/>
        <v>WOMAN</v>
      </c>
      <c r="AK1659" s="1" t="str">
        <f t="shared" si="1058"/>
        <v>PA</v>
      </c>
      <c r="AP1659" s="1" t="str">
        <f t="shared" si="1059"/>
        <v>False</v>
      </c>
      <c r="AR1659" s="1" t="str">
        <f t="shared" si="1078"/>
        <v>DYON</v>
      </c>
      <c r="AY1659" s="1" t="str">
        <f t="shared" si="1060"/>
        <v>PF</v>
      </c>
      <c r="AZ1659" s="1">
        <v>0</v>
      </c>
      <c r="BA1659" s="1">
        <v>0</v>
      </c>
      <c r="BB1659" s="1">
        <v>0</v>
      </c>
      <c r="BC1659" s="1">
        <v>0</v>
      </c>
      <c r="BD1659" s="1">
        <v>0</v>
      </c>
      <c r="BE1659" s="1" t="str">
        <f t="shared" si="1076"/>
        <v>YON GOMMA TWILL CANVAS</v>
      </c>
      <c r="BF1659" s="1" t="str">
        <f t="shared" si="1061"/>
        <v>Bonis SpA</v>
      </c>
    </row>
    <row r="1660" spans="2:58" x14ac:dyDescent="0.25">
      <c r="B1660" s="1">
        <v>2548</v>
      </c>
      <c r="C1660" s="1" t="str">
        <f t="shared" si="1075"/>
        <v>DYON4191S7/C1</v>
      </c>
      <c r="E1660" s="1" t="str">
        <f>"37"</f>
        <v>37</v>
      </c>
      <c r="F1660" s="1" t="str">
        <f t="shared" si="1050"/>
        <v>BONIS SPA</v>
      </c>
      <c r="G1660" s="1" t="str">
        <f t="shared" si="1079"/>
        <v>STOCK SCAFFALE MP</v>
      </c>
      <c r="H1660" s="1" t="str">
        <f>"FUX"</f>
        <v>FUX</v>
      </c>
      <c r="K1660" s="1">
        <v>5</v>
      </c>
      <c r="L1660" s="1" t="str">
        <f t="shared" si="1051"/>
        <v>01</v>
      </c>
      <c r="M1660" s="1" t="str">
        <f t="shared" si="1084"/>
        <v>409</v>
      </c>
      <c r="N1660" s="1" t="str">
        <f t="shared" si="1083"/>
        <v>010</v>
      </c>
      <c r="O1660" s="1" t="str">
        <f t="shared" si="1052"/>
        <v>00</v>
      </c>
      <c r="P1660" s="1" t="str">
        <f t="shared" si="1053"/>
        <v>S</v>
      </c>
      <c r="Q1660" s="1" t="str">
        <f t="shared" si="1054"/>
        <v>P</v>
      </c>
      <c r="R1660" s="1" t="str">
        <f t="shared" si="1055"/>
        <v>01</v>
      </c>
      <c r="S1660" s="1" t="str">
        <f t="shared" si="1080"/>
        <v>04</v>
      </c>
      <c r="T1660" s="1" t="str">
        <f t="shared" si="1056"/>
        <v>False</v>
      </c>
      <c r="U1660" s="1" t="str">
        <f t="shared" si="1057"/>
        <v>True</v>
      </c>
      <c r="V1660" s="1" t="str">
        <f>"U0028089"</f>
        <v>U0028089</v>
      </c>
      <c r="W1660" s="1">
        <v>1</v>
      </c>
      <c r="Y1660" s="1">
        <v>0</v>
      </c>
      <c r="Z1660" s="1">
        <v>0</v>
      </c>
      <c r="AB1660" s="1" t="str">
        <f t="shared" si="1085"/>
        <v>SMU</v>
      </c>
      <c r="AI1660" s="1" t="str">
        <f t="shared" si="1086"/>
        <v>F11</v>
      </c>
      <c r="AJ1660" s="1" t="str">
        <f t="shared" si="1077"/>
        <v>WOMAN</v>
      </c>
      <c r="AK1660" s="1" t="str">
        <f t="shared" si="1058"/>
        <v>PA</v>
      </c>
      <c r="AP1660" s="1" t="str">
        <f t="shared" si="1059"/>
        <v>False</v>
      </c>
      <c r="AR1660" s="1" t="str">
        <f t="shared" si="1078"/>
        <v>DYON</v>
      </c>
      <c r="AY1660" s="1" t="str">
        <f t="shared" si="1060"/>
        <v>PF</v>
      </c>
      <c r="AZ1660" s="1">
        <v>0</v>
      </c>
      <c r="BA1660" s="1">
        <v>0</v>
      </c>
      <c r="BB1660" s="1">
        <v>0</v>
      </c>
      <c r="BC1660" s="1">
        <v>0</v>
      </c>
      <c r="BD1660" s="1">
        <v>0</v>
      </c>
      <c r="BE1660" s="1" t="str">
        <f t="shared" si="1076"/>
        <v>YON GOMMA TWILL CANVAS</v>
      </c>
      <c r="BF1660" s="1" t="str">
        <f t="shared" si="1061"/>
        <v>Bonis SpA</v>
      </c>
    </row>
    <row r="1661" spans="2:58" x14ac:dyDescent="0.25">
      <c r="B1661" s="1">
        <v>2548</v>
      </c>
      <c r="C1661" s="1" t="str">
        <f t="shared" si="1075"/>
        <v>DYON4191S7/C1</v>
      </c>
      <c r="E1661" s="1" t="str">
        <f>"38"</f>
        <v>38</v>
      </c>
      <c r="F1661" s="1" t="str">
        <f t="shared" si="1050"/>
        <v>BONIS SPA</v>
      </c>
      <c r="G1661" s="1" t="str">
        <f t="shared" si="1079"/>
        <v>STOCK SCAFFALE MP</v>
      </c>
      <c r="H1661" s="1" t="str">
        <f>"FUX"</f>
        <v>FUX</v>
      </c>
      <c r="K1661" s="1">
        <v>2</v>
      </c>
      <c r="L1661" s="1" t="str">
        <f t="shared" si="1051"/>
        <v>01</v>
      </c>
      <c r="M1661" s="1" t="str">
        <f t="shared" si="1084"/>
        <v>409</v>
      </c>
      <c r="N1661" s="1" t="str">
        <f t="shared" si="1083"/>
        <v>010</v>
      </c>
      <c r="O1661" s="1" t="str">
        <f t="shared" si="1052"/>
        <v>00</v>
      </c>
      <c r="P1661" s="1" t="str">
        <f t="shared" si="1053"/>
        <v>S</v>
      </c>
      <c r="Q1661" s="1" t="str">
        <f t="shared" si="1054"/>
        <v>P</v>
      </c>
      <c r="R1661" s="1" t="str">
        <f t="shared" si="1055"/>
        <v>01</v>
      </c>
      <c r="S1661" s="1" t="str">
        <f t="shared" si="1080"/>
        <v>04</v>
      </c>
      <c r="T1661" s="1" t="str">
        <f t="shared" si="1056"/>
        <v>False</v>
      </c>
      <c r="U1661" s="1" t="str">
        <f t="shared" si="1057"/>
        <v>True</v>
      </c>
      <c r="V1661" s="1" t="str">
        <f>"U0028089"</f>
        <v>U0028089</v>
      </c>
      <c r="W1661" s="1">
        <v>1</v>
      </c>
      <c r="Y1661" s="1">
        <v>0</v>
      </c>
      <c r="Z1661" s="1">
        <v>0</v>
      </c>
      <c r="AB1661" s="1" t="str">
        <f t="shared" si="1085"/>
        <v>SMU</v>
      </c>
      <c r="AI1661" s="1" t="str">
        <f t="shared" si="1086"/>
        <v>F11</v>
      </c>
      <c r="AJ1661" s="1" t="str">
        <f t="shared" si="1077"/>
        <v>WOMAN</v>
      </c>
      <c r="AK1661" s="1" t="str">
        <f t="shared" si="1058"/>
        <v>PA</v>
      </c>
      <c r="AP1661" s="1" t="str">
        <f t="shared" si="1059"/>
        <v>False</v>
      </c>
      <c r="AR1661" s="1" t="str">
        <f t="shared" si="1078"/>
        <v>DYON</v>
      </c>
      <c r="AY1661" s="1" t="str">
        <f t="shared" si="1060"/>
        <v>PF</v>
      </c>
      <c r="AZ1661" s="1">
        <v>0</v>
      </c>
      <c r="BA1661" s="1">
        <v>0</v>
      </c>
      <c r="BB1661" s="1">
        <v>0</v>
      </c>
      <c r="BC1661" s="1">
        <v>0</v>
      </c>
      <c r="BD1661" s="1">
        <v>0</v>
      </c>
      <c r="BE1661" s="1" t="str">
        <f t="shared" si="1076"/>
        <v>YON GOMMA TWILL CANVAS</v>
      </c>
      <c r="BF1661" s="1" t="str">
        <f t="shared" si="1061"/>
        <v>Bonis SpA</v>
      </c>
    </row>
    <row r="1662" spans="2:58" x14ac:dyDescent="0.25">
      <c r="B1662" s="1">
        <v>2548</v>
      </c>
      <c r="C1662" s="1" t="str">
        <f t="shared" si="1075"/>
        <v>DYON4191S7/C1</v>
      </c>
      <c r="E1662" s="1" t="str">
        <f>"37"</f>
        <v>37</v>
      </c>
      <c r="F1662" s="1" t="str">
        <f t="shared" si="1050"/>
        <v>BONIS SPA</v>
      </c>
      <c r="G1662" s="1" t="str">
        <f t="shared" si="1079"/>
        <v>STOCK SCAFFALE MP</v>
      </c>
      <c r="H1662" s="1" t="str">
        <f>"AVIO"</f>
        <v>AVIO</v>
      </c>
      <c r="K1662" s="1">
        <v>6</v>
      </c>
      <c r="L1662" s="1" t="str">
        <f t="shared" si="1051"/>
        <v>01</v>
      </c>
      <c r="M1662" s="1" t="str">
        <f t="shared" si="1084"/>
        <v>409</v>
      </c>
      <c r="N1662" s="1" t="str">
        <f t="shared" si="1083"/>
        <v>010</v>
      </c>
      <c r="O1662" s="1" t="str">
        <f t="shared" si="1052"/>
        <v>00</v>
      </c>
      <c r="P1662" s="1" t="str">
        <f t="shared" si="1053"/>
        <v>S</v>
      </c>
      <c r="Q1662" s="1" t="str">
        <f t="shared" si="1054"/>
        <v>P</v>
      </c>
      <c r="R1662" s="1" t="str">
        <f t="shared" si="1055"/>
        <v>01</v>
      </c>
      <c r="S1662" s="1" t="str">
        <f t="shared" si="1080"/>
        <v>04</v>
      </c>
      <c r="T1662" s="1" t="str">
        <f t="shared" si="1056"/>
        <v>False</v>
      </c>
      <c r="U1662" s="1" t="str">
        <f t="shared" si="1057"/>
        <v>True</v>
      </c>
      <c r="V1662" s="1" t="str">
        <f>"U0028056"</f>
        <v>U0028056</v>
      </c>
      <c r="W1662" s="1">
        <v>1</v>
      </c>
      <c r="Y1662" s="1">
        <v>0</v>
      </c>
      <c r="Z1662" s="1">
        <v>0</v>
      </c>
      <c r="AB1662" s="1" t="str">
        <f t="shared" si="1085"/>
        <v>SMU</v>
      </c>
      <c r="AI1662" s="1" t="str">
        <f t="shared" si="1086"/>
        <v>F11</v>
      </c>
      <c r="AJ1662" s="1" t="str">
        <f t="shared" si="1077"/>
        <v>WOMAN</v>
      </c>
      <c r="AK1662" s="1" t="str">
        <f t="shared" si="1058"/>
        <v>PA</v>
      </c>
      <c r="AP1662" s="1" t="str">
        <f t="shared" si="1059"/>
        <v>False</v>
      </c>
      <c r="AR1662" s="1" t="str">
        <f t="shared" si="1078"/>
        <v>DYON</v>
      </c>
      <c r="AY1662" s="1" t="str">
        <f t="shared" si="1060"/>
        <v>PF</v>
      </c>
      <c r="AZ1662" s="1">
        <v>0</v>
      </c>
      <c r="BA1662" s="1">
        <v>0</v>
      </c>
      <c r="BB1662" s="1">
        <v>0</v>
      </c>
      <c r="BC1662" s="1">
        <v>0</v>
      </c>
      <c r="BD1662" s="1">
        <v>0</v>
      </c>
      <c r="BE1662" s="1" t="str">
        <f t="shared" si="1076"/>
        <v>YON GOMMA TWILL CANVAS</v>
      </c>
      <c r="BF1662" s="1" t="str">
        <f t="shared" si="1061"/>
        <v>Bonis SpA</v>
      </c>
    </row>
    <row r="1663" spans="2:58" x14ac:dyDescent="0.25">
      <c r="B1663" s="1">
        <v>2548</v>
      </c>
      <c r="C1663" s="1" t="str">
        <f t="shared" si="1075"/>
        <v>DYON4191S7/C1</v>
      </c>
      <c r="E1663" s="1" t="str">
        <f>"36"</f>
        <v>36</v>
      </c>
      <c r="F1663" s="1" t="str">
        <f t="shared" si="1050"/>
        <v>BONIS SPA</v>
      </c>
      <c r="G1663" s="1" t="str">
        <f t="shared" si="1079"/>
        <v>STOCK SCAFFALE MP</v>
      </c>
      <c r="H1663" s="1" t="str">
        <f>"AVIO"</f>
        <v>AVIO</v>
      </c>
      <c r="K1663" s="1">
        <v>3</v>
      </c>
      <c r="L1663" s="1" t="str">
        <f t="shared" si="1051"/>
        <v>01</v>
      </c>
      <c r="M1663" s="1" t="str">
        <f t="shared" si="1084"/>
        <v>409</v>
      </c>
      <c r="N1663" s="1" t="str">
        <f t="shared" si="1083"/>
        <v>010</v>
      </c>
      <c r="O1663" s="1" t="str">
        <f t="shared" si="1052"/>
        <v>00</v>
      </c>
      <c r="P1663" s="1" t="str">
        <f t="shared" si="1053"/>
        <v>S</v>
      </c>
      <c r="Q1663" s="1" t="str">
        <f t="shared" si="1054"/>
        <v>P</v>
      </c>
      <c r="R1663" s="1" t="str">
        <f t="shared" si="1055"/>
        <v>01</v>
      </c>
      <c r="S1663" s="1" t="str">
        <f t="shared" si="1080"/>
        <v>04</v>
      </c>
      <c r="T1663" s="1" t="str">
        <f t="shared" si="1056"/>
        <v>False</v>
      </c>
      <c r="U1663" s="1" t="str">
        <f t="shared" si="1057"/>
        <v>True</v>
      </c>
      <c r="V1663" s="1" t="str">
        <f>"U0028056"</f>
        <v>U0028056</v>
      </c>
      <c r="W1663" s="1">
        <v>1</v>
      </c>
      <c r="Y1663" s="1">
        <v>0</v>
      </c>
      <c r="Z1663" s="1">
        <v>0</v>
      </c>
      <c r="AB1663" s="1" t="str">
        <f t="shared" si="1085"/>
        <v>SMU</v>
      </c>
      <c r="AI1663" s="1" t="str">
        <f t="shared" si="1086"/>
        <v>F11</v>
      </c>
      <c r="AJ1663" s="1" t="str">
        <f t="shared" si="1077"/>
        <v>WOMAN</v>
      </c>
      <c r="AK1663" s="1" t="str">
        <f t="shared" si="1058"/>
        <v>PA</v>
      </c>
      <c r="AP1663" s="1" t="str">
        <f t="shared" si="1059"/>
        <v>False</v>
      </c>
      <c r="AR1663" s="1" t="str">
        <f t="shared" si="1078"/>
        <v>DYON</v>
      </c>
      <c r="AY1663" s="1" t="str">
        <f t="shared" si="1060"/>
        <v>PF</v>
      </c>
      <c r="AZ1663" s="1">
        <v>0</v>
      </c>
      <c r="BA1663" s="1">
        <v>0</v>
      </c>
      <c r="BB1663" s="1">
        <v>0</v>
      </c>
      <c r="BC1663" s="1">
        <v>0</v>
      </c>
      <c r="BD1663" s="1">
        <v>0</v>
      </c>
      <c r="BE1663" s="1" t="str">
        <f t="shared" si="1076"/>
        <v>YON GOMMA TWILL CANVAS</v>
      </c>
      <c r="BF1663" s="1" t="str">
        <f t="shared" si="1061"/>
        <v>Bonis SpA</v>
      </c>
    </row>
    <row r="1664" spans="2:58" x14ac:dyDescent="0.25">
      <c r="B1664" s="1">
        <v>2548</v>
      </c>
      <c r="C1664" s="1" t="str">
        <f t="shared" si="1075"/>
        <v>DYON4191S7/C1</v>
      </c>
      <c r="E1664" s="1" t="str">
        <f>"39"</f>
        <v>39</v>
      </c>
      <c r="F1664" s="1" t="str">
        <f t="shared" si="1050"/>
        <v>BONIS SPA</v>
      </c>
      <c r="G1664" s="1" t="str">
        <f t="shared" si="1079"/>
        <v>STOCK SCAFFALE MP</v>
      </c>
      <c r="H1664" s="1" t="str">
        <f>"FUX"</f>
        <v>FUX</v>
      </c>
      <c r="K1664" s="1">
        <v>1</v>
      </c>
      <c r="L1664" s="1" t="str">
        <f t="shared" si="1051"/>
        <v>01</v>
      </c>
      <c r="M1664" s="1" t="str">
        <f t="shared" si="1084"/>
        <v>409</v>
      </c>
      <c r="N1664" s="1" t="str">
        <f t="shared" si="1083"/>
        <v>010</v>
      </c>
      <c r="O1664" s="1" t="str">
        <f t="shared" si="1052"/>
        <v>00</v>
      </c>
      <c r="P1664" s="1" t="str">
        <f t="shared" si="1053"/>
        <v>S</v>
      </c>
      <c r="Q1664" s="1" t="str">
        <f t="shared" si="1054"/>
        <v>P</v>
      </c>
      <c r="R1664" s="1" t="str">
        <f t="shared" si="1055"/>
        <v>01</v>
      </c>
      <c r="S1664" s="1" t="str">
        <f t="shared" si="1080"/>
        <v>04</v>
      </c>
      <c r="T1664" s="1" t="str">
        <f t="shared" si="1056"/>
        <v>False</v>
      </c>
      <c r="U1664" s="1" t="str">
        <f t="shared" si="1057"/>
        <v>True</v>
      </c>
      <c r="V1664" s="1" t="str">
        <f>"U0028056"</f>
        <v>U0028056</v>
      </c>
      <c r="W1664" s="1">
        <v>1</v>
      </c>
      <c r="Y1664" s="1">
        <v>0</v>
      </c>
      <c r="Z1664" s="1">
        <v>0</v>
      </c>
      <c r="AB1664" s="1" t="str">
        <f t="shared" si="1085"/>
        <v>SMU</v>
      </c>
      <c r="AI1664" s="1" t="str">
        <f t="shared" si="1086"/>
        <v>F11</v>
      </c>
      <c r="AJ1664" s="1" t="str">
        <f t="shared" si="1077"/>
        <v>WOMAN</v>
      </c>
      <c r="AK1664" s="1" t="str">
        <f t="shared" si="1058"/>
        <v>PA</v>
      </c>
      <c r="AP1664" s="1" t="str">
        <f t="shared" si="1059"/>
        <v>False</v>
      </c>
      <c r="AR1664" s="1" t="str">
        <f t="shared" si="1078"/>
        <v>DYON</v>
      </c>
      <c r="AY1664" s="1" t="str">
        <f t="shared" si="1060"/>
        <v>PF</v>
      </c>
      <c r="AZ1664" s="1">
        <v>0</v>
      </c>
      <c r="BA1664" s="1">
        <v>0</v>
      </c>
      <c r="BB1664" s="1">
        <v>0</v>
      </c>
      <c r="BC1664" s="1">
        <v>0</v>
      </c>
      <c r="BD1664" s="1">
        <v>0</v>
      </c>
      <c r="BE1664" s="1" t="str">
        <f t="shared" si="1076"/>
        <v>YON GOMMA TWILL CANVAS</v>
      </c>
      <c r="BF1664" s="1" t="str">
        <f t="shared" si="1061"/>
        <v>Bonis SpA</v>
      </c>
    </row>
    <row r="1665" spans="2:58" x14ac:dyDescent="0.25">
      <c r="B1665" s="1">
        <v>2548</v>
      </c>
      <c r="C1665" s="1" t="str">
        <f t="shared" si="1075"/>
        <v>DYON4191S7/C1</v>
      </c>
      <c r="E1665" s="1" t="str">
        <f>"36"</f>
        <v>36</v>
      </c>
      <c r="F1665" s="1" t="str">
        <f t="shared" si="1050"/>
        <v>BONIS SPA</v>
      </c>
      <c r="G1665" s="1" t="str">
        <f t="shared" si="1079"/>
        <v>STOCK SCAFFALE MP</v>
      </c>
      <c r="H1665" s="1" t="str">
        <f t="shared" ref="H1665:H1671" si="1087">"BLK"</f>
        <v>BLK</v>
      </c>
      <c r="K1665" s="1">
        <v>1</v>
      </c>
      <c r="L1665" s="1" t="str">
        <f t="shared" si="1051"/>
        <v>01</v>
      </c>
      <c r="M1665" s="1" t="str">
        <f t="shared" si="1084"/>
        <v>409</v>
      </c>
      <c r="N1665" s="1" t="str">
        <f t="shared" si="1083"/>
        <v>010</v>
      </c>
      <c r="O1665" s="1" t="str">
        <f t="shared" si="1052"/>
        <v>00</v>
      </c>
      <c r="P1665" s="1" t="str">
        <f t="shared" si="1053"/>
        <v>S</v>
      </c>
      <c r="Q1665" s="1" t="str">
        <f t="shared" si="1054"/>
        <v>P</v>
      </c>
      <c r="R1665" s="1" t="str">
        <f t="shared" si="1055"/>
        <v>01</v>
      </c>
      <c r="S1665" s="1" t="str">
        <f t="shared" si="1080"/>
        <v>04</v>
      </c>
      <c r="T1665" s="1" t="str">
        <f t="shared" si="1056"/>
        <v>False</v>
      </c>
      <c r="U1665" s="1" t="str">
        <f t="shared" si="1057"/>
        <v>True</v>
      </c>
      <c r="V1665" s="1" t="str">
        <f>"U0028065"</f>
        <v>U0028065</v>
      </c>
      <c r="W1665" s="1">
        <v>1</v>
      </c>
      <c r="Y1665" s="1">
        <v>0</v>
      </c>
      <c r="Z1665" s="1">
        <v>0</v>
      </c>
      <c r="AB1665" s="1" t="str">
        <f t="shared" si="1085"/>
        <v>SMU</v>
      </c>
      <c r="AI1665" s="1" t="str">
        <f t="shared" ref="AI1665:AI1670" si="1088">"106"</f>
        <v>106</v>
      </c>
      <c r="AJ1665" s="1" t="str">
        <f t="shared" si="1077"/>
        <v>WOMAN</v>
      </c>
      <c r="AK1665" s="1" t="str">
        <f t="shared" si="1058"/>
        <v>PA</v>
      </c>
      <c r="AP1665" s="1" t="str">
        <f t="shared" si="1059"/>
        <v>False</v>
      </c>
      <c r="AR1665" s="1" t="str">
        <f t="shared" si="1078"/>
        <v>DYON</v>
      </c>
      <c r="AY1665" s="1" t="str">
        <f t="shared" si="1060"/>
        <v>PF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 t="str">
        <f t="shared" si="1076"/>
        <v>YON GOMMA TWILL CANVAS</v>
      </c>
      <c r="BF1665" s="1" t="str">
        <f t="shared" si="1061"/>
        <v>Bonis SpA</v>
      </c>
    </row>
    <row r="1666" spans="2:58" x14ac:dyDescent="0.25">
      <c r="B1666" s="1">
        <v>2548</v>
      </c>
      <c r="C1666" s="1" t="str">
        <f t="shared" si="1075"/>
        <v>DYON4191S7/C1</v>
      </c>
      <c r="E1666" s="1" t="str">
        <f>"36"</f>
        <v>36</v>
      </c>
      <c r="F1666" s="1" t="str">
        <f t="shared" ref="F1666:F1729" si="1089">"BONIS SPA"</f>
        <v>BONIS SPA</v>
      </c>
      <c r="G1666" s="1" t="str">
        <f t="shared" si="1079"/>
        <v>STOCK SCAFFALE MP</v>
      </c>
      <c r="H1666" s="1" t="str">
        <f t="shared" si="1087"/>
        <v>BLK</v>
      </c>
      <c r="K1666" s="1">
        <v>3</v>
      </c>
      <c r="L1666" s="1" t="str">
        <f t="shared" ref="L1666:L1729" si="1090">"01"</f>
        <v>01</v>
      </c>
      <c r="M1666" s="1" t="str">
        <f t="shared" si="1084"/>
        <v>409</v>
      </c>
      <c r="N1666" s="1" t="str">
        <f t="shared" si="1083"/>
        <v>010</v>
      </c>
      <c r="O1666" s="1" t="str">
        <f t="shared" ref="O1666:O1729" si="1091">"00"</f>
        <v>00</v>
      </c>
      <c r="P1666" s="1" t="str">
        <f t="shared" ref="P1666:P1729" si="1092">"S"</f>
        <v>S</v>
      </c>
      <c r="Q1666" s="1" t="str">
        <f t="shared" ref="Q1666:Q1729" si="1093">"P"</f>
        <v>P</v>
      </c>
      <c r="R1666" s="1" t="str">
        <f t="shared" ref="R1666:R1729" si="1094">"01"</f>
        <v>01</v>
      </c>
      <c r="S1666" s="1" t="str">
        <f t="shared" si="1080"/>
        <v>04</v>
      </c>
      <c r="T1666" s="1" t="str">
        <f t="shared" ref="T1666:T1729" si="1095">"False"</f>
        <v>False</v>
      </c>
      <c r="U1666" s="1" t="str">
        <f t="shared" ref="U1666:U1729" si="1096">"True"</f>
        <v>True</v>
      </c>
      <c r="V1666" s="1" t="str">
        <f>"U0023738"</f>
        <v>U0023738</v>
      </c>
      <c r="W1666" s="1">
        <v>1</v>
      </c>
      <c r="Y1666" s="1">
        <v>0</v>
      </c>
      <c r="Z1666" s="1">
        <v>0</v>
      </c>
      <c r="AB1666" s="1" t="str">
        <f t="shared" si="1085"/>
        <v>SMU</v>
      </c>
      <c r="AI1666" s="1" t="str">
        <f t="shared" si="1088"/>
        <v>106</v>
      </c>
      <c r="AJ1666" s="1" t="str">
        <f t="shared" si="1077"/>
        <v>WOMAN</v>
      </c>
      <c r="AK1666" s="1" t="str">
        <f t="shared" ref="AK1666:AK1729" si="1097">"PA"</f>
        <v>PA</v>
      </c>
      <c r="AP1666" s="1" t="str">
        <f t="shared" ref="AP1666:AP1729" si="1098">"False"</f>
        <v>False</v>
      </c>
      <c r="AR1666" s="1" t="str">
        <f t="shared" si="1078"/>
        <v>DYON</v>
      </c>
      <c r="AY1666" s="1" t="str">
        <f t="shared" ref="AY1666:AY1729" si="1099">"PF"</f>
        <v>PF</v>
      </c>
      <c r="AZ1666" s="1">
        <v>0</v>
      </c>
      <c r="BA1666" s="1">
        <v>0</v>
      </c>
      <c r="BB1666" s="1">
        <v>0</v>
      </c>
      <c r="BC1666" s="1">
        <v>0</v>
      </c>
      <c r="BD1666" s="1">
        <v>0</v>
      </c>
      <c r="BE1666" s="1" t="str">
        <f t="shared" si="1076"/>
        <v>YON GOMMA TWILL CANVAS</v>
      </c>
      <c r="BF1666" s="1" t="str">
        <f t="shared" ref="BF1666:BF1729" si="1100">"Bonis SpA"</f>
        <v>Bonis SpA</v>
      </c>
    </row>
    <row r="1667" spans="2:58" x14ac:dyDescent="0.25">
      <c r="B1667" s="1">
        <v>2548</v>
      </c>
      <c r="C1667" s="1" t="str">
        <f t="shared" si="1075"/>
        <v>DYON4191S7/C1</v>
      </c>
      <c r="E1667" s="1" t="str">
        <f>"36"</f>
        <v>36</v>
      </c>
      <c r="F1667" s="1" t="str">
        <f t="shared" si="1089"/>
        <v>BONIS SPA</v>
      </c>
      <c r="G1667" s="1" t="str">
        <f t="shared" si="1079"/>
        <v>STOCK SCAFFALE MP</v>
      </c>
      <c r="H1667" s="1" t="str">
        <f t="shared" si="1087"/>
        <v>BLK</v>
      </c>
      <c r="K1667" s="1">
        <v>1</v>
      </c>
      <c r="L1667" s="1" t="str">
        <f t="shared" si="1090"/>
        <v>01</v>
      </c>
      <c r="M1667" s="1" t="str">
        <f t="shared" si="1084"/>
        <v>409</v>
      </c>
      <c r="N1667" s="1" t="str">
        <f t="shared" si="1083"/>
        <v>010</v>
      </c>
      <c r="O1667" s="1" t="str">
        <f t="shared" si="1091"/>
        <v>00</v>
      </c>
      <c r="P1667" s="1" t="str">
        <f t="shared" si="1092"/>
        <v>S</v>
      </c>
      <c r="Q1667" s="1" t="str">
        <f t="shared" si="1093"/>
        <v>P</v>
      </c>
      <c r="R1667" s="1" t="str">
        <f t="shared" si="1094"/>
        <v>01</v>
      </c>
      <c r="S1667" s="1" t="str">
        <f t="shared" si="1080"/>
        <v>04</v>
      </c>
      <c r="T1667" s="1" t="str">
        <f t="shared" si="1095"/>
        <v>False</v>
      </c>
      <c r="U1667" s="1" t="str">
        <f t="shared" si="1096"/>
        <v>True</v>
      </c>
      <c r="V1667" s="1" t="str">
        <f>"U0028053"</f>
        <v>U0028053</v>
      </c>
      <c r="W1667" s="1">
        <v>1</v>
      </c>
      <c r="Y1667" s="1">
        <v>0</v>
      </c>
      <c r="Z1667" s="1">
        <v>0</v>
      </c>
      <c r="AB1667" s="1" t="str">
        <f t="shared" si="1085"/>
        <v>SMU</v>
      </c>
      <c r="AI1667" s="1" t="str">
        <f t="shared" si="1088"/>
        <v>106</v>
      </c>
      <c r="AJ1667" s="1" t="str">
        <f t="shared" si="1077"/>
        <v>WOMAN</v>
      </c>
      <c r="AK1667" s="1" t="str">
        <f t="shared" si="1097"/>
        <v>PA</v>
      </c>
      <c r="AP1667" s="1" t="str">
        <f t="shared" si="1098"/>
        <v>False</v>
      </c>
      <c r="AR1667" s="1" t="str">
        <f t="shared" si="1078"/>
        <v>DYON</v>
      </c>
      <c r="AY1667" s="1" t="str">
        <f t="shared" si="1099"/>
        <v>PF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 t="str">
        <f t="shared" si="1076"/>
        <v>YON GOMMA TWILL CANVAS</v>
      </c>
      <c r="BF1667" s="1" t="str">
        <f t="shared" si="1100"/>
        <v>Bonis SpA</v>
      </c>
    </row>
    <row r="1668" spans="2:58" x14ac:dyDescent="0.25">
      <c r="B1668" s="1">
        <v>2548</v>
      </c>
      <c r="C1668" s="1" t="str">
        <f t="shared" si="1075"/>
        <v>DYON4191S7/C1</v>
      </c>
      <c r="E1668" s="1" t="str">
        <f>"36"</f>
        <v>36</v>
      </c>
      <c r="F1668" s="1" t="str">
        <f t="shared" si="1089"/>
        <v>BONIS SPA</v>
      </c>
      <c r="G1668" s="1" t="str">
        <f t="shared" si="1079"/>
        <v>STOCK SCAFFALE MP</v>
      </c>
      <c r="H1668" s="1" t="str">
        <f t="shared" si="1087"/>
        <v>BLK</v>
      </c>
      <c r="K1668" s="1">
        <v>1</v>
      </c>
      <c r="L1668" s="1" t="str">
        <f t="shared" si="1090"/>
        <v>01</v>
      </c>
      <c r="M1668" s="1" t="str">
        <f t="shared" si="1084"/>
        <v>409</v>
      </c>
      <c r="N1668" s="1" t="str">
        <f t="shared" si="1083"/>
        <v>010</v>
      </c>
      <c r="O1668" s="1" t="str">
        <f t="shared" si="1091"/>
        <v>00</v>
      </c>
      <c r="P1668" s="1" t="str">
        <f t="shared" si="1092"/>
        <v>S</v>
      </c>
      <c r="Q1668" s="1" t="str">
        <f t="shared" si="1093"/>
        <v>P</v>
      </c>
      <c r="R1668" s="1" t="str">
        <f t="shared" si="1094"/>
        <v>01</v>
      </c>
      <c r="S1668" s="1" t="str">
        <f t="shared" si="1080"/>
        <v>04</v>
      </c>
      <c r="T1668" s="1" t="str">
        <f t="shared" si="1095"/>
        <v>False</v>
      </c>
      <c r="U1668" s="1" t="str">
        <f t="shared" si="1096"/>
        <v>True</v>
      </c>
      <c r="V1668" s="1" t="str">
        <f>"U0028050"</f>
        <v>U0028050</v>
      </c>
      <c r="W1668" s="1">
        <v>1</v>
      </c>
      <c r="Y1668" s="1">
        <v>0</v>
      </c>
      <c r="Z1668" s="1">
        <v>0</v>
      </c>
      <c r="AB1668" s="1" t="str">
        <f t="shared" si="1085"/>
        <v>SMU</v>
      </c>
      <c r="AI1668" s="1" t="str">
        <f t="shared" si="1088"/>
        <v>106</v>
      </c>
      <c r="AJ1668" s="1" t="str">
        <f t="shared" si="1077"/>
        <v>WOMAN</v>
      </c>
      <c r="AK1668" s="1" t="str">
        <f t="shared" si="1097"/>
        <v>PA</v>
      </c>
      <c r="AP1668" s="1" t="str">
        <f t="shared" si="1098"/>
        <v>False</v>
      </c>
      <c r="AR1668" s="1" t="str">
        <f t="shared" si="1078"/>
        <v>DYON</v>
      </c>
      <c r="AY1668" s="1" t="str">
        <f t="shared" si="1099"/>
        <v>PF</v>
      </c>
      <c r="AZ1668" s="1">
        <v>0</v>
      </c>
      <c r="BA1668" s="1">
        <v>0</v>
      </c>
      <c r="BB1668" s="1">
        <v>0</v>
      </c>
      <c r="BC1668" s="1">
        <v>0</v>
      </c>
      <c r="BD1668" s="1">
        <v>0</v>
      </c>
      <c r="BE1668" s="1" t="str">
        <f t="shared" si="1076"/>
        <v>YON GOMMA TWILL CANVAS</v>
      </c>
      <c r="BF1668" s="1" t="str">
        <f t="shared" si="1100"/>
        <v>Bonis SpA</v>
      </c>
    </row>
    <row r="1669" spans="2:58" x14ac:dyDescent="0.25">
      <c r="B1669" s="1">
        <v>2548</v>
      </c>
      <c r="C1669" s="1" t="str">
        <f t="shared" si="1075"/>
        <v>DYON4191S7/C1</v>
      </c>
      <c r="E1669" s="1" t="str">
        <f>"37"</f>
        <v>37</v>
      </c>
      <c r="F1669" s="1" t="str">
        <f t="shared" si="1089"/>
        <v>BONIS SPA</v>
      </c>
      <c r="G1669" s="1" t="str">
        <f t="shared" si="1079"/>
        <v>STOCK SCAFFALE MP</v>
      </c>
      <c r="H1669" s="1" t="str">
        <f t="shared" si="1087"/>
        <v>BLK</v>
      </c>
      <c r="K1669" s="1">
        <v>1</v>
      </c>
      <c r="L1669" s="1" t="str">
        <f t="shared" si="1090"/>
        <v>01</v>
      </c>
      <c r="M1669" s="1" t="str">
        <f t="shared" si="1084"/>
        <v>409</v>
      </c>
      <c r="N1669" s="1" t="str">
        <f t="shared" si="1083"/>
        <v>010</v>
      </c>
      <c r="O1669" s="1" t="str">
        <f t="shared" si="1091"/>
        <v>00</v>
      </c>
      <c r="P1669" s="1" t="str">
        <f t="shared" si="1092"/>
        <v>S</v>
      </c>
      <c r="Q1669" s="1" t="str">
        <f t="shared" si="1093"/>
        <v>P</v>
      </c>
      <c r="R1669" s="1" t="str">
        <f t="shared" si="1094"/>
        <v>01</v>
      </c>
      <c r="S1669" s="1" t="str">
        <f t="shared" si="1080"/>
        <v>04</v>
      </c>
      <c r="T1669" s="1" t="str">
        <f t="shared" si="1095"/>
        <v>False</v>
      </c>
      <c r="U1669" s="1" t="str">
        <f t="shared" si="1096"/>
        <v>True</v>
      </c>
      <c r="V1669" s="1" t="str">
        <f>"U0028050"</f>
        <v>U0028050</v>
      </c>
      <c r="W1669" s="1">
        <v>1</v>
      </c>
      <c r="Y1669" s="1">
        <v>0</v>
      </c>
      <c r="Z1669" s="1">
        <v>0</v>
      </c>
      <c r="AB1669" s="1" t="str">
        <f t="shared" si="1085"/>
        <v>SMU</v>
      </c>
      <c r="AI1669" s="1" t="str">
        <f t="shared" si="1088"/>
        <v>106</v>
      </c>
      <c r="AJ1669" s="1" t="str">
        <f t="shared" si="1077"/>
        <v>WOMAN</v>
      </c>
      <c r="AK1669" s="1" t="str">
        <f t="shared" si="1097"/>
        <v>PA</v>
      </c>
      <c r="AP1669" s="1" t="str">
        <f t="shared" si="1098"/>
        <v>False</v>
      </c>
      <c r="AR1669" s="1" t="str">
        <f t="shared" si="1078"/>
        <v>DYON</v>
      </c>
      <c r="AY1669" s="1" t="str">
        <f t="shared" si="1099"/>
        <v>PF</v>
      </c>
      <c r="AZ1669" s="1">
        <v>0</v>
      </c>
      <c r="BA1669" s="1">
        <v>0</v>
      </c>
      <c r="BB1669" s="1">
        <v>0</v>
      </c>
      <c r="BC1669" s="1">
        <v>0</v>
      </c>
      <c r="BD1669" s="1">
        <v>0</v>
      </c>
      <c r="BE1669" s="1" t="str">
        <f t="shared" si="1076"/>
        <v>YON GOMMA TWILL CANVAS</v>
      </c>
      <c r="BF1669" s="1" t="str">
        <f t="shared" si="1100"/>
        <v>Bonis SpA</v>
      </c>
    </row>
    <row r="1670" spans="2:58" x14ac:dyDescent="0.25">
      <c r="B1670" s="1">
        <v>2548</v>
      </c>
      <c r="C1670" s="1" t="str">
        <f t="shared" si="1075"/>
        <v>DYON4191S7/C1</v>
      </c>
      <c r="E1670" s="1" t="str">
        <f>"37"</f>
        <v>37</v>
      </c>
      <c r="F1670" s="1" t="str">
        <f t="shared" si="1089"/>
        <v>BONIS SPA</v>
      </c>
      <c r="G1670" s="1" t="str">
        <f t="shared" si="1079"/>
        <v>STOCK SCAFFALE MP</v>
      </c>
      <c r="H1670" s="1" t="str">
        <f t="shared" si="1087"/>
        <v>BLK</v>
      </c>
      <c r="K1670" s="1">
        <v>2</v>
      </c>
      <c r="L1670" s="1" t="str">
        <f t="shared" si="1090"/>
        <v>01</v>
      </c>
      <c r="M1670" s="1" t="str">
        <f t="shared" si="1084"/>
        <v>409</v>
      </c>
      <c r="N1670" s="1" t="str">
        <f t="shared" si="1083"/>
        <v>010</v>
      </c>
      <c r="O1670" s="1" t="str">
        <f t="shared" si="1091"/>
        <v>00</v>
      </c>
      <c r="P1670" s="1" t="str">
        <f t="shared" si="1092"/>
        <v>S</v>
      </c>
      <c r="Q1670" s="1" t="str">
        <f t="shared" si="1093"/>
        <v>P</v>
      </c>
      <c r="R1670" s="1" t="str">
        <f t="shared" si="1094"/>
        <v>01</v>
      </c>
      <c r="S1670" s="1" t="str">
        <f t="shared" si="1080"/>
        <v>04</v>
      </c>
      <c r="T1670" s="1" t="str">
        <f t="shared" si="1095"/>
        <v>False</v>
      </c>
      <c r="U1670" s="1" t="str">
        <f t="shared" si="1096"/>
        <v>True</v>
      </c>
      <c r="V1670" s="1" t="str">
        <f>"U0028056"</f>
        <v>U0028056</v>
      </c>
      <c r="W1670" s="1">
        <v>1</v>
      </c>
      <c r="Y1670" s="1">
        <v>0</v>
      </c>
      <c r="Z1670" s="1">
        <v>0</v>
      </c>
      <c r="AB1670" s="1" t="str">
        <f t="shared" si="1085"/>
        <v>SMU</v>
      </c>
      <c r="AI1670" s="1" t="str">
        <f t="shared" si="1088"/>
        <v>106</v>
      </c>
      <c r="AJ1670" s="1" t="str">
        <f t="shared" si="1077"/>
        <v>WOMAN</v>
      </c>
      <c r="AK1670" s="1" t="str">
        <f t="shared" si="1097"/>
        <v>PA</v>
      </c>
      <c r="AP1670" s="1" t="str">
        <f t="shared" si="1098"/>
        <v>False</v>
      </c>
      <c r="AR1670" s="1" t="str">
        <f t="shared" si="1078"/>
        <v>DYON</v>
      </c>
      <c r="AY1670" s="1" t="str">
        <f t="shared" si="1099"/>
        <v>PF</v>
      </c>
      <c r="AZ1670" s="1">
        <v>0</v>
      </c>
      <c r="BA1670" s="1">
        <v>0</v>
      </c>
      <c r="BB1670" s="1">
        <v>0</v>
      </c>
      <c r="BC1670" s="1">
        <v>0</v>
      </c>
      <c r="BD1670" s="1">
        <v>0</v>
      </c>
      <c r="BE1670" s="1" t="str">
        <f t="shared" si="1076"/>
        <v>YON GOMMA TWILL CANVAS</v>
      </c>
      <c r="BF1670" s="1" t="str">
        <f t="shared" si="1100"/>
        <v>Bonis SpA</v>
      </c>
    </row>
    <row r="1671" spans="2:58" x14ac:dyDescent="0.25">
      <c r="B1671" s="1">
        <v>2548</v>
      </c>
      <c r="C1671" s="1" t="str">
        <f t="shared" si="1075"/>
        <v>DYON4191S7/C1</v>
      </c>
      <c r="E1671" s="1" t="str">
        <f>"39"</f>
        <v>39</v>
      </c>
      <c r="F1671" s="1" t="str">
        <f t="shared" si="1089"/>
        <v>BONIS SPA</v>
      </c>
      <c r="G1671" s="1" t="str">
        <f t="shared" si="1079"/>
        <v>STOCK SCAFFALE MP</v>
      </c>
      <c r="H1671" s="1" t="str">
        <f t="shared" si="1087"/>
        <v>BLK</v>
      </c>
      <c r="K1671" s="1">
        <v>11</v>
      </c>
      <c r="L1671" s="1" t="str">
        <f t="shared" si="1090"/>
        <v>01</v>
      </c>
      <c r="M1671" s="1" t="str">
        <f t="shared" si="1084"/>
        <v>409</v>
      </c>
      <c r="N1671" s="1" t="str">
        <f t="shared" si="1083"/>
        <v>010</v>
      </c>
      <c r="O1671" s="1" t="str">
        <f t="shared" si="1091"/>
        <v>00</v>
      </c>
      <c r="P1671" s="1" t="str">
        <f t="shared" si="1092"/>
        <v>S</v>
      </c>
      <c r="Q1671" s="1" t="str">
        <f t="shared" si="1093"/>
        <v>P</v>
      </c>
      <c r="R1671" s="1" t="str">
        <f t="shared" si="1094"/>
        <v>01</v>
      </c>
      <c r="S1671" s="1" t="str">
        <f t="shared" si="1080"/>
        <v>04</v>
      </c>
      <c r="T1671" s="1" t="str">
        <f t="shared" si="1095"/>
        <v>False</v>
      </c>
      <c r="U1671" s="1" t="str">
        <f t="shared" si="1096"/>
        <v>True</v>
      </c>
      <c r="V1671" s="1" t="str">
        <f>"U0028068"</f>
        <v>U0028068</v>
      </c>
      <c r="W1671" s="1">
        <v>1</v>
      </c>
      <c r="Y1671" s="1">
        <v>0</v>
      </c>
      <c r="Z1671" s="1">
        <v>0</v>
      </c>
      <c r="AB1671" s="1" t="str">
        <f t="shared" si="1085"/>
        <v>SMU</v>
      </c>
      <c r="AI1671" s="1" t="str">
        <f>"F11"</f>
        <v>F11</v>
      </c>
      <c r="AJ1671" s="1" t="str">
        <f t="shared" si="1077"/>
        <v>WOMAN</v>
      </c>
      <c r="AK1671" s="1" t="str">
        <f t="shared" si="1097"/>
        <v>PA</v>
      </c>
      <c r="AP1671" s="1" t="str">
        <f t="shared" si="1098"/>
        <v>False</v>
      </c>
      <c r="AR1671" s="1" t="str">
        <f t="shared" si="1078"/>
        <v>DYON</v>
      </c>
      <c r="AY1671" s="1" t="str">
        <f t="shared" si="1099"/>
        <v>PF</v>
      </c>
      <c r="AZ1671" s="1">
        <v>0</v>
      </c>
      <c r="BA1671" s="1">
        <v>0</v>
      </c>
      <c r="BB1671" s="1">
        <v>0</v>
      </c>
      <c r="BC1671" s="1">
        <v>0</v>
      </c>
      <c r="BD1671" s="1">
        <v>0</v>
      </c>
      <c r="BE1671" s="1" t="str">
        <f t="shared" si="1076"/>
        <v>YON GOMMA TWILL CANVAS</v>
      </c>
      <c r="BF1671" s="1" t="str">
        <f t="shared" si="1100"/>
        <v>Bonis SpA</v>
      </c>
    </row>
    <row r="1672" spans="2:58" x14ac:dyDescent="0.25">
      <c r="B1672" s="1">
        <v>2548</v>
      </c>
      <c r="C1672" s="1" t="str">
        <f t="shared" si="1075"/>
        <v>DYON4191S7/C1</v>
      </c>
      <c r="E1672" s="1" t="str">
        <f>"37"</f>
        <v>37</v>
      </c>
      <c r="F1672" s="1" t="str">
        <f t="shared" si="1089"/>
        <v>BONIS SPA</v>
      </c>
      <c r="G1672" s="1" t="str">
        <f t="shared" si="1079"/>
        <v>STOCK SCAFFALE MP</v>
      </c>
      <c r="H1672" s="1" t="str">
        <f>"DKBL"</f>
        <v>DKBL</v>
      </c>
      <c r="K1672" s="1">
        <v>9</v>
      </c>
      <c r="L1672" s="1" t="str">
        <f t="shared" si="1090"/>
        <v>01</v>
      </c>
      <c r="M1672" s="1" t="str">
        <f t="shared" si="1084"/>
        <v>409</v>
      </c>
      <c r="N1672" s="1" t="str">
        <f t="shared" si="1083"/>
        <v>010</v>
      </c>
      <c r="O1672" s="1" t="str">
        <f t="shared" si="1091"/>
        <v>00</v>
      </c>
      <c r="P1672" s="1" t="str">
        <f t="shared" si="1092"/>
        <v>S</v>
      </c>
      <c r="Q1672" s="1" t="str">
        <f t="shared" si="1093"/>
        <v>P</v>
      </c>
      <c r="R1672" s="1" t="str">
        <f t="shared" si="1094"/>
        <v>01</v>
      </c>
      <c r="S1672" s="1" t="str">
        <f t="shared" si="1080"/>
        <v>04</v>
      </c>
      <c r="T1672" s="1" t="str">
        <f t="shared" si="1095"/>
        <v>False</v>
      </c>
      <c r="U1672" s="1" t="str">
        <f t="shared" si="1096"/>
        <v>True</v>
      </c>
      <c r="V1672" s="1" t="str">
        <f>"U0023733"</f>
        <v>U0023733</v>
      </c>
      <c r="W1672" s="1">
        <v>1</v>
      </c>
      <c r="Y1672" s="1">
        <v>0</v>
      </c>
      <c r="Z1672" s="1">
        <v>0</v>
      </c>
      <c r="AB1672" s="1" t="str">
        <f t="shared" si="1085"/>
        <v>SMU</v>
      </c>
      <c r="AI1672" s="1" t="str">
        <f>"F11"</f>
        <v>F11</v>
      </c>
      <c r="AJ1672" s="1" t="str">
        <f t="shared" si="1077"/>
        <v>WOMAN</v>
      </c>
      <c r="AK1672" s="1" t="str">
        <f t="shared" si="1097"/>
        <v>PA</v>
      </c>
      <c r="AP1672" s="1" t="str">
        <f t="shared" si="1098"/>
        <v>False</v>
      </c>
      <c r="AR1672" s="1" t="str">
        <f t="shared" si="1078"/>
        <v>DYON</v>
      </c>
      <c r="AY1672" s="1" t="str">
        <f t="shared" si="1099"/>
        <v>PF</v>
      </c>
      <c r="AZ1672" s="1">
        <v>0</v>
      </c>
      <c r="BA1672" s="1">
        <v>0</v>
      </c>
      <c r="BB1672" s="1">
        <v>0</v>
      </c>
      <c r="BC1672" s="1">
        <v>0</v>
      </c>
      <c r="BD1672" s="1">
        <v>0</v>
      </c>
      <c r="BE1672" s="1" t="str">
        <f t="shared" si="1076"/>
        <v>YON GOMMA TWILL CANVAS</v>
      </c>
      <c r="BF1672" s="1" t="str">
        <f t="shared" si="1100"/>
        <v>Bonis SpA</v>
      </c>
    </row>
    <row r="1673" spans="2:58" x14ac:dyDescent="0.25">
      <c r="B1673" s="1">
        <v>2548</v>
      </c>
      <c r="C1673" s="1" t="str">
        <f t="shared" si="1075"/>
        <v>DYON4191S7/C1</v>
      </c>
      <c r="E1673" s="1" t="str">
        <f>"36"</f>
        <v>36</v>
      </c>
      <c r="F1673" s="1" t="str">
        <f t="shared" si="1089"/>
        <v>BONIS SPA</v>
      </c>
      <c r="G1673" s="1" t="str">
        <f t="shared" si="1079"/>
        <v>STOCK SCAFFALE MP</v>
      </c>
      <c r="H1673" s="1" t="str">
        <f>"DKBL"</f>
        <v>DKBL</v>
      </c>
      <c r="K1673" s="1">
        <v>3</v>
      </c>
      <c r="L1673" s="1" t="str">
        <f t="shared" si="1090"/>
        <v>01</v>
      </c>
      <c r="M1673" s="1" t="str">
        <f t="shared" si="1084"/>
        <v>409</v>
      </c>
      <c r="N1673" s="1" t="str">
        <f t="shared" si="1083"/>
        <v>010</v>
      </c>
      <c r="O1673" s="1" t="str">
        <f t="shared" si="1091"/>
        <v>00</v>
      </c>
      <c r="P1673" s="1" t="str">
        <f t="shared" si="1092"/>
        <v>S</v>
      </c>
      <c r="Q1673" s="1" t="str">
        <f t="shared" si="1093"/>
        <v>P</v>
      </c>
      <c r="R1673" s="1" t="str">
        <f t="shared" si="1094"/>
        <v>01</v>
      </c>
      <c r="S1673" s="1" t="str">
        <f t="shared" si="1080"/>
        <v>04</v>
      </c>
      <c r="T1673" s="1" t="str">
        <f t="shared" si="1095"/>
        <v>False</v>
      </c>
      <c r="U1673" s="1" t="str">
        <f t="shared" si="1096"/>
        <v>True</v>
      </c>
      <c r="V1673" s="1" t="str">
        <f>"U0023733"</f>
        <v>U0023733</v>
      </c>
      <c r="W1673" s="1">
        <v>1</v>
      </c>
      <c r="Y1673" s="1">
        <v>0</v>
      </c>
      <c r="Z1673" s="1">
        <v>0</v>
      </c>
      <c r="AB1673" s="1" t="str">
        <f t="shared" si="1085"/>
        <v>SMU</v>
      </c>
      <c r="AI1673" s="1" t="str">
        <f>"F11"</f>
        <v>F11</v>
      </c>
      <c r="AJ1673" s="1" t="str">
        <f t="shared" si="1077"/>
        <v>WOMAN</v>
      </c>
      <c r="AK1673" s="1" t="str">
        <f t="shared" si="1097"/>
        <v>PA</v>
      </c>
      <c r="AP1673" s="1" t="str">
        <f t="shared" si="1098"/>
        <v>False</v>
      </c>
      <c r="AR1673" s="1" t="str">
        <f t="shared" si="1078"/>
        <v>DYON</v>
      </c>
      <c r="AY1673" s="1" t="str">
        <f t="shared" si="1099"/>
        <v>PF</v>
      </c>
      <c r="AZ1673" s="1">
        <v>0</v>
      </c>
      <c r="BA1673" s="1">
        <v>0</v>
      </c>
      <c r="BB1673" s="1">
        <v>0</v>
      </c>
      <c r="BC1673" s="1">
        <v>0</v>
      </c>
      <c r="BD1673" s="1">
        <v>0</v>
      </c>
      <c r="BE1673" s="1" t="str">
        <f t="shared" si="1076"/>
        <v>YON GOMMA TWILL CANVAS</v>
      </c>
      <c r="BF1673" s="1" t="str">
        <f t="shared" si="1100"/>
        <v>Bonis SpA</v>
      </c>
    </row>
    <row r="1674" spans="2:58" x14ac:dyDescent="0.25">
      <c r="B1674" s="1">
        <v>2548</v>
      </c>
      <c r="C1674" s="1" t="str">
        <f t="shared" si="1075"/>
        <v>DYON4191S7/C1</v>
      </c>
      <c r="E1674" s="1" t="str">
        <f>"39"</f>
        <v>39</v>
      </c>
      <c r="F1674" s="1" t="str">
        <f t="shared" si="1089"/>
        <v>BONIS SPA</v>
      </c>
      <c r="G1674" s="1" t="str">
        <f t="shared" si="1079"/>
        <v>STOCK SCAFFALE MP</v>
      </c>
      <c r="H1674" s="1" t="str">
        <f>"WHI"</f>
        <v>WHI</v>
      </c>
      <c r="K1674" s="1">
        <v>8</v>
      </c>
      <c r="L1674" s="1" t="str">
        <f t="shared" si="1090"/>
        <v>01</v>
      </c>
      <c r="M1674" s="1" t="str">
        <f t="shared" si="1084"/>
        <v>409</v>
      </c>
      <c r="N1674" s="1" t="str">
        <f t="shared" si="1083"/>
        <v>010</v>
      </c>
      <c r="O1674" s="1" t="str">
        <f t="shared" si="1091"/>
        <v>00</v>
      </c>
      <c r="P1674" s="1" t="str">
        <f t="shared" si="1092"/>
        <v>S</v>
      </c>
      <c r="Q1674" s="1" t="str">
        <f t="shared" si="1093"/>
        <v>P</v>
      </c>
      <c r="R1674" s="1" t="str">
        <f t="shared" si="1094"/>
        <v>01</v>
      </c>
      <c r="S1674" s="1" t="str">
        <f t="shared" si="1080"/>
        <v>04</v>
      </c>
      <c r="T1674" s="1" t="str">
        <f t="shared" si="1095"/>
        <v>False</v>
      </c>
      <c r="U1674" s="1" t="str">
        <f t="shared" si="1096"/>
        <v>True</v>
      </c>
      <c r="V1674" s="1" t="str">
        <f>"U0028062"</f>
        <v>U0028062</v>
      </c>
      <c r="W1674" s="1">
        <v>1</v>
      </c>
      <c r="Y1674" s="1">
        <v>0</v>
      </c>
      <c r="Z1674" s="1">
        <v>0</v>
      </c>
      <c r="AB1674" s="1" t="str">
        <f t="shared" si="1085"/>
        <v>SMU</v>
      </c>
      <c r="AI1674" s="1" t="str">
        <f>"F11"</f>
        <v>F11</v>
      </c>
      <c r="AJ1674" s="1" t="str">
        <f t="shared" si="1077"/>
        <v>WOMAN</v>
      </c>
      <c r="AK1674" s="1" t="str">
        <f t="shared" si="1097"/>
        <v>PA</v>
      </c>
      <c r="AP1674" s="1" t="str">
        <f t="shared" si="1098"/>
        <v>False</v>
      </c>
      <c r="AR1674" s="1" t="str">
        <f t="shared" si="1078"/>
        <v>DYON</v>
      </c>
      <c r="AY1674" s="1" t="str">
        <f t="shared" si="1099"/>
        <v>PF</v>
      </c>
      <c r="AZ1674" s="1">
        <v>0</v>
      </c>
      <c r="BA1674" s="1">
        <v>0</v>
      </c>
      <c r="BB1674" s="1">
        <v>0</v>
      </c>
      <c r="BC1674" s="1">
        <v>0</v>
      </c>
      <c r="BD1674" s="1">
        <v>0</v>
      </c>
      <c r="BE1674" s="1" t="str">
        <f t="shared" si="1076"/>
        <v>YON GOMMA TWILL CANVAS</v>
      </c>
      <c r="BF1674" s="1" t="str">
        <f t="shared" si="1100"/>
        <v>Bonis SpA</v>
      </c>
    </row>
    <row r="1675" spans="2:58" x14ac:dyDescent="0.25">
      <c r="B1675" s="1">
        <v>2548</v>
      </c>
      <c r="C1675" s="1" t="str">
        <f t="shared" si="1075"/>
        <v>DYON4191S7/C1</v>
      </c>
      <c r="E1675" s="1" t="str">
        <f>"38"</f>
        <v>38</v>
      </c>
      <c r="F1675" s="1" t="str">
        <f t="shared" si="1089"/>
        <v>BONIS SPA</v>
      </c>
      <c r="G1675" s="1" t="str">
        <f t="shared" si="1079"/>
        <v>STOCK SCAFFALE MP</v>
      </c>
      <c r="H1675" s="1" t="str">
        <f>"WHI"</f>
        <v>WHI</v>
      </c>
      <c r="K1675" s="1">
        <v>2</v>
      </c>
      <c r="L1675" s="1" t="str">
        <f t="shared" si="1090"/>
        <v>01</v>
      </c>
      <c r="M1675" s="1" t="str">
        <f t="shared" si="1084"/>
        <v>409</v>
      </c>
      <c r="N1675" s="1" t="str">
        <f t="shared" si="1083"/>
        <v>010</v>
      </c>
      <c r="O1675" s="1" t="str">
        <f t="shared" si="1091"/>
        <v>00</v>
      </c>
      <c r="P1675" s="1" t="str">
        <f t="shared" si="1092"/>
        <v>S</v>
      </c>
      <c r="Q1675" s="1" t="str">
        <f t="shared" si="1093"/>
        <v>P</v>
      </c>
      <c r="R1675" s="1" t="str">
        <f t="shared" si="1094"/>
        <v>01</v>
      </c>
      <c r="S1675" s="1" t="str">
        <f t="shared" si="1080"/>
        <v>04</v>
      </c>
      <c r="T1675" s="1" t="str">
        <f t="shared" si="1095"/>
        <v>False</v>
      </c>
      <c r="U1675" s="1" t="str">
        <f t="shared" si="1096"/>
        <v>True</v>
      </c>
      <c r="V1675" s="1" t="str">
        <f>"U0028062"</f>
        <v>U0028062</v>
      </c>
      <c r="W1675" s="1">
        <v>1</v>
      </c>
      <c r="Y1675" s="1">
        <v>0</v>
      </c>
      <c r="Z1675" s="1">
        <v>0</v>
      </c>
      <c r="AB1675" s="1" t="str">
        <f t="shared" si="1085"/>
        <v>SMU</v>
      </c>
      <c r="AI1675" s="1" t="str">
        <f>"106"</f>
        <v>106</v>
      </c>
      <c r="AJ1675" s="1" t="str">
        <f t="shared" si="1077"/>
        <v>WOMAN</v>
      </c>
      <c r="AK1675" s="1" t="str">
        <f t="shared" si="1097"/>
        <v>PA</v>
      </c>
      <c r="AP1675" s="1" t="str">
        <f t="shared" si="1098"/>
        <v>False</v>
      </c>
      <c r="AR1675" s="1" t="str">
        <f t="shared" si="1078"/>
        <v>DYON</v>
      </c>
      <c r="AY1675" s="1" t="str">
        <f t="shared" si="1099"/>
        <v>PF</v>
      </c>
      <c r="AZ1675" s="1">
        <v>0</v>
      </c>
      <c r="BA1675" s="1">
        <v>0</v>
      </c>
      <c r="BB1675" s="1">
        <v>0</v>
      </c>
      <c r="BC1675" s="1">
        <v>0</v>
      </c>
      <c r="BD1675" s="1">
        <v>0</v>
      </c>
      <c r="BE1675" s="1" t="str">
        <f t="shared" si="1076"/>
        <v>YON GOMMA TWILL CANVAS</v>
      </c>
      <c r="BF1675" s="1" t="str">
        <f t="shared" si="1100"/>
        <v>Bonis SpA</v>
      </c>
    </row>
    <row r="1676" spans="2:58" x14ac:dyDescent="0.25">
      <c r="B1676" s="1">
        <v>2548</v>
      </c>
      <c r="C1676" s="1" t="str">
        <f t="shared" si="1075"/>
        <v>DYON4191S7/C1</v>
      </c>
      <c r="E1676" s="1" t="str">
        <f>"40"</f>
        <v>40</v>
      </c>
      <c r="F1676" s="1" t="str">
        <f t="shared" si="1089"/>
        <v>BONIS SPA</v>
      </c>
      <c r="G1676" s="1" t="str">
        <f t="shared" si="1079"/>
        <v>STOCK SCAFFALE MP</v>
      </c>
      <c r="H1676" s="1" t="str">
        <f>"WHI"</f>
        <v>WHI</v>
      </c>
      <c r="K1676" s="1">
        <v>12</v>
      </c>
      <c r="L1676" s="1" t="str">
        <f t="shared" si="1090"/>
        <v>01</v>
      </c>
      <c r="M1676" s="1" t="str">
        <f t="shared" si="1084"/>
        <v>409</v>
      </c>
      <c r="N1676" s="1" t="str">
        <f t="shared" si="1083"/>
        <v>010</v>
      </c>
      <c r="O1676" s="1" t="str">
        <f t="shared" si="1091"/>
        <v>00</v>
      </c>
      <c r="P1676" s="1" t="str">
        <f t="shared" si="1092"/>
        <v>S</v>
      </c>
      <c r="Q1676" s="1" t="str">
        <f t="shared" si="1093"/>
        <v>P</v>
      </c>
      <c r="R1676" s="1" t="str">
        <f t="shared" si="1094"/>
        <v>01</v>
      </c>
      <c r="S1676" s="1" t="str">
        <f t="shared" si="1080"/>
        <v>04</v>
      </c>
      <c r="T1676" s="1" t="str">
        <f t="shared" si="1095"/>
        <v>False</v>
      </c>
      <c r="U1676" s="1" t="str">
        <f t="shared" si="1096"/>
        <v>True</v>
      </c>
      <c r="V1676" s="1" t="str">
        <f>"U0028064"</f>
        <v>U0028064</v>
      </c>
      <c r="W1676" s="1">
        <v>1</v>
      </c>
      <c r="Y1676" s="1">
        <v>0</v>
      </c>
      <c r="Z1676" s="1">
        <v>0</v>
      </c>
      <c r="AB1676" s="1" t="str">
        <f t="shared" si="1085"/>
        <v>SMU</v>
      </c>
      <c r="AI1676" s="1" t="str">
        <f>"106"</f>
        <v>106</v>
      </c>
      <c r="AJ1676" s="1" t="str">
        <f t="shared" ref="AJ1676:AJ1685" si="1101">"WOMAN"</f>
        <v>WOMAN</v>
      </c>
      <c r="AK1676" s="1" t="str">
        <f t="shared" si="1097"/>
        <v>PA</v>
      </c>
      <c r="AP1676" s="1" t="str">
        <f t="shared" si="1098"/>
        <v>False</v>
      </c>
      <c r="AR1676" s="1" t="str">
        <f t="shared" ref="AR1676:AR1685" si="1102">"DYON"</f>
        <v>DYON</v>
      </c>
      <c r="AY1676" s="1" t="str">
        <f t="shared" si="1099"/>
        <v>PF</v>
      </c>
      <c r="AZ1676" s="1">
        <v>0</v>
      </c>
      <c r="BA1676" s="1">
        <v>0</v>
      </c>
      <c r="BB1676" s="1">
        <v>0</v>
      </c>
      <c r="BC1676" s="1">
        <v>0</v>
      </c>
      <c r="BD1676" s="1">
        <v>0</v>
      </c>
      <c r="BE1676" s="1" t="str">
        <f t="shared" si="1076"/>
        <v>YON GOMMA TWILL CANVAS</v>
      </c>
      <c r="BF1676" s="1" t="str">
        <f t="shared" si="1100"/>
        <v>Bonis SpA</v>
      </c>
    </row>
    <row r="1677" spans="2:58" x14ac:dyDescent="0.25">
      <c r="B1677" s="1">
        <v>2548</v>
      </c>
      <c r="C1677" s="1" t="str">
        <f t="shared" si="1075"/>
        <v>DYON4191S7/C1</v>
      </c>
      <c r="E1677" s="1" t="str">
        <f>"40"</f>
        <v>40</v>
      </c>
      <c r="F1677" s="1" t="str">
        <f t="shared" si="1089"/>
        <v>BONIS SPA</v>
      </c>
      <c r="G1677" s="1" t="str">
        <f t="shared" si="1079"/>
        <v>STOCK SCAFFALE MP</v>
      </c>
      <c r="H1677" s="1" t="str">
        <f>"WHI"</f>
        <v>WHI</v>
      </c>
      <c r="K1677" s="1">
        <v>1</v>
      </c>
      <c r="L1677" s="1" t="str">
        <f t="shared" si="1090"/>
        <v>01</v>
      </c>
      <c r="M1677" s="1" t="str">
        <f t="shared" si="1084"/>
        <v>409</v>
      </c>
      <c r="N1677" s="1" t="str">
        <f t="shared" si="1083"/>
        <v>010</v>
      </c>
      <c r="O1677" s="1" t="str">
        <f t="shared" si="1091"/>
        <v>00</v>
      </c>
      <c r="P1677" s="1" t="str">
        <f t="shared" si="1092"/>
        <v>S</v>
      </c>
      <c r="Q1677" s="1" t="str">
        <f t="shared" si="1093"/>
        <v>P</v>
      </c>
      <c r="R1677" s="1" t="str">
        <f t="shared" si="1094"/>
        <v>01</v>
      </c>
      <c r="S1677" s="1" t="str">
        <f t="shared" si="1080"/>
        <v>04</v>
      </c>
      <c r="T1677" s="1" t="str">
        <f t="shared" si="1095"/>
        <v>False</v>
      </c>
      <c r="U1677" s="1" t="str">
        <f t="shared" si="1096"/>
        <v>True</v>
      </c>
      <c r="V1677" s="1" t="str">
        <f>"U0028068"</f>
        <v>U0028068</v>
      </c>
      <c r="W1677" s="1">
        <v>1</v>
      </c>
      <c r="Y1677" s="1">
        <v>0</v>
      </c>
      <c r="Z1677" s="1">
        <v>0</v>
      </c>
      <c r="AB1677" s="1" t="str">
        <f t="shared" si="1085"/>
        <v>SMU</v>
      </c>
      <c r="AI1677" s="1" t="str">
        <f>"106"</f>
        <v>106</v>
      </c>
      <c r="AJ1677" s="1" t="str">
        <f t="shared" si="1101"/>
        <v>WOMAN</v>
      </c>
      <c r="AK1677" s="1" t="str">
        <f t="shared" si="1097"/>
        <v>PA</v>
      </c>
      <c r="AP1677" s="1" t="str">
        <f t="shared" si="1098"/>
        <v>False</v>
      </c>
      <c r="AR1677" s="1" t="str">
        <f t="shared" si="1102"/>
        <v>DYON</v>
      </c>
      <c r="AY1677" s="1" t="str">
        <f t="shared" si="1099"/>
        <v>PF</v>
      </c>
      <c r="AZ1677" s="1">
        <v>0</v>
      </c>
      <c r="BA1677" s="1">
        <v>0</v>
      </c>
      <c r="BB1677" s="1">
        <v>0</v>
      </c>
      <c r="BC1677" s="1">
        <v>0</v>
      </c>
      <c r="BD1677" s="1">
        <v>0</v>
      </c>
      <c r="BE1677" s="1" t="str">
        <f t="shared" si="1076"/>
        <v>YON GOMMA TWILL CANVAS</v>
      </c>
      <c r="BF1677" s="1" t="str">
        <f t="shared" si="1100"/>
        <v>Bonis SpA</v>
      </c>
    </row>
    <row r="1678" spans="2:58" x14ac:dyDescent="0.25">
      <c r="B1678" s="1">
        <v>2548</v>
      </c>
      <c r="C1678" s="1" t="str">
        <f t="shared" si="1075"/>
        <v>DYON4191S7/C1</v>
      </c>
      <c r="E1678" s="1" t="str">
        <f>"40"</f>
        <v>40</v>
      </c>
      <c r="F1678" s="1" t="str">
        <f t="shared" si="1089"/>
        <v>BONIS SPA</v>
      </c>
      <c r="G1678" s="1" t="str">
        <f t="shared" si="1079"/>
        <v>STOCK SCAFFALE MP</v>
      </c>
      <c r="H1678" s="1" t="str">
        <f>"BLK"</f>
        <v>BLK</v>
      </c>
      <c r="K1678" s="1">
        <v>12</v>
      </c>
      <c r="L1678" s="1" t="str">
        <f t="shared" si="1090"/>
        <v>01</v>
      </c>
      <c r="M1678" s="1" t="str">
        <f t="shared" si="1084"/>
        <v>409</v>
      </c>
      <c r="N1678" s="1" t="str">
        <f t="shared" si="1083"/>
        <v>010</v>
      </c>
      <c r="O1678" s="1" t="str">
        <f t="shared" si="1091"/>
        <v>00</v>
      </c>
      <c r="P1678" s="1" t="str">
        <f t="shared" si="1092"/>
        <v>S</v>
      </c>
      <c r="Q1678" s="1" t="str">
        <f t="shared" si="1093"/>
        <v>P</v>
      </c>
      <c r="R1678" s="1" t="str">
        <f t="shared" si="1094"/>
        <v>01</v>
      </c>
      <c r="S1678" s="1" t="str">
        <f t="shared" si="1080"/>
        <v>04</v>
      </c>
      <c r="T1678" s="1" t="str">
        <f t="shared" si="1095"/>
        <v>False</v>
      </c>
      <c r="U1678" s="1" t="str">
        <f t="shared" si="1096"/>
        <v>True</v>
      </c>
      <c r="V1678" s="1" t="str">
        <f>"U0023021"</f>
        <v>U0023021</v>
      </c>
      <c r="W1678" s="1">
        <v>1</v>
      </c>
      <c r="Y1678" s="1">
        <v>0</v>
      </c>
      <c r="Z1678" s="1">
        <v>0</v>
      </c>
      <c r="AB1678" s="1" t="str">
        <f t="shared" si="1085"/>
        <v>SMU</v>
      </c>
      <c r="AI1678" s="1" t="str">
        <f>"F11"</f>
        <v>F11</v>
      </c>
      <c r="AJ1678" s="1" t="str">
        <f t="shared" si="1101"/>
        <v>WOMAN</v>
      </c>
      <c r="AK1678" s="1" t="str">
        <f t="shared" si="1097"/>
        <v>PA</v>
      </c>
      <c r="AP1678" s="1" t="str">
        <f t="shared" si="1098"/>
        <v>False</v>
      </c>
      <c r="AR1678" s="1" t="str">
        <f t="shared" si="1102"/>
        <v>DYON</v>
      </c>
      <c r="AY1678" s="1" t="str">
        <f t="shared" si="1099"/>
        <v>PF</v>
      </c>
      <c r="AZ1678" s="1">
        <v>0</v>
      </c>
      <c r="BA1678" s="1">
        <v>0</v>
      </c>
      <c r="BB1678" s="1">
        <v>0</v>
      </c>
      <c r="BC1678" s="1">
        <v>0</v>
      </c>
      <c r="BD1678" s="1">
        <v>0</v>
      </c>
      <c r="BE1678" s="1" t="str">
        <f t="shared" si="1076"/>
        <v>YON GOMMA TWILL CANVAS</v>
      </c>
      <c r="BF1678" s="1" t="str">
        <f t="shared" si="1100"/>
        <v>Bonis SpA</v>
      </c>
    </row>
    <row r="1679" spans="2:58" x14ac:dyDescent="0.25">
      <c r="B1679" s="1">
        <v>2548</v>
      </c>
      <c r="C1679" s="1" t="str">
        <f t="shared" si="1075"/>
        <v>DYON4191S7/C1</v>
      </c>
      <c r="E1679" s="1" t="str">
        <f>"40"</f>
        <v>40</v>
      </c>
      <c r="F1679" s="1" t="str">
        <f t="shared" si="1089"/>
        <v>BONIS SPA</v>
      </c>
      <c r="G1679" s="1" t="str">
        <f t="shared" si="1079"/>
        <v>STOCK SCAFFALE MP</v>
      </c>
      <c r="H1679" s="1" t="str">
        <f>"WHI"</f>
        <v>WHI</v>
      </c>
      <c r="K1679" s="1">
        <v>2</v>
      </c>
      <c r="L1679" s="1" t="str">
        <f t="shared" si="1090"/>
        <v>01</v>
      </c>
      <c r="M1679" s="1" t="str">
        <f t="shared" si="1084"/>
        <v>409</v>
      </c>
      <c r="N1679" s="1" t="str">
        <f t="shared" si="1083"/>
        <v>010</v>
      </c>
      <c r="O1679" s="1" t="str">
        <f t="shared" si="1091"/>
        <v>00</v>
      </c>
      <c r="P1679" s="1" t="str">
        <f t="shared" si="1092"/>
        <v>S</v>
      </c>
      <c r="Q1679" s="1" t="str">
        <f t="shared" si="1093"/>
        <v>P</v>
      </c>
      <c r="R1679" s="1" t="str">
        <f t="shared" si="1094"/>
        <v>01</v>
      </c>
      <c r="S1679" s="1" t="str">
        <f t="shared" si="1080"/>
        <v>04</v>
      </c>
      <c r="T1679" s="1" t="str">
        <f t="shared" si="1095"/>
        <v>False</v>
      </c>
      <c r="U1679" s="1" t="str">
        <f t="shared" si="1096"/>
        <v>True</v>
      </c>
      <c r="V1679" s="1" t="str">
        <f>"U0028062"</f>
        <v>U0028062</v>
      </c>
      <c r="W1679" s="1">
        <v>1</v>
      </c>
      <c r="Y1679" s="1">
        <v>0</v>
      </c>
      <c r="Z1679" s="1">
        <v>0</v>
      </c>
      <c r="AB1679" s="1" t="str">
        <f t="shared" si="1085"/>
        <v>SMU</v>
      </c>
      <c r="AI1679" s="1" t="str">
        <f>"106"</f>
        <v>106</v>
      </c>
      <c r="AJ1679" s="1" t="str">
        <f t="shared" si="1101"/>
        <v>WOMAN</v>
      </c>
      <c r="AK1679" s="1" t="str">
        <f t="shared" si="1097"/>
        <v>PA</v>
      </c>
      <c r="AP1679" s="1" t="str">
        <f t="shared" si="1098"/>
        <v>False</v>
      </c>
      <c r="AR1679" s="1" t="str">
        <f t="shared" si="1102"/>
        <v>DYON</v>
      </c>
      <c r="AY1679" s="1" t="str">
        <f t="shared" si="1099"/>
        <v>PF</v>
      </c>
      <c r="AZ1679" s="1">
        <v>0</v>
      </c>
      <c r="BA1679" s="1">
        <v>0</v>
      </c>
      <c r="BB1679" s="1">
        <v>0</v>
      </c>
      <c r="BC1679" s="1">
        <v>0</v>
      </c>
      <c r="BD1679" s="1">
        <v>0</v>
      </c>
      <c r="BE1679" s="1" t="str">
        <f t="shared" si="1076"/>
        <v>YON GOMMA TWILL CANVAS</v>
      </c>
      <c r="BF1679" s="1" t="str">
        <f t="shared" si="1100"/>
        <v>Bonis SpA</v>
      </c>
    </row>
    <row r="1680" spans="2:58" x14ac:dyDescent="0.25">
      <c r="B1680" s="1">
        <v>2548</v>
      </c>
      <c r="C1680" s="1" t="str">
        <f t="shared" si="1075"/>
        <v>DYON4191S7/C1</v>
      </c>
      <c r="E1680" s="1" t="str">
        <f>"40"</f>
        <v>40</v>
      </c>
      <c r="F1680" s="1" t="str">
        <f t="shared" si="1089"/>
        <v>BONIS SPA</v>
      </c>
      <c r="G1680" s="1" t="str">
        <f t="shared" si="1079"/>
        <v>STOCK SCAFFALE MP</v>
      </c>
      <c r="H1680" s="1" t="str">
        <f>"BLK"</f>
        <v>BLK</v>
      </c>
      <c r="K1680" s="1">
        <v>1</v>
      </c>
      <c r="L1680" s="1" t="str">
        <f t="shared" si="1090"/>
        <v>01</v>
      </c>
      <c r="M1680" s="1" t="str">
        <f t="shared" si="1084"/>
        <v>409</v>
      </c>
      <c r="N1680" s="1" t="str">
        <f t="shared" si="1083"/>
        <v>010</v>
      </c>
      <c r="O1680" s="1" t="str">
        <f t="shared" si="1091"/>
        <v>00</v>
      </c>
      <c r="P1680" s="1" t="str">
        <f t="shared" si="1092"/>
        <v>S</v>
      </c>
      <c r="Q1680" s="1" t="str">
        <f t="shared" si="1093"/>
        <v>P</v>
      </c>
      <c r="R1680" s="1" t="str">
        <f t="shared" si="1094"/>
        <v>01</v>
      </c>
      <c r="S1680" s="1" t="str">
        <f t="shared" si="1080"/>
        <v>04</v>
      </c>
      <c r="T1680" s="1" t="str">
        <f t="shared" si="1095"/>
        <v>False</v>
      </c>
      <c r="U1680" s="1" t="str">
        <f t="shared" si="1096"/>
        <v>True</v>
      </c>
      <c r="V1680" s="1" t="str">
        <f>"U0022976"</f>
        <v>U0022976</v>
      </c>
      <c r="W1680" s="1">
        <v>1</v>
      </c>
      <c r="Y1680" s="1">
        <v>0</v>
      </c>
      <c r="Z1680" s="1">
        <v>0</v>
      </c>
      <c r="AB1680" s="1" t="str">
        <f t="shared" si="1085"/>
        <v>SMU</v>
      </c>
      <c r="AI1680" s="1" t="str">
        <f>"F11"</f>
        <v>F11</v>
      </c>
      <c r="AJ1680" s="1" t="str">
        <f t="shared" si="1101"/>
        <v>WOMAN</v>
      </c>
      <c r="AK1680" s="1" t="str">
        <f t="shared" si="1097"/>
        <v>PA</v>
      </c>
      <c r="AP1680" s="1" t="str">
        <f t="shared" si="1098"/>
        <v>False</v>
      </c>
      <c r="AR1680" s="1" t="str">
        <f t="shared" si="1102"/>
        <v>DYON</v>
      </c>
      <c r="AY1680" s="1" t="str">
        <f t="shared" si="1099"/>
        <v>PF</v>
      </c>
      <c r="AZ1680" s="1">
        <v>0</v>
      </c>
      <c r="BA1680" s="1">
        <v>0</v>
      </c>
      <c r="BB1680" s="1">
        <v>0</v>
      </c>
      <c r="BC1680" s="1">
        <v>0</v>
      </c>
      <c r="BD1680" s="1">
        <v>0</v>
      </c>
      <c r="BE1680" s="1" t="str">
        <f t="shared" si="1076"/>
        <v>YON GOMMA TWILL CANVAS</v>
      </c>
      <c r="BF1680" s="1" t="str">
        <f t="shared" si="1100"/>
        <v>Bonis SpA</v>
      </c>
    </row>
    <row r="1681" spans="2:58" x14ac:dyDescent="0.25">
      <c r="B1681" s="1">
        <v>2548</v>
      </c>
      <c r="C1681" s="1" t="str">
        <f t="shared" si="1075"/>
        <v>DYON4191S7/C1</v>
      </c>
      <c r="E1681" s="1" t="str">
        <f>"41"</f>
        <v>41</v>
      </c>
      <c r="F1681" s="1" t="str">
        <f t="shared" si="1089"/>
        <v>BONIS SPA</v>
      </c>
      <c r="G1681" s="1" t="str">
        <f t="shared" si="1079"/>
        <v>STOCK SCAFFALE MP</v>
      </c>
      <c r="H1681" s="1" t="str">
        <f>"BLK"</f>
        <v>BLK</v>
      </c>
      <c r="K1681" s="1">
        <v>5</v>
      </c>
      <c r="L1681" s="1" t="str">
        <f t="shared" si="1090"/>
        <v>01</v>
      </c>
      <c r="M1681" s="1" t="str">
        <f t="shared" si="1084"/>
        <v>409</v>
      </c>
      <c r="N1681" s="1" t="str">
        <f t="shared" si="1083"/>
        <v>010</v>
      </c>
      <c r="O1681" s="1" t="str">
        <f t="shared" si="1091"/>
        <v>00</v>
      </c>
      <c r="P1681" s="1" t="str">
        <f t="shared" si="1092"/>
        <v>S</v>
      </c>
      <c r="Q1681" s="1" t="str">
        <f t="shared" si="1093"/>
        <v>P</v>
      </c>
      <c r="R1681" s="1" t="str">
        <f t="shared" si="1094"/>
        <v>01</v>
      </c>
      <c r="S1681" s="1" t="str">
        <f t="shared" si="1080"/>
        <v>04</v>
      </c>
      <c r="T1681" s="1" t="str">
        <f t="shared" si="1095"/>
        <v>False</v>
      </c>
      <c r="U1681" s="1" t="str">
        <f t="shared" si="1096"/>
        <v>True</v>
      </c>
      <c r="V1681" s="1" t="str">
        <f>"U0022976"</f>
        <v>U0022976</v>
      </c>
      <c r="W1681" s="1">
        <v>1</v>
      </c>
      <c r="Y1681" s="1">
        <v>0</v>
      </c>
      <c r="Z1681" s="1">
        <v>0</v>
      </c>
      <c r="AB1681" s="1" t="str">
        <f t="shared" si="1085"/>
        <v>SMU</v>
      </c>
      <c r="AI1681" s="1" t="str">
        <f>"F11"</f>
        <v>F11</v>
      </c>
      <c r="AJ1681" s="1" t="str">
        <f t="shared" si="1101"/>
        <v>WOMAN</v>
      </c>
      <c r="AK1681" s="1" t="str">
        <f t="shared" si="1097"/>
        <v>PA</v>
      </c>
      <c r="AP1681" s="1" t="str">
        <f t="shared" si="1098"/>
        <v>False</v>
      </c>
      <c r="AR1681" s="1" t="str">
        <f t="shared" si="1102"/>
        <v>DYON</v>
      </c>
      <c r="AY1681" s="1" t="str">
        <f t="shared" si="1099"/>
        <v>PF</v>
      </c>
      <c r="AZ1681" s="1">
        <v>0</v>
      </c>
      <c r="BA1681" s="1">
        <v>0</v>
      </c>
      <c r="BB1681" s="1">
        <v>0</v>
      </c>
      <c r="BC1681" s="1">
        <v>0</v>
      </c>
      <c r="BD1681" s="1">
        <v>0</v>
      </c>
      <c r="BE1681" s="1" t="str">
        <f t="shared" si="1076"/>
        <v>YON GOMMA TWILL CANVAS</v>
      </c>
      <c r="BF1681" s="1" t="str">
        <f t="shared" si="1100"/>
        <v>Bonis SpA</v>
      </c>
    </row>
    <row r="1682" spans="2:58" x14ac:dyDescent="0.25">
      <c r="B1682" s="1">
        <v>2548</v>
      </c>
      <c r="C1682" s="1" t="str">
        <f t="shared" si="1075"/>
        <v>DYON4191S7/C1</v>
      </c>
      <c r="E1682" s="1" t="str">
        <f>"36"</f>
        <v>36</v>
      </c>
      <c r="F1682" s="1" t="str">
        <f t="shared" si="1089"/>
        <v>BONIS SPA</v>
      </c>
      <c r="G1682" s="1" t="str">
        <f t="shared" si="1079"/>
        <v>STOCK SCAFFALE MP</v>
      </c>
      <c r="H1682" s="1" t="str">
        <f>"WHI"</f>
        <v>WHI</v>
      </c>
      <c r="K1682" s="1">
        <v>3</v>
      </c>
      <c r="L1682" s="1" t="str">
        <f t="shared" si="1090"/>
        <v>01</v>
      </c>
      <c r="M1682" s="1" t="str">
        <f t="shared" si="1084"/>
        <v>409</v>
      </c>
      <c r="N1682" s="1" t="str">
        <f t="shared" si="1083"/>
        <v>010</v>
      </c>
      <c r="O1682" s="1" t="str">
        <f t="shared" si="1091"/>
        <v>00</v>
      </c>
      <c r="P1682" s="1" t="str">
        <f t="shared" si="1092"/>
        <v>S</v>
      </c>
      <c r="Q1682" s="1" t="str">
        <f t="shared" si="1093"/>
        <v>P</v>
      </c>
      <c r="R1682" s="1" t="str">
        <f t="shared" si="1094"/>
        <v>01</v>
      </c>
      <c r="S1682" s="1" t="str">
        <f t="shared" si="1080"/>
        <v>04</v>
      </c>
      <c r="T1682" s="1" t="str">
        <f t="shared" si="1095"/>
        <v>False</v>
      </c>
      <c r="U1682" s="1" t="str">
        <f t="shared" si="1096"/>
        <v>True</v>
      </c>
      <c r="V1682" s="1" t="str">
        <f>"U0022976"</f>
        <v>U0022976</v>
      </c>
      <c r="W1682" s="1">
        <v>1</v>
      </c>
      <c r="Y1682" s="1">
        <v>0</v>
      </c>
      <c r="Z1682" s="1">
        <v>0</v>
      </c>
      <c r="AB1682" s="1" t="str">
        <f t="shared" si="1085"/>
        <v>SMU</v>
      </c>
      <c r="AI1682" s="1" t="str">
        <f>"F11"</f>
        <v>F11</v>
      </c>
      <c r="AJ1682" s="1" t="str">
        <f t="shared" si="1101"/>
        <v>WOMAN</v>
      </c>
      <c r="AK1682" s="1" t="str">
        <f t="shared" si="1097"/>
        <v>PA</v>
      </c>
      <c r="AP1682" s="1" t="str">
        <f t="shared" si="1098"/>
        <v>False</v>
      </c>
      <c r="AR1682" s="1" t="str">
        <f t="shared" si="1102"/>
        <v>DYON</v>
      </c>
      <c r="AY1682" s="1" t="str">
        <f t="shared" si="1099"/>
        <v>PF</v>
      </c>
      <c r="AZ1682" s="1">
        <v>0</v>
      </c>
      <c r="BA1682" s="1">
        <v>0</v>
      </c>
      <c r="BB1682" s="1">
        <v>0</v>
      </c>
      <c r="BC1682" s="1">
        <v>0</v>
      </c>
      <c r="BD1682" s="1">
        <v>0</v>
      </c>
      <c r="BE1682" s="1" t="str">
        <f t="shared" si="1076"/>
        <v>YON GOMMA TWILL CANVAS</v>
      </c>
      <c r="BF1682" s="1" t="str">
        <f t="shared" si="1100"/>
        <v>Bonis SpA</v>
      </c>
    </row>
    <row r="1683" spans="2:58" x14ac:dyDescent="0.25">
      <c r="B1683" s="1">
        <v>2548</v>
      </c>
      <c r="C1683" s="1" t="str">
        <f t="shared" si="1075"/>
        <v>DYON4191S7/C1</v>
      </c>
      <c r="E1683" s="1" t="str">
        <f>"38"</f>
        <v>38</v>
      </c>
      <c r="F1683" s="1" t="str">
        <f t="shared" si="1089"/>
        <v>BONIS SPA</v>
      </c>
      <c r="G1683" s="1" t="str">
        <f t="shared" si="1079"/>
        <v>STOCK SCAFFALE MP</v>
      </c>
      <c r="H1683" s="1" t="str">
        <f>"BLK"</f>
        <v>BLK</v>
      </c>
      <c r="K1683" s="1">
        <v>12</v>
      </c>
      <c r="L1683" s="1" t="str">
        <f t="shared" si="1090"/>
        <v>01</v>
      </c>
      <c r="M1683" s="1" t="str">
        <f t="shared" si="1084"/>
        <v>409</v>
      </c>
      <c r="N1683" s="1" t="str">
        <f t="shared" si="1083"/>
        <v>010</v>
      </c>
      <c r="O1683" s="1" t="str">
        <f t="shared" si="1091"/>
        <v>00</v>
      </c>
      <c r="P1683" s="1" t="str">
        <f t="shared" si="1092"/>
        <v>S</v>
      </c>
      <c r="Q1683" s="1" t="str">
        <f t="shared" si="1093"/>
        <v>P</v>
      </c>
      <c r="R1683" s="1" t="str">
        <f t="shared" si="1094"/>
        <v>01</v>
      </c>
      <c r="S1683" s="1" t="str">
        <f t="shared" si="1080"/>
        <v>04</v>
      </c>
      <c r="T1683" s="1" t="str">
        <f t="shared" si="1095"/>
        <v>False</v>
      </c>
      <c r="U1683" s="1" t="str">
        <f t="shared" si="1096"/>
        <v>True</v>
      </c>
      <c r="V1683" s="1" t="str">
        <f>"U0023473"</f>
        <v>U0023473</v>
      </c>
      <c r="W1683" s="1">
        <v>1</v>
      </c>
      <c r="Y1683" s="1">
        <v>0</v>
      </c>
      <c r="Z1683" s="1">
        <v>0</v>
      </c>
      <c r="AB1683" s="1" t="str">
        <f t="shared" si="1085"/>
        <v>SMU</v>
      </c>
      <c r="AI1683" s="1" t="str">
        <f>"F11"</f>
        <v>F11</v>
      </c>
      <c r="AJ1683" s="1" t="str">
        <f t="shared" si="1101"/>
        <v>WOMAN</v>
      </c>
      <c r="AK1683" s="1" t="str">
        <f t="shared" si="1097"/>
        <v>PA</v>
      </c>
      <c r="AP1683" s="1" t="str">
        <f t="shared" si="1098"/>
        <v>False</v>
      </c>
      <c r="AR1683" s="1" t="str">
        <f t="shared" si="1102"/>
        <v>DYON</v>
      </c>
      <c r="AY1683" s="1" t="str">
        <f t="shared" si="1099"/>
        <v>PF</v>
      </c>
      <c r="AZ1683" s="1">
        <v>0</v>
      </c>
      <c r="BA1683" s="1">
        <v>0</v>
      </c>
      <c r="BB1683" s="1">
        <v>0</v>
      </c>
      <c r="BC1683" s="1">
        <v>0</v>
      </c>
      <c r="BD1683" s="1">
        <v>0</v>
      </c>
      <c r="BE1683" s="1" t="str">
        <f t="shared" si="1076"/>
        <v>YON GOMMA TWILL CANVAS</v>
      </c>
      <c r="BF1683" s="1" t="str">
        <f t="shared" si="1100"/>
        <v>Bonis SpA</v>
      </c>
    </row>
    <row r="1684" spans="2:58" x14ac:dyDescent="0.25">
      <c r="B1684" s="1">
        <v>2521</v>
      </c>
      <c r="C1684" s="1" t="str">
        <f t="shared" si="1075"/>
        <v>DYON4191S7/C1</v>
      </c>
      <c r="E1684" s="1" t="str">
        <f>"38"</f>
        <v>38</v>
      </c>
      <c r="F1684" s="1" t="str">
        <f t="shared" si="1089"/>
        <v>BONIS SPA</v>
      </c>
      <c r="G1684" s="1" t="str">
        <f t="shared" si="1079"/>
        <v>STOCK SCAFFALE MP</v>
      </c>
      <c r="H1684" s="1" t="str">
        <f>"BLK"</f>
        <v>BLK</v>
      </c>
      <c r="K1684" s="1">
        <v>12</v>
      </c>
      <c r="L1684" s="1" t="str">
        <f t="shared" si="1090"/>
        <v>01</v>
      </c>
      <c r="M1684" s="1" t="str">
        <f t="shared" si="1084"/>
        <v>409</v>
      </c>
      <c r="N1684" s="1" t="str">
        <f>"001"</f>
        <v>001</v>
      </c>
      <c r="O1684" s="1" t="str">
        <f t="shared" si="1091"/>
        <v>00</v>
      </c>
      <c r="P1684" s="1" t="str">
        <f t="shared" si="1092"/>
        <v>S</v>
      </c>
      <c r="Q1684" s="1" t="str">
        <f t="shared" si="1093"/>
        <v>P</v>
      </c>
      <c r="R1684" s="1" t="str">
        <f t="shared" si="1094"/>
        <v>01</v>
      </c>
      <c r="S1684" s="1" t="str">
        <f t="shared" si="1080"/>
        <v>04</v>
      </c>
      <c r="T1684" s="1" t="str">
        <f t="shared" si="1095"/>
        <v>False</v>
      </c>
      <c r="U1684" s="1" t="str">
        <f t="shared" si="1096"/>
        <v>True</v>
      </c>
      <c r="V1684" s="1" t="str">
        <f>"U0023019"</f>
        <v>U0023019</v>
      </c>
      <c r="W1684" s="1">
        <v>1</v>
      </c>
      <c r="Y1684" s="1">
        <v>0</v>
      </c>
      <c r="Z1684" s="1">
        <v>0</v>
      </c>
      <c r="AB1684" s="1" t="str">
        <f t="shared" si="1085"/>
        <v>SMU</v>
      </c>
      <c r="AI1684" s="1" t="str">
        <f>"P11"</f>
        <v>P11</v>
      </c>
      <c r="AJ1684" s="1" t="str">
        <f t="shared" si="1101"/>
        <v>WOMAN</v>
      </c>
      <c r="AK1684" s="1" t="str">
        <f t="shared" si="1097"/>
        <v>PA</v>
      </c>
      <c r="AP1684" s="1" t="str">
        <f t="shared" si="1098"/>
        <v>False</v>
      </c>
      <c r="AR1684" s="1" t="str">
        <f t="shared" si="1102"/>
        <v>DYON</v>
      </c>
      <c r="AY1684" s="1" t="str">
        <f t="shared" si="1099"/>
        <v>PF</v>
      </c>
      <c r="AZ1684" s="1">
        <v>0</v>
      </c>
      <c r="BA1684" s="1">
        <v>0</v>
      </c>
      <c r="BB1684" s="1">
        <v>0</v>
      </c>
      <c r="BC1684" s="1">
        <v>0</v>
      </c>
      <c r="BD1684" s="1">
        <v>0</v>
      </c>
      <c r="BE1684" s="1" t="str">
        <f t="shared" si="1076"/>
        <v>YON GOMMA TWILL CANVAS</v>
      </c>
      <c r="BF1684" s="1" t="str">
        <f t="shared" si="1100"/>
        <v>Bonis SpA</v>
      </c>
    </row>
    <row r="1685" spans="2:58" x14ac:dyDescent="0.25">
      <c r="B1685" s="1">
        <v>2548</v>
      </c>
      <c r="C1685" s="1" t="str">
        <f t="shared" si="1075"/>
        <v>DYON4191S7/C1</v>
      </c>
      <c r="E1685" s="1" t="str">
        <f>"37"</f>
        <v>37</v>
      </c>
      <c r="F1685" s="1" t="str">
        <f t="shared" si="1089"/>
        <v>BONIS SPA</v>
      </c>
      <c r="G1685" s="1" t="str">
        <f t="shared" si="1079"/>
        <v>STOCK SCAFFALE MP</v>
      </c>
      <c r="H1685" s="1" t="str">
        <f>"BLK"</f>
        <v>BLK</v>
      </c>
      <c r="K1685" s="1">
        <v>12</v>
      </c>
      <c r="L1685" s="1" t="str">
        <f t="shared" si="1090"/>
        <v>01</v>
      </c>
      <c r="M1685" s="1" t="str">
        <f t="shared" si="1084"/>
        <v>409</v>
      </c>
      <c r="N1685" s="1" t="str">
        <f>"010"</f>
        <v>010</v>
      </c>
      <c r="O1685" s="1" t="str">
        <f t="shared" si="1091"/>
        <v>00</v>
      </c>
      <c r="P1685" s="1" t="str">
        <f t="shared" si="1092"/>
        <v>S</v>
      </c>
      <c r="Q1685" s="1" t="str">
        <f t="shared" si="1093"/>
        <v>P</v>
      </c>
      <c r="R1685" s="1" t="str">
        <f t="shared" si="1094"/>
        <v>01</v>
      </c>
      <c r="S1685" s="1" t="str">
        <f t="shared" si="1080"/>
        <v>04</v>
      </c>
      <c r="T1685" s="1" t="str">
        <f t="shared" si="1095"/>
        <v>False</v>
      </c>
      <c r="U1685" s="1" t="str">
        <f t="shared" si="1096"/>
        <v>True</v>
      </c>
      <c r="V1685" s="1" t="str">
        <f>"U0032614"</f>
        <v>U0032614</v>
      </c>
      <c r="W1685" s="1">
        <v>1</v>
      </c>
      <c r="Y1685" s="1">
        <v>0</v>
      </c>
      <c r="Z1685" s="1">
        <v>0</v>
      </c>
      <c r="AB1685" s="1" t="str">
        <f t="shared" si="1085"/>
        <v>SMU</v>
      </c>
      <c r="AI1685" s="1" t="str">
        <f>"F11"</f>
        <v>F11</v>
      </c>
      <c r="AJ1685" s="1" t="str">
        <f t="shared" si="1101"/>
        <v>WOMAN</v>
      </c>
      <c r="AK1685" s="1" t="str">
        <f t="shared" si="1097"/>
        <v>PA</v>
      </c>
      <c r="AP1685" s="1" t="str">
        <f t="shared" si="1098"/>
        <v>False</v>
      </c>
      <c r="AR1685" s="1" t="str">
        <f t="shared" si="1102"/>
        <v>DYON</v>
      </c>
      <c r="AY1685" s="1" t="str">
        <f t="shared" si="1099"/>
        <v>PF</v>
      </c>
      <c r="AZ1685" s="1">
        <v>0</v>
      </c>
      <c r="BA1685" s="1">
        <v>0</v>
      </c>
      <c r="BB1685" s="1">
        <v>0</v>
      </c>
      <c r="BC1685" s="1">
        <v>0</v>
      </c>
      <c r="BD1685" s="1">
        <v>0</v>
      </c>
      <c r="BE1685" s="1" t="str">
        <f t="shared" si="1076"/>
        <v>YON GOMMA TWILL CANVAS</v>
      </c>
      <c r="BF1685" s="1" t="str">
        <f t="shared" si="1100"/>
        <v>Bonis SpA</v>
      </c>
    </row>
    <row r="1686" spans="2:58" x14ac:dyDescent="0.25">
      <c r="B1686" s="1">
        <v>2545</v>
      </c>
      <c r="C1686" s="1" t="str">
        <f>"GALAN4183S7/CY1"</f>
        <v>GALAN4183S7/CY1</v>
      </c>
      <c r="E1686" s="1" t="str">
        <f>"40"</f>
        <v>40</v>
      </c>
      <c r="F1686" s="1" t="str">
        <f t="shared" si="1089"/>
        <v>BONIS SPA</v>
      </c>
      <c r="G1686" s="1" t="str">
        <f t="shared" si="1079"/>
        <v>STOCK SCAFFALE MP</v>
      </c>
      <c r="H1686" s="1" t="str">
        <f>"GREY"</f>
        <v>GREY</v>
      </c>
      <c r="K1686" s="1">
        <v>2</v>
      </c>
      <c r="L1686" s="1" t="str">
        <f t="shared" si="1090"/>
        <v>01</v>
      </c>
      <c r="M1686" s="1" t="str">
        <f t="shared" si="1084"/>
        <v>409</v>
      </c>
      <c r="N1686" s="1" t="str">
        <f t="shared" ref="N1686:N1717" si="1103">"009"</f>
        <v>009</v>
      </c>
      <c r="O1686" s="1" t="str">
        <f t="shared" si="1091"/>
        <v>00</v>
      </c>
      <c r="P1686" s="1" t="str">
        <f t="shared" si="1092"/>
        <v>S</v>
      </c>
      <c r="Q1686" s="1" t="str">
        <f t="shared" si="1093"/>
        <v>P</v>
      </c>
      <c r="R1686" s="1" t="str">
        <f t="shared" si="1094"/>
        <v>01</v>
      </c>
      <c r="S1686" s="1" t="str">
        <f t="shared" si="1080"/>
        <v>04</v>
      </c>
      <c r="T1686" s="1" t="str">
        <f t="shared" si="1095"/>
        <v>False</v>
      </c>
      <c r="U1686" s="1" t="str">
        <f t="shared" si="1096"/>
        <v>True</v>
      </c>
      <c r="V1686" s="1" t="str">
        <f>"U0028132"</f>
        <v>U0028132</v>
      </c>
      <c r="W1686" s="1">
        <v>1</v>
      </c>
      <c r="Y1686" s="1">
        <v>0</v>
      </c>
      <c r="Z1686" s="1">
        <v>0</v>
      </c>
      <c r="AB1686" s="1" t="str">
        <f t="shared" si="1085"/>
        <v>SMU</v>
      </c>
      <c r="AI1686" s="1" t="str">
        <f>"106"</f>
        <v>106</v>
      </c>
      <c r="AJ1686" s="1" t="str">
        <f t="shared" ref="AJ1686:AJ1717" si="1104">"MAN"</f>
        <v>MAN</v>
      </c>
      <c r="AK1686" s="1" t="str">
        <f t="shared" si="1097"/>
        <v>PA</v>
      </c>
      <c r="AP1686" s="1" t="str">
        <f t="shared" si="1098"/>
        <v>False</v>
      </c>
      <c r="AR1686" s="1" t="str">
        <f t="shared" ref="AR1686:AR1723" si="1105">"GALAN"</f>
        <v>GALAN</v>
      </c>
      <c r="AY1686" s="1" t="str">
        <f t="shared" si="1099"/>
        <v>PF</v>
      </c>
      <c r="AZ1686" s="1">
        <v>0</v>
      </c>
      <c r="BA1686" s="1">
        <v>0</v>
      </c>
      <c r="BB1686" s="1">
        <v>0</v>
      </c>
      <c r="BC1686" s="1">
        <v>0</v>
      </c>
      <c r="BD1686" s="1">
        <v>0</v>
      </c>
      <c r="BE1686" s="1" t="str">
        <f t="shared" ref="BE1686:BE1723" si="1106">"LAN+TWILL CANVAS + SIN.LEATHER"</f>
        <v>LAN+TWILL CANVAS + SIN.LEATHER</v>
      </c>
      <c r="BF1686" s="1" t="str">
        <f t="shared" si="1100"/>
        <v>Bonis SpA</v>
      </c>
    </row>
    <row r="1687" spans="2:58" x14ac:dyDescent="0.25">
      <c r="B1687" s="1">
        <v>2545</v>
      </c>
      <c r="C1687" s="1" t="str">
        <f>"GALAN4183S7/CY1"</f>
        <v>GALAN4183S7/CY1</v>
      </c>
      <c r="E1687" s="1" t="str">
        <f>"41"</f>
        <v>41</v>
      </c>
      <c r="F1687" s="1" t="str">
        <f t="shared" si="1089"/>
        <v>BONIS SPA</v>
      </c>
      <c r="G1687" s="1" t="str">
        <f t="shared" si="1079"/>
        <v>STOCK SCAFFALE MP</v>
      </c>
      <c r="H1687" s="1" t="str">
        <f>"GREY"</f>
        <v>GREY</v>
      </c>
      <c r="K1687" s="1">
        <v>4</v>
      </c>
      <c r="L1687" s="1" t="str">
        <f t="shared" si="1090"/>
        <v>01</v>
      </c>
      <c r="M1687" s="1" t="str">
        <f t="shared" si="1084"/>
        <v>409</v>
      </c>
      <c r="N1687" s="1" t="str">
        <f t="shared" si="1103"/>
        <v>009</v>
      </c>
      <c r="O1687" s="1" t="str">
        <f t="shared" si="1091"/>
        <v>00</v>
      </c>
      <c r="P1687" s="1" t="str">
        <f t="shared" si="1092"/>
        <v>S</v>
      </c>
      <c r="Q1687" s="1" t="str">
        <f t="shared" si="1093"/>
        <v>P</v>
      </c>
      <c r="R1687" s="1" t="str">
        <f t="shared" si="1094"/>
        <v>01</v>
      </c>
      <c r="S1687" s="1" t="str">
        <f t="shared" si="1080"/>
        <v>04</v>
      </c>
      <c r="T1687" s="1" t="str">
        <f t="shared" si="1095"/>
        <v>False</v>
      </c>
      <c r="U1687" s="1" t="str">
        <f t="shared" si="1096"/>
        <v>True</v>
      </c>
      <c r="V1687" s="1" t="str">
        <f>"U0028132"</f>
        <v>U0028132</v>
      </c>
      <c r="W1687" s="1">
        <v>1</v>
      </c>
      <c r="Y1687" s="1">
        <v>0</v>
      </c>
      <c r="Z1687" s="1">
        <v>0</v>
      </c>
      <c r="AB1687" s="1" t="str">
        <f t="shared" si="1085"/>
        <v>SMU</v>
      </c>
      <c r="AI1687" s="1" t="str">
        <f>"106"</f>
        <v>106</v>
      </c>
      <c r="AJ1687" s="1" t="str">
        <f t="shared" si="1104"/>
        <v>MAN</v>
      </c>
      <c r="AK1687" s="1" t="str">
        <f t="shared" si="1097"/>
        <v>PA</v>
      </c>
      <c r="AP1687" s="1" t="str">
        <f t="shared" si="1098"/>
        <v>False</v>
      </c>
      <c r="AR1687" s="1" t="str">
        <f t="shared" si="1105"/>
        <v>GALAN</v>
      </c>
      <c r="AY1687" s="1" t="str">
        <f t="shared" si="1099"/>
        <v>PF</v>
      </c>
      <c r="AZ1687" s="1">
        <v>0</v>
      </c>
      <c r="BA1687" s="1">
        <v>0</v>
      </c>
      <c r="BB1687" s="1">
        <v>0</v>
      </c>
      <c r="BC1687" s="1">
        <v>0</v>
      </c>
      <c r="BD1687" s="1">
        <v>0</v>
      </c>
      <c r="BE1687" s="1" t="str">
        <f t="shared" si="1106"/>
        <v>LAN+TWILL CANVAS + SIN.LEATHER</v>
      </c>
      <c r="BF1687" s="1" t="str">
        <f t="shared" si="1100"/>
        <v>Bonis SpA</v>
      </c>
    </row>
    <row r="1688" spans="2:58" x14ac:dyDescent="0.25">
      <c r="B1688" s="1">
        <v>2545</v>
      </c>
      <c r="C1688" s="1" t="str">
        <f>"GALAN4182S7/CY1"</f>
        <v>GALAN4182S7/CY1</v>
      </c>
      <c r="E1688" s="1" t="str">
        <f>"41"</f>
        <v>41</v>
      </c>
      <c r="F1688" s="1" t="str">
        <f t="shared" si="1089"/>
        <v>BONIS SPA</v>
      </c>
      <c r="G1688" s="1" t="str">
        <f t="shared" si="1079"/>
        <v>STOCK SCAFFALE MP</v>
      </c>
      <c r="H1688" s="1" t="str">
        <f t="shared" ref="H1688:H1697" si="1107">"WHI"</f>
        <v>WHI</v>
      </c>
      <c r="K1688" s="1">
        <v>1</v>
      </c>
      <c r="L1688" s="1" t="str">
        <f t="shared" si="1090"/>
        <v>01</v>
      </c>
      <c r="M1688" s="1" t="str">
        <f t="shared" si="1084"/>
        <v>409</v>
      </c>
      <c r="N1688" s="1" t="str">
        <f t="shared" si="1103"/>
        <v>009</v>
      </c>
      <c r="O1688" s="1" t="str">
        <f t="shared" si="1091"/>
        <v>00</v>
      </c>
      <c r="P1688" s="1" t="str">
        <f t="shared" si="1092"/>
        <v>S</v>
      </c>
      <c r="Q1688" s="1" t="str">
        <f t="shared" si="1093"/>
        <v>P</v>
      </c>
      <c r="R1688" s="1" t="str">
        <f t="shared" si="1094"/>
        <v>01</v>
      </c>
      <c r="S1688" s="1" t="str">
        <f t="shared" si="1080"/>
        <v>04</v>
      </c>
      <c r="T1688" s="1" t="str">
        <f t="shared" si="1095"/>
        <v>False</v>
      </c>
      <c r="U1688" s="1" t="str">
        <f t="shared" si="1096"/>
        <v>True</v>
      </c>
      <c r="V1688" s="1" t="str">
        <f>"U0023154"</f>
        <v>U0023154</v>
      </c>
      <c r="W1688" s="1">
        <v>1</v>
      </c>
      <c r="Y1688" s="1">
        <v>0</v>
      </c>
      <c r="Z1688" s="1">
        <v>0</v>
      </c>
      <c r="AB1688" s="1" t="str">
        <f t="shared" si="1085"/>
        <v>SMU</v>
      </c>
      <c r="AI1688" s="1" t="str">
        <f>"F11"</f>
        <v>F11</v>
      </c>
      <c r="AJ1688" s="1" t="str">
        <f t="shared" si="1104"/>
        <v>MAN</v>
      </c>
      <c r="AK1688" s="1" t="str">
        <f t="shared" si="1097"/>
        <v>PA</v>
      </c>
      <c r="AP1688" s="1" t="str">
        <f t="shared" si="1098"/>
        <v>False</v>
      </c>
      <c r="AR1688" s="1" t="str">
        <f t="shared" si="1105"/>
        <v>GALAN</v>
      </c>
      <c r="AY1688" s="1" t="str">
        <f t="shared" si="1099"/>
        <v>PF</v>
      </c>
      <c r="AZ1688" s="1">
        <v>0</v>
      </c>
      <c r="BA1688" s="1">
        <v>0</v>
      </c>
      <c r="BB1688" s="1">
        <v>0</v>
      </c>
      <c r="BC1688" s="1">
        <v>0</v>
      </c>
      <c r="BD1688" s="1">
        <v>0</v>
      </c>
      <c r="BE1688" s="1" t="str">
        <f t="shared" si="1106"/>
        <v>LAN+TWILL CANVAS + SIN.LEATHER</v>
      </c>
      <c r="BF1688" s="1" t="str">
        <f t="shared" si="1100"/>
        <v>Bonis SpA</v>
      </c>
    </row>
    <row r="1689" spans="2:58" x14ac:dyDescent="0.25">
      <c r="B1689" s="1">
        <v>2545</v>
      </c>
      <c r="C1689" s="1" t="str">
        <f>"GALAN4182S7/CY1"</f>
        <v>GALAN4182S7/CY1</v>
      </c>
      <c r="E1689" s="1" t="str">
        <f>"42"</f>
        <v>42</v>
      </c>
      <c r="F1689" s="1" t="str">
        <f t="shared" si="1089"/>
        <v>BONIS SPA</v>
      </c>
      <c r="G1689" s="1" t="str">
        <f t="shared" si="1079"/>
        <v>STOCK SCAFFALE MP</v>
      </c>
      <c r="H1689" s="1" t="str">
        <f t="shared" si="1107"/>
        <v>WHI</v>
      </c>
      <c r="K1689" s="1">
        <v>8</v>
      </c>
      <c r="L1689" s="1" t="str">
        <f t="shared" si="1090"/>
        <v>01</v>
      </c>
      <c r="M1689" s="1" t="str">
        <f t="shared" si="1084"/>
        <v>409</v>
      </c>
      <c r="N1689" s="1" t="str">
        <f t="shared" si="1103"/>
        <v>009</v>
      </c>
      <c r="O1689" s="1" t="str">
        <f t="shared" si="1091"/>
        <v>00</v>
      </c>
      <c r="P1689" s="1" t="str">
        <f t="shared" si="1092"/>
        <v>S</v>
      </c>
      <c r="Q1689" s="1" t="str">
        <f t="shared" si="1093"/>
        <v>P</v>
      </c>
      <c r="R1689" s="1" t="str">
        <f t="shared" si="1094"/>
        <v>01</v>
      </c>
      <c r="S1689" s="1" t="str">
        <f t="shared" si="1080"/>
        <v>04</v>
      </c>
      <c r="T1689" s="1" t="str">
        <f t="shared" si="1095"/>
        <v>False</v>
      </c>
      <c r="U1689" s="1" t="str">
        <f t="shared" si="1096"/>
        <v>True</v>
      </c>
      <c r="V1689" s="1" t="str">
        <f>"U0023154"</f>
        <v>U0023154</v>
      </c>
      <c r="W1689" s="1">
        <v>1</v>
      </c>
      <c r="Y1689" s="1">
        <v>0</v>
      </c>
      <c r="Z1689" s="1">
        <v>0</v>
      </c>
      <c r="AB1689" s="1" t="str">
        <f t="shared" si="1085"/>
        <v>SMU</v>
      </c>
      <c r="AI1689" s="1" t="str">
        <f>"F11"</f>
        <v>F11</v>
      </c>
      <c r="AJ1689" s="1" t="str">
        <f t="shared" si="1104"/>
        <v>MAN</v>
      </c>
      <c r="AK1689" s="1" t="str">
        <f t="shared" si="1097"/>
        <v>PA</v>
      </c>
      <c r="AP1689" s="1" t="str">
        <f t="shared" si="1098"/>
        <v>False</v>
      </c>
      <c r="AR1689" s="1" t="str">
        <f t="shared" si="1105"/>
        <v>GALAN</v>
      </c>
      <c r="AY1689" s="1" t="str">
        <f t="shared" si="1099"/>
        <v>PF</v>
      </c>
      <c r="AZ1689" s="1">
        <v>0</v>
      </c>
      <c r="BA1689" s="1">
        <v>0</v>
      </c>
      <c r="BB1689" s="1">
        <v>0</v>
      </c>
      <c r="BC1689" s="1">
        <v>0</v>
      </c>
      <c r="BD1689" s="1">
        <v>0</v>
      </c>
      <c r="BE1689" s="1" t="str">
        <f t="shared" si="1106"/>
        <v>LAN+TWILL CANVAS + SIN.LEATHER</v>
      </c>
      <c r="BF1689" s="1" t="str">
        <f t="shared" si="1100"/>
        <v>Bonis SpA</v>
      </c>
    </row>
    <row r="1690" spans="2:58" x14ac:dyDescent="0.25">
      <c r="B1690" s="1">
        <v>2545</v>
      </c>
      <c r="C1690" s="1" t="str">
        <f>"GALAN4182S7/CY1"</f>
        <v>GALAN4182S7/CY1</v>
      </c>
      <c r="E1690" s="1" t="str">
        <f>"44"</f>
        <v>44</v>
      </c>
      <c r="F1690" s="1" t="str">
        <f t="shared" si="1089"/>
        <v>BONIS SPA</v>
      </c>
      <c r="G1690" s="1" t="str">
        <f t="shared" si="1079"/>
        <v>STOCK SCAFFALE MP</v>
      </c>
      <c r="H1690" s="1" t="str">
        <f t="shared" si="1107"/>
        <v>WHI</v>
      </c>
      <c r="K1690" s="1">
        <v>1</v>
      </c>
      <c r="L1690" s="1" t="str">
        <f t="shared" si="1090"/>
        <v>01</v>
      </c>
      <c r="M1690" s="1" t="str">
        <f t="shared" si="1084"/>
        <v>409</v>
      </c>
      <c r="N1690" s="1" t="str">
        <f t="shared" si="1103"/>
        <v>009</v>
      </c>
      <c r="O1690" s="1" t="str">
        <f t="shared" si="1091"/>
        <v>00</v>
      </c>
      <c r="P1690" s="1" t="str">
        <f t="shared" si="1092"/>
        <v>S</v>
      </c>
      <c r="Q1690" s="1" t="str">
        <f t="shared" si="1093"/>
        <v>P</v>
      </c>
      <c r="R1690" s="1" t="str">
        <f t="shared" si="1094"/>
        <v>01</v>
      </c>
      <c r="S1690" s="1" t="str">
        <f t="shared" si="1080"/>
        <v>04</v>
      </c>
      <c r="T1690" s="1" t="str">
        <f t="shared" si="1095"/>
        <v>False</v>
      </c>
      <c r="U1690" s="1" t="str">
        <f t="shared" si="1096"/>
        <v>True</v>
      </c>
      <c r="V1690" s="1" t="str">
        <f>"U0023154"</f>
        <v>U0023154</v>
      </c>
      <c r="W1690" s="1">
        <v>1</v>
      </c>
      <c r="Y1690" s="1">
        <v>0</v>
      </c>
      <c r="Z1690" s="1">
        <v>0</v>
      </c>
      <c r="AB1690" s="1" t="str">
        <f t="shared" si="1085"/>
        <v>SMU</v>
      </c>
      <c r="AI1690" s="1" t="str">
        <f>"F11"</f>
        <v>F11</v>
      </c>
      <c r="AJ1690" s="1" t="str">
        <f t="shared" si="1104"/>
        <v>MAN</v>
      </c>
      <c r="AK1690" s="1" t="str">
        <f t="shared" si="1097"/>
        <v>PA</v>
      </c>
      <c r="AP1690" s="1" t="str">
        <f t="shared" si="1098"/>
        <v>False</v>
      </c>
      <c r="AR1690" s="1" t="str">
        <f t="shared" si="1105"/>
        <v>GALAN</v>
      </c>
      <c r="AY1690" s="1" t="str">
        <f t="shared" si="1099"/>
        <v>PF</v>
      </c>
      <c r="AZ1690" s="1">
        <v>0</v>
      </c>
      <c r="BA1690" s="1">
        <v>0</v>
      </c>
      <c r="BB1690" s="1">
        <v>0</v>
      </c>
      <c r="BC1690" s="1">
        <v>0</v>
      </c>
      <c r="BD1690" s="1">
        <v>0</v>
      </c>
      <c r="BE1690" s="1" t="str">
        <f t="shared" si="1106"/>
        <v>LAN+TWILL CANVAS + SIN.LEATHER</v>
      </c>
      <c r="BF1690" s="1" t="str">
        <f t="shared" si="1100"/>
        <v>Bonis SpA</v>
      </c>
    </row>
    <row r="1691" spans="2:58" x14ac:dyDescent="0.25">
      <c r="B1691" s="1">
        <v>2545</v>
      </c>
      <c r="C1691" s="1" t="str">
        <f>"GALAN4182S7/CY1"</f>
        <v>GALAN4182S7/CY1</v>
      </c>
      <c r="E1691" s="1" t="str">
        <f>"41"</f>
        <v>41</v>
      </c>
      <c r="F1691" s="1" t="str">
        <f t="shared" si="1089"/>
        <v>BONIS SPA</v>
      </c>
      <c r="G1691" s="1" t="str">
        <f t="shared" si="1079"/>
        <v>STOCK SCAFFALE MP</v>
      </c>
      <c r="H1691" s="1" t="str">
        <f t="shared" si="1107"/>
        <v>WHI</v>
      </c>
      <c r="K1691" s="1">
        <v>5</v>
      </c>
      <c r="L1691" s="1" t="str">
        <f t="shared" si="1090"/>
        <v>01</v>
      </c>
      <c r="M1691" s="1" t="str">
        <f t="shared" si="1084"/>
        <v>409</v>
      </c>
      <c r="N1691" s="1" t="str">
        <f t="shared" si="1103"/>
        <v>009</v>
      </c>
      <c r="O1691" s="1" t="str">
        <f t="shared" si="1091"/>
        <v>00</v>
      </c>
      <c r="P1691" s="1" t="str">
        <f t="shared" si="1092"/>
        <v>S</v>
      </c>
      <c r="Q1691" s="1" t="str">
        <f t="shared" si="1093"/>
        <v>P</v>
      </c>
      <c r="R1691" s="1" t="str">
        <f t="shared" si="1094"/>
        <v>01</v>
      </c>
      <c r="S1691" s="1" t="str">
        <f t="shared" si="1080"/>
        <v>04</v>
      </c>
      <c r="T1691" s="1" t="str">
        <f t="shared" si="1095"/>
        <v>False</v>
      </c>
      <c r="U1691" s="1" t="str">
        <f t="shared" si="1096"/>
        <v>True</v>
      </c>
      <c r="V1691" s="1" t="str">
        <f>"U0028124"</f>
        <v>U0028124</v>
      </c>
      <c r="W1691" s="1">
        <v>1</v>
      </c>
      <c r="Y1691" s="1">
        <v>0</v>
      </c>
      <c r="Z1691" s="1">
        <v>0</v>
      </c>
      <c r="AB1691" s="1" t="str">
        <f t="shared" si="1085"/>
        <v>SMU</v>
      </c>
      <c r="AI1691" s="1" t="str">
        <f>"F11"</f>
        <v>F11</v>
      </c>
      <c r="AJ1691" s="1" t="str">
        <f t="shared" si="1104"/>
        <v>MAN</v>
      </c>
      <c r="AK1691" s="1" t="str">
        <f t="shared" si="1097"/>
        <v>PA</v>
      </c>
      <c r="AP1691" s="1" t="str">
        <f t="shared" si="1098"/>
        <v>False</v>
      </c>
      <c r="AR1691" s="1" t="str">
        <f t="shared" si="1105"/>
        <v>GALAN</v>
      </c>
      <c r="AY1691" s="1" t="str">
        <f t="shared" si="1099"/>
        <v>PF</v>
      </c>
      <c r="AZ1691" s="1">
        <v>0</v>
      </c>
      <c r="BA1691" s="1">
        <v>0</v>
      </c>
      <c r="BB1691" s="1">
        <v>0</v>
      </c>
      <c r="BC1691" s="1">
        <v>0</v>
      </c>
      <c r="BD1691" s="1">
        <v>0</v>
      </c>
      <c r="BE1691" s="1" t="str">
        <f t="shared" si="1106"/>
        <v>LAN+TWILL CANVAS + SIN.LEATHER</v>
      </c>
      <c r="BF1691" s="1" t="str">
        <f t="shared" si="1100"/>
        <v>Bonis SpA</v>
      </c>
    </row>
    <row r="1692" spans="2:58" x14ac:dyDescent="0.25">
      <c r="B1692" s="1">
        <v>2545</v>
      </c>
      <c r="C1692" s="1" t="str">
        <f>"GALAN4182S7/CY1"</f>
        <v>GALAN4182S7/CY1</v>
      </c>
      <c r="E1692" s="1" t="str">
        <f>"40"</f>
        <v>40</v>
      </c>
      <c r="F1692" s="1" t="str">
        <f t="shared" si="1089"/>
        <v>BONIS SPA</v>
      </c>
      <c r="G1692" s="1" t="str">
        <f t="shared" si="1079"/>
        <v>STOCK SCAFFALE MP</v>
      </c>
      <c r="H1692" s="1" t="str">
        <f t="shared" si="1107"/>
        <v>WHI</v>
      </c>
      <c r="K1692" s="1">
        <v>3</v>
      </c>
      <c r="L1692" s="1" t="str">
        <f t="shared" si="1090"/>
        <v>01</v>
      </c>
      <c r="M1692" s="1" t="str">
        <f t="shared" si="1084"/>
        <v>409</v>
      </c>
      <c r="N1692" s="1" t="str">
        <f t="shared" si="1103"/>
        <v>009</v>
      </c>
      <c r="O1692" s="1" t="str">
        <f t="shared" si="1091"/>
        <v>00</v>
      </c>
      <c r="P1692" s="1" t="str">
        <f t="shared" si="1092"/>
        <v>S</v>
      </c>
      <c r="Q1692" s="1" t="str">
        <f t="shared" si="1093"/>
        <v>P</v>
      </c>
      <c r="R1692" s="1" t="str">
        <f t="shared" si="1094"/>
        <v>01</v>
      </c>
      <c r="S1692" s="1" t="str">
        <f t="shared" si="1080"/>
        <v>04</v>
      </c>
      <c r="T1692" s="1" t="str">
        <f t="shared" si="1095"/>
        <v>False</v>
      </c>
      <c r="U1692" s="1" t="str">
        <f t="shared" si="1096"/>
        <v>True</v>
      </c>
      <c r="V1692" s="1" t="str">
        <f>"U0028124"</f>
        <v>U0028124</v>
      </c>
      <c r="W1692" s="1">
        <v>1</v>
      </c>
      <c r="Y1692" s="1">
        <v>0</v>
      </c>
      <c r="Z1692" s="1">
        <v>0</v>
      </c>
      <c r="AB1692" s="1" t="str">
        <f t="shared" si="1085"/>
        <v>SMU</v>
      </c>
      <c r="AI1692" s="1" t="str">
        <f>"F11"</f>
        <v>F11</v>
      </c>
      <c r="AJ1692" s="1" t="str">
        <f t="shared" si="1104"/>
        <v>MAN</v>
      </c>
      <c r="AK1692" s="1" t="str">
        <f t="shared" si="1097"/>
        <v>PA</v>
      </c>
      <c r="AP1692" s="1" t="str">
        <f t="shared" si="1098"/>
        <v>False</v>
      </c>
      <c r="AR1692" s="1" t="str">
        <f t="shared" si="1105"/>
        <v>GALAN</v>
      </c>
      <c r="AY1692" s="1" t="str">
        <f t="shared" si="1099"/>
        <v>PF</v>
      </c>
      <c r="AZ1692" s="1">
        <v>0</v>
      </c>
      <c r="BA1692" s="1">
        <v>0</v>
      </c>
      <c r="BB1692" s="1">
        <v>0</v>
      </c>
      <c r="BC1692" s="1">
        <v>0</v>
      </c>
      <c r="BD1692" s="1">
        <v>0</v>
      </c>
      <c r="BE1692" s="1" t="str">
        <f t="shared" si="1106"/>
        <v>LAN+TWILL CANVAS + SIN.LEATHER</v>
      </c>
      <c r="BF1692" s="1" t="str">
        <f t="shared" si="1100"/>
        <v>Bonis SpA</v>
      </c>
    </row>
    <row r="1693" spans="2:58" x14ac:dyDescent="0.25">
      <c r="B1693" s="1">
        <v>2545</v>
      </c>
      <c r="C1693" s="1" t="str">
        <f t="shared" ref="C1693:C1723" si="1108">"GALAN4183S7/CY1"</f>
        <v>GALAN4183S7/CY1</v>
      </c>
      <c r="E1693" s="1" t="str">
        <f>"44"</f>
        <v>44</v>
      </c>
      <c r="F1693" s="1" t="str">
        <f t="shared" si="1089"/>
        <v>BONIS SPA</v>
      </c>
      <c r="G1693" s="1" t="str">
        <f t="shared" si="1079"/>
        <v>STOCK SCAFFALE MP</v>
      </c>
      <c r="H1693" s="1" t="str">
        <f t="shared" si="1107"/>
        <v>WHI</v>
      </c>
      <c r="K1693" s="1">
        <v>3</v>
      </c>
      <c r="L1693" s="1" t="str">
        <f t="shared" si="1090"/>
        <v>01</v>
      </c>
      <c r="M1693" s="1" t="str">
        <f t="shared" si="1084"/>
        <v>409</v>
      </c>
      <c r="N1693" s="1" t="str">
        <f t="shared" si="1103"/>
        <v>009</v>
      </c>
      <c r="O1693" s="1" t="str">
        <f t="shared" si="1091"/>
        <v>00</v>
      </c>
      <c r="P1693" s="1" t="str">
        <f t="shared" si="1092"/>
        <v>S</v>
      </c>
      <c r="Q1693" s="1" t="str">
        <f t="shared" si="1093"/>
        <v>P</v>
      </c>
      <c r="R1693" s="1" t="str">
        <f t="shared" si="1094"/>
        <v>01</v>
      </c>
      <c r="S1693" s="1" t="str">
        <f t="shared" si="1080"/>
        <v>04</v>
      </c>
      <c r="T1693" s="1" t="str">
        <f t="shared" si="1095"/>
        <v>False</v>
      </c>
      <c r="U1693" s="1" t="str">
        <f t="shared" si="1096"/>
        <v>True</v>
      </c>
      <c r="V1693" s="1" t="str">
        <f>"U0028132"</f>
        <v>U0028132</v>
      </c>
      <c r="W1693" s="1">
        <v>1</v>
      </c>
      <c r="Y1693" s="1">
        <v>0</v>
      </c>
      <c r="Z1693" s="1">
        <v>0</v>
      </c>
      <c r="AB1693" s="1" t="str">
        <f t="shared" si="1085"/>
        <v>SMU</v>
      </c>
      <c r="AI1693" s="1" t="str">
        <f>"106"</f>
        <v>106</v>
      </c>
      <c r="AJ1693" s="1" t="str">
        <f t="shared" si="1104"/>
        <v>MAN</v>
      </c>
      <c r="AK1693" s="1" t="str">
        <f t="shared" si="1097"/>
        <v>PA</v>
      </c>
      <c r="AP1693" s="1" t="str">
        <f t="shared" si="1098"/>
        <v>False</v>
      </c>
      <c r="AR1693" s="1" t="str">
        <f t="shared" si="1105"/>
        <v>GALAN</v>
      </c>
      <c r="AY1693" s="1" t="str">
        <f t="shared" si="1099"/>
        <v>PF</v>
      </c>
      <c r="AZ1693" s="1">
        <v>0</v>
      </c>
      <c r="BA1693" s="1">
        <v>0</v>
      </c>
      <c r="BB1693" s="1">
        <v>0</v>
      </c>
      <c r="BC1693" s="1">
        <v>0</v>
      </c>
      <c r="BD1693" s="1">
        <v>0</v>
      </c>
      <c r="BE1693" s="1" t="str">
        <f t="shared" si="1106"/>
        <v>LAN+TWILL CANVAS + SIN.LEATHER</v>
      </c>
      <c r="BF1693" s="1" t="str">
        <f t="shared" si="1100"/>
        <v>Bonis SpA</v>
      </c>
    </row>
    <row r="1694" spans="2:58" x14ac:dyDescent="0.25">
      <c r="B1694" s="1">
        <v>2545</v>
      </c>
      <c r="C1694" s="1" t="str">
        <f t="shared" si="1108"/>
        <v>GALAN4183S7/CY1</v>
      </c>
      <c r="E1694" s="1" t="str">
        <f>"44"</f>
        <v>44</v>
      </c>
      <c r="F1694" s="1" t="str">
        <f t="shared" si="1089"/>
        <v>BONIS SPA</v>
      </c>
      <c r="G1694" s="1" t="str">
        <f t="shared" si="1079"/>
        <v>STOCK SCAFFALE MP</v>
      </c>
      <c r="H1694" s="1" t="str">
        <f t="shared" si="1107"/>
        <v>WHI</v>
      </c>
      <c r="K1694" s="1">
        <v>1</v>
      </c>
      <c r="L1694" s="1" t="str">
        <f t="shared" si="1090"/>
        <v>01</v>
      </c>
      <c r="M1694" s="1" t="str">
        <f t="shared" si="1084"/>
        <v>409</v>
      </c>
      <c r="N1694" s="1" t="str">
        <f t="shared" si="1103"/>
        <v>009</v>
      </c>
      <c r="O1694" s="1" t="str">
        <f t="shared" si="1091"/>
        <v>00</v>
      </c>
      <c r="P1694" s="1" t="str">
        <f t="shared" si="1092"/>
        <v>S</v>
      </c>
      <c r="Q1694" s="1" t="str">
        <f t="shared" si="1093"/>
        <v>P</v>
      </c>
      <c r="R1694" s="1" t="str">
        <f t="shared" si="1094"/>
        <v>01</v>
      </c>
      <c r="S1694" s="1" t="str">
        <f t="shared" si="1080"/>
        <v>04</v>
      </c>
      <c r="T1694" s="1" t="str">
        <f t="shared" si="1095"/>
        <v>False</v>
      </c>
      <c r="U1694" s="1" t="str">
        <f t="shared" si="1096"/>
        <v>True</v>
      </c>
      <c r="V1694" s="1" t="str">
        <f>"U0028124"</f>
        <v>U0028124</v>
      </c>
      <c r="W1694" s="1">
        <v>1</v>
      </c>
      <c r="Y1694" s="1">
        <v>0</v>
      </c>
      <c r="Z1694" s="1">
        <v>0</v>
      </c>
      <c r="AB1694" s="1" t="str">
        <f t="shared" si="1085"/>
        <v>SMU</v>
      </c>
      <c r="AI1694" s="1" t="str">
        <f>"106"</f>
        <v>106</v>
      </c>
      <c r="AJ1694" s="1" t="str">
        <f t="shared" si="1104"/>
        <v>MAN</v>
      </c>
      <c r="AK1694" s="1" t="str">
        <f t="shared" si="1097"/>
        <v>PA</v>
      </c>
      <c r="AP1694" s="1" t="str">
        <f t="shared" si="1098"/>
        <v>False</v>
      </c>
      <c r="AR1694" s="1" t="str">
        <f t="shared" si="1105"/>
        <v>GALAN</v>
      </c>
      <c r="AY1694" s="1" t="str">
        <f t="shared" si="1099"/>
        <v>PF</v>
      </c>
      <c r="AZ1694" s="1">
        <v>0</v>
      </c>
      <c r="BA1694" s="1">
        <v>0</v>
      </c>
      <c r="BB1694" s="1">
        <v>0</v>
      </c>
      <c r="BC1694" s="1">
        <v>0</v>
      </c>
      <c r="BD1694" s="1">
        <v>0</v>
      </c>
      <c r="BE1694" s="1" t="str">
        <f t="shared" si="1106"/>
        <v>LAN+TWILL CANVAS + SIN.LEATHER</v>
      </c>
      <c r="BF1694" s="1" t="str">
        <f t="shared" si="1100"/>
        <v>Bonis SpA</v>
      </c>
    </row>
    <row r="1695" spans="2:58" x14ac:dyDescent="0.25">
      <c r="B1695" s="1">
        <v>2545</v>
      </c>
      <c r="C1695" s="1" t="str">
        <f t="shared" si="1108"/>
        <v>GALAN4183S7/CY1</v>
      </c>
      <c r="E1695" s="1" t="str">
        <f>"43"</f>
        <v>43</v>
      </c>
      <c r="F1695" s="1" t="str">
        <f t="shared" si="1089"/>
        <v>BONIS SPA</v>
      </c>
      <c r="G1695" s="1" t="str">
        <f t="shared" si="1079"/>
        <v>STOCK SCAFFALE MP</v>
      </c>
      <c r="H1695" s="1" t="str">
        <f t="shared" si="1107"/>
        <v>WHI</v>
      </c>
      <c r="K1695" s="1">
        <v>1</v>
      </c>
      <c r="L1695" s="1" t="str">
        <f t="shared" si="1090"/>
        <v>01</v>
      </c>
      <c r="M1695" s="1" t="str">
        <f t="shared" si="1084"/>
        <v>409</v>
      </c>
      <c r="N1695" s="1" t="str">
        <f t="shared" si="1103"/>
        <v>009</v>
      </c>
      <c r="O1695" s="1" t="str">
        <f t="shared" si="1091"/>
        <v>00</v>
      </c>
      <c r="P1695" s="1" t="str">
        <f t="shared" si="1092"/>
        <v>S</v>
      </c>
      <c r="Q1695" s="1" t="str">
        <f t="shared" si="1093"/>
        <v>P</v>
      </c>
      <c r="R1695" s="1" t="str">
        <f t="shared" si="1094"/>
        <v>01</v>
      </c>
      <c r="S1695" s="1" t="str">
        <f t="shared" si="1080"/>
        <v>04</v>
      </c>
      <c r="T1695" s="1" t="str">
        <f t="shared" si="1095"/>
        <v>False</v>
      </c>
      <c r="U1695" s="1" t="str">
        <f t="shared" si="1096"/>
        <v>True</v>
      </c>
      <c r="V1695" s="1" t="str">
        <f>"U0028132"</f>
        <v>U0028132</v>
      </c>
      <c r="W1695" s="1">
        <v>1</v>
      </c>
      <c r="Y1695" s="1">
        <v>0</v>
      </c>
      <c r="Z1695" s="1">
        <v>0</v>
      </c>
      <c r="AB1695" s="1" t="str">
        <f t="shared" si="1085"/>
        <v>SMU</v>
      </c>
      <c r="AI1695" s="1" t="str">
        <f>"F11"</f>
        <v>F11</v>
      </c>
      <c r="AJ1695" s="1" t="str">
        <f t="shared" si="1104"/>
        <v>MAN</v>
      </c>
      <c r="AK1695" s="1" t="str">
        <f t="shared" si="1097"/>
        <v>PA</v>
      </c>
      <c r="AP1695" s="1" t="str">
        <f t="shared" si="1098"/>
        <v>False</v>
      </c>
      <c r="AR1695" s="1" t="str">
        <f t="shared" si="1105"/>
        <v>GALAN</v>
      </c>
      <c r="AY1695" s="1" t="str">
        <f t="shared" si="1099"/>
        <v>PF</v>
      </c>
      <c r="AZ1695" s="1">
        <v>0</v>
      </c>
      <c r="BA1695" s="1">
        <v>0</v>
      </c>
      <c r="BB1695" s="1">
        <v>0</v>
      </c>
      <c r="BC1695" s="1">
        <v>0</v>
      </c>
      <c r="BD1695" s="1">
        <v>0</v>
      </c>
      <c r="BE1695" s="1" t="str">
        <f t="shared" si="1106"/>
        <v>LAN+TWILL CANVAS + SIN.LEATHER</v>
      </c>
      <c r="BF1695" s="1" t="str">
        <f t="shared" si="1100"/>
        <v>Bonis SpA</v>
      </c>
    </row>
    <row r="1696" spans="2:58" x14ac:dyDescent="0.25">
      <c r="B1696" s="1">
        <v>2545</v>
      </c>
      <c r="C1696" s="1" t="str">
        <f t="shared" si="1108"/>
        <v>GALAN4183S7/CY1</v>
      </c>
      <c r="E1696" s="1" t="str">
        <f>"40"</f>
        <v>40</v>
      </c>
      <c r="F1696" s="1" t="str">
        <f t="shared" si="1089"/>
        <v>BONIS SPA</v>
      </c>
      <c r="G1696" s="1" t="str">
        <f t="shared" si="1079"/>
        <v>STOCK SCAFFALE MP</v>
      </c>
      <c r="H1696" s="1" t="str">
        <f t="shared" si="1107"/>
        <v>WHI</v>
      </c>
      <c r="K1696" s="1">
        <v>3</v>
      </c>
      <c r="L1696" s="1" t="str">
        <f t="shared" si="1090"/>
        <v>01</v>
      </c>
      <c r="M1696" s="1" t="str">
        <f t="shared" si="1084"/>
        <v>409</v>
      </c>
      <c r="N1696" s="1" t="str">
        <f t="shared" si="1103"/>
        <v>009</v>
      </c>
      <c r="O1696" s="1" t="str">
        <f t="shared" si="1091"/>
        <v>00</v>
      </c>
      <c r="P1696" s="1" t="str">
        <f t="shared" si="1092"/>
        <v>S</v>
      </c>
      <c r="Q1696" s="1" t="str">
        <f t="shared" si="1093"/>
        <v>P</v>
      </c>
      <c r="R1696" s="1" t="str">
        <f t="shared" si="1094"/>
        <v>01</v>
      </c>
      <c r="S1696" s="1" t="str">
        <f t="shared" si="1080"/>
        <v>04</v>
      </c>
      <c r="T1696" s="1" t="str">
        <f t="shared" si="1095"/>
        <v>False</v>
      </c>
      <c r="U1696" s="1" t="str">
        <f t="shared" si="1096"/>
        <v>True</v>
      </c>
      <c r="V1696" s="1" t="str">
        <f>"U0028133"</f>
        <v>U0028133</v>
      </c>
      <c r="W1696" s="1">
        <v>1</v>
      </c>
      <c r="Y1696" s="1">
        <v>0</v>
      </c>
      <c r="Z1696" s="1">
        <v>0</v>
      </c>
      <c r="AB1696" s="1" t="str">
        <f t="shared" si="1085"/>
        <v>SMU</v>
      </c>
      <c r="AI1696" s="1" t="str">
        <f>"F11"</f>
        <v>F11</v>
      </c>
      <c r="AJ1696" s="1" t="str">
        <f t="shared" si="1104"/>
        <v>MAN</v>
      </c>
      <c r="AK1696" s="1" t="str">
        <f t="shared" si="1097"/>
        <v>PA</v>
      </c>
      <c r="AP1696" s="1" t="str">
        <f t="shared" si="1098"/>
        <v>False</v>
      </c>
      <c r="AR1696" s="1" t="str">
        <f t="shared" si="1105"/>
        <v>GALAN</v>
      </c>
      <c r="AY1696" s="1" t="str">
        <f t="shared" si="1099"/>
        <v>PF</v>
      </c>
      <c r="AZ1696" s="1">
        <v>0</v>
      </c>
      <c r="BA1696" s="1">
        <v>0</v>
      </c>
      <c r="BB1696" s="1">
        <v>0</v>
      </c>
      <c r="BC1696" s="1">
        <v>0</v>
      </c>
      <c r="BD1696" s="1">
        <v>0</v>
      </c>
      <c r="BE1696" s="1" t="str">
        <f t="shared" si="1106"/>
        <v>LAN+TWILL CANVAS + SIN.LEATHER</v>
      </c>
      <c r="BF1696" s="1" t="str">
        <f t="shared" si="1100"/>
        <v>Bonis SpA</v>
      </c>
    </row>
    <row r="1697" spans="2:58" x14ac:dyDescent="0.25">
      <c r="B1697" s="1">
        <v>2545</v>
      </c>
      <c r="C1697" s="1" t="str">
        <f t="shared" si="1108"/>
        <v>GALAN4183S7/CY1</v>
      </c>
      <c r="E1697" s="1" t="str">
        <f>"41"</f>
        <v>41</v>
      </c>
      <c r="F1697" s="1" t="str">
        <f t="shared" si="1089"/>
        <v>BONIS SPA</v>
      </c>
      <c r="G1697" s="1" t="str">
        <f t="shared" si="1079"/>
        <v>STOCK SCAFFALE MP</v>
      </c>
      <c r="H1697" s="1" t="str">
        <f t="shared" si="1107"/>
        <v>WHI</v>
      </c>
      <c r="K1697" s="1">
        <v>4</v>
      </c>
      <c r="L1697" s="1" t="str">
        <f t="shared" si="1090"/>
        <v>01</v>
      </c>
      <c r="M1697" s="1" t="str">
        <f t="shared" si="1084"/>
        <v>409</v>
      </c>
      <c r="N1697" s="1" t="str">
        <f t="shared" si="1103"/>
        <v>009</v>
      </c>
      <c r="O1697" s="1" t="str">
        <f t="shared" si="1091"/>
        <v>00</v>
      </c>
      <c r="P1697" s="1" t="str">
        <f t="shared" si="1092"/>
        <v>S</v>
      </c>
      <c r="Q1697" s="1" t="str">
        <f t="shared" si="1093"/>
        <v>P</v>
      </c>
      <c r="R1697" s="1" t="str">
        <f t="shared" si="1094"/>
        <v>01</v>
      </c>
      <c r="S1697" s="1" t="str">
        <f t="shared" si="1080"/>
        <v>04</v>
      </c>
      <c r="T1697" s="1" t="str">
        <f t="shared" si="1095"/>
        <v>False</v>
      </c>
      <c r="U1697" s="1" t="str">
        <f t="shared" si="1096"/>
        <v>True</v>
      </c>
      <c r="V1697" s="1" t="str">
        <f>"U0028133"</f>
        <v>U0028133</v>
      </c>
      <c r="W1697" s="1">
        <v>1</v>
      </c>
      <c r="Y1697" s="1">
        <v>0</v>
      </c>
      <c r="Z1697" s="1">
        <v>0</v>
      </c>
      <c r="AB1697" s="1" t="str">
        <f t="shared" si="1085"/>
        <v>SMU</v>
      </c>
      <c r="AI1697" s="1" t="str">
        <f>"F11"</f>
        <v>F11</v>
      </c>
      <c r="AJ1697" s="1" t="str">
        <f t="shared" si="1104"/>
        <v>MAN</v>
      </c>
      <c r="AK1697" s="1" t="str">
        <f t="shared" si="1097"/>
        <v>PA</v>
      </c>
      <c r="AP1697" s="1" t="str">
        <f t="shared" si="1098"/>
        <v>False</v>
      </c>
      <c r="AR1697" s="1" t="str">
        <f t="shared" si="1105"/>
        <v>GALAN</v>
      </c>
      <c r="AY1697" s="1" t="str">
        <f t="shared" si="1099"/>
        <v>PF</v>
      </c>
      <c r="AZ1697" s="1">
        <v>0</v>
      </c>
      <c r="BA1697" s="1">
        <v>0</v>
      </c>
      <c r="BB1697" s="1">
        <v>0</v>
      </c>
      <c r="BC1697" s="1">
        <v>0</v>
      </c>
      <c r="BD1697" s="1">
        <v>0</v>
      </c>
      <c r="BE1697" s="1" t="str">
        <f t="shared" si="1106"/>
        <v>LAN+TWILL CANVAS + SIN.LEATHER</v>
      </c>
      <c r="BF1697" s="1" t="str">
        <f t="shared" si="1100"/>
        <v>Bonis SpA</v>
      </c>
    </row>
    <row r="1698" spans="2:58" x14ac:dyDescent="0.25">
      <c r="B1698" s="1">
        <v>2545</v>
      </c>
      <c r="C1698" s="1" t="str">
        <f t="shared" si="1108"/>
        <v>GALAN4183S7/CY1</v>
      </c>
      <c r="E1698" s="1" t="str">
        <f>"42"</f>
        <v>42</v>
      </c>
      <c r="F1698" s="1" t="str">
        <f t="shared" si="1089"/>
        <v>BONIS SPA</v>
      </c>
      <c r="G1698" s="1" t="str">
        <f t="shared" si="1079"/>
        <v>STOCK SCAFFALE MP</v>
      </c>
      <c r="H1698" s="1" t="str">
        <f>"BEI"</f>
        <v>BEI</v>
      </c>
      <c r="K1698" s="1">
        <v>3</v>
      </c>
      <c r="L1698" s="1" t="str">
        <f t="shared" si="1090"/>
        <v>01</v>
      </c>
      <c r="M1698" s="1" t="str">
        <f t="shared" si="1084"/>
        <v>409</v>
      </c>
      <c r="N1698" s="1" t="str">
        <f t="shared" si="1103"/>
        <v>009</v>
      </c>
      <c r="O1698" s="1" t="str">
        <f t="shared" si="1091"/>
        <v>00</v>
      </c>
      <c r="P1698" s="1" t="str">
        <f t="shared" si="1092"/>
        <v>S</v>
      </c>
      <c r="Q1698" s="1" t="str">
        <f t="shared" si="1093"/>
        <v>P</v>
      </c>
      <c r="R1698" s="1" t="str">
        <f t="shared" si="1094"/>
        <v>01</v>
      </c>
      <c r="S1698" s="1" t="str">
        <f t="shared" si="1080"/>
        <v>04</v>
      </c>
      <c r="T1698" s="1" t="str">
        <f t="shared" si="1095"/>
        <v>False</v>
      </c>
      <c r="U1698" s="1" t="str">
        <f t="shared" si="1096"/>
        <v>True</v>
      </c>
      <c r="V1698" s="1" t="str">
        <f>"U0032610"</f>
        <v>U0032610</v>
      </c>
      <c r="W1698" s="1">
        <v>1</v>
      </c>
      <c r="Y1698" s="1">
        <v>0</v>
      </c>
      <c r="Z1698" s="1">
        <v>0</v>
      </c>
      <c r="AB1698" s="1" t="str">
        <f t="shared" si="1085"/>
        <v>SMU</v>
      </c>
      <c r="AI1698" s="1" t="str">
        <f t="shared" ref="AI1698:AI1704" si="1109">"106"</f>
        <v>106</v>
      </c>
      <c r="AJ1698" s="1" t="str">
        <f t="shared" si="1104"/>
        <v>MAN</v>
      </c>
      <c r="AK1698" s="1" t="str">
        <f t="shared" si="1097"/>
        <v>PA</v>
      </c>
      <c r="AP1698" s="1" t="str">
        <f t="shared" si="1098"/>
        <v>False</v>
      </c>
      <c r="AR1698" s="1" t="str">
        <f t="shared" si="1105"/>
        <v>GALAN</v>
      </c>
      <c r="AY1698" s="1" t="str">
        <f t="shared" si="1099"/>
        <v>PF</v>
      </c>
      <c r="AZ1698" s="1">
        <v>0</v>
      </c>
      <c r="BA1698" s="1">
        <v>0</v>
      </c>
      <c r="BB1698" s="1">
        <v>0</v>
      </c>
      <c r="BC1698" s="1">
        <v>0</v>
      </c>
      <c r="BD1698" s="1">
        <v>0</v>
      </c>
      <c r="BE1698" s="1" t="str">
        <f t="shared" si="1106"/>
        <v>LAN+TWILL CANVAS + SIN.LEATHER</v>
      </c>
      <c r="BF1698" s="1" t="str">
        <f t="shared" si="1100"/>
        <v>Bonis SpA</v>
      </c>
    </row>
    <row r="1699" spans="2:58" x14ac:dyDescent="0.25">
      <c r="B1699" s="1">
        <v>2545</v>
      </c>
      <c r="C1699" s="1" t="str">
        <f t="shared" si="1108"/>
        <v>GALAN4183S7/CY1</v>
      </c>
      <c r="E1699" s="1" t="str">
        <f>"42"</f>
        <v>42</v>
      </c>
      <c r="F1699" s="1" t="str">
        <f t="shared" si="1089"/>
        <v>BONIS SPA</v>
      </c>
      <c r="G1699" s="1" t="str">
        <f t="shared" si="1079"/>
        <v>STOCK SCAFFALE MP</v>
      </c>
      <c r="H1699" s="1" t="str">
        <f>"BEI"</f>
        <v>BEI</v>
      </c>
      <c r="K1699" s="1">
        <v>1</v>
      </c>
      <c r="L1699" s="1" t="str">
        <f t="shared" si="1090"/>
        <v>01</v>
      </c>
      <c r="M1699" s="1" t="str">
        <f t="shared" si="1084"/>
        <v>409</v>
      </c>
      <c r="N1699" s="1" t="str">
        <f t="shared" si="1103"/>
        <v>009</v>
      </c>
      <c r="O1699" s="1" t="str">
        <f t="shared" si="1091"/>
        <v>00</v>
      </c>
      <c r="P1699" s="1" t="str">
        <f t="shared" si="1092"/>
        <v>S</v>
      </c>
      <c r="Q1699" s="1" t="str">
        <f t="shared" si="1093"/>
        <v>P</v>
      </c>
      <c r="R1699" s="1" t="str">
        <f t="shared" si="1094"/>
        <v>01</v>
      </c>
      <c r="S1699" s="1" t="str">
        <f t="shared" si="1080"/>
        <v>04</v>
      </c>
      <c r="T1699" s="1" t="str">
        <f t="shared" si="1095"/>
        <v>False</v>
      </c>
      <c r="U1699" s="1" t="str">
        <f t="shared" si="1096"/>
        <v>True</v>
      </c>
      <c r="V1699" s="1" t="str">
        <f>"U0028133"</f>
        <v>U0028133</v>
      </c>
      <c r="W1699" s="1">
        <v>1</v>
      </c>
      <c r="Y1699" s="1">
        <v>0</v>
      </c>
      <c r="Z1699" s="1">
        <v>0</v>
      </c>
      <c r="AB1699" s="1" t="str">
        <f t="shared" si="1085"/>
        <v>SMU</v>
      </c>
      <c r="AI1699" s="1" t="str">
        <f t="shared" si="1109"/>
        <v>106</v>
      </c>
      <c r="AJ1699" s="1" t="str">
        <f t="shared" si="1104"/>
        <v>MAN</v>
      </c>
      <c r="AK1699" s="1" t="str">
        <f t="shared" si="1097"/>
        <v>PA</v>
      </c>
      <c r="AP1699" s="1" t="str">
        <f t="shared" si="1098"/>
        <v>False</v>
      </c>
      <c r="AR1699" s="1" t="str">
        <f t="shared" si="1105"/>
        <v>GALAN</v>
      </c>
      <c r="AY1699" s="1" t="str">
        <f t="shared" si="1099"/>
        <v>PF</v>
      </c>
      <c r="AZ1699" s="1">
        <v>0</v>
      </c>
      <c r="BA1699" s="1">
        <v>0</v>
      </c>
      <c r="BB1699" s="1">
        <v>0</v>
      </c>
      <c r="BC1699" s="1">
        <v>0</v>
      </c>
      <c r="BD1699" s="1">
        <v>0</v>
      </c>
      <c r="BE1699" s="1" t="str">
        <f t="shared" si="1106"/>
        <v>LAN+TWILL CANVAS + SIN.LEATHER</v>
      </c>
      <c r="BF1699" s="1" t="str">
        <f t="shared" si="1100"/>
        <v>Bonis SpA</v>
      </c>
    </row>
    <row r="1700" spans="2:58" x14ac:dyDescent="0.25">
      <c r="B1700" s="1">
        <v>2545</v>
      </c>
      <c r="C1700" s="1" t="str">
        <f t="shared" si="1108"/>
        <v>GALAN4183S7/CY1</v>
      </c>
      <c r="E1700" s="1" t="str">
        <f>"41"</f>
        <v>41</v>
      </c>
      <c r="F1700" s="1" t="str">
        <f t="shared" si="1089"/>
        <v>BONIS SPA</v>
      </c>
      <c r="G1700" s="1" t="str">
        <f t="shared" si="1079"/>
        <v>STOCK SCAFFALE MP</v>
      </c>
      <c r="H1700" s="1" t="str">
        <f>"BEI"</f>
        <v>BEI</v>
      </c>
      <c r="K1700" s="1">
        <v>1</v>
      </c>
      <c r="L1700" s="1" t="str">
        <f t="shared" si="1090"/>
        <v>01</v>
      </c>
      <c r="M1700" s="1" t="str">
        <f t="shared" si="1084"/>
        <v>409</v>
      </c>
      <c r="N1700" s="1" t="str">
        <f t="shared" si="1103"/>
        <v>009</v>
      </c>
      <c r="O1700" s="1" t="str">
        <f t="shared" si="1091"/>
        <v>00</v>
      </c>
      <c r="P1700" s="1" t="str">
        <f t="shared" si="1092"/>
        <v>S</v>
      </c>
      <c r="Q1700" s="1" t="str">
        <f t="shared" si="1093"/>
        <v>P</v>
      </c>
      <c r="R1700" s="1" t="str">
        <f t="shared" si="1094"/>
        <v>01</v>
      </c>
      <c r="S1700" s="1" t="str">
        <f t="shared" si="1080"/>
        <v>04</v>
      </c>
      <c r="T1700" s="1" t="str">
        <f t="shared" si="1095"/>
        <v>False</v>
      </c>
      <c r="U1700" s="1" t="str">
        <f t="shared" si="1096"/>
        <v>True</v>
      </c>
      <c r="V1700" s="1" t="str">
        <f>"U0028133"</f>
        <v>U0028133</v>
      </c>
      <c r="W1700" s="1">
        <v>1</v>
      </c>
      <c r="Y1700" s="1">
        <v>0</v>
      </c>
      <c r="Z1700" s="1">
        <v>0</v>
      </c>
      <c r="AB1700" s="1" t="str">
        <f t="shared" si="1085"/>
        <v>SMU</v>
      </c>
      <c r="AI1700" s="1" t="str">
        <f t="shared" si="1109"/>
        <v>106</v>
      </c>
      <c r="AJ1700" s="1" t="str">
        <f t="shared" si="1104"/>
        <v>MAN</v>
      </c>
      <c r="AK1700" s="1" t="str">
        <f t="shared" si="1097"/>
        <v>PA</v>
      </c>
      <c r="AP1700" s="1" t="str">
        <f t="shared" si="1098"/>
        <v>False</v>
      </c>
      <c r="AR1700" s="1" t="str">
        <f t="shared" si="1105"/>
        <v>GALAN</v>
      </c>
      <c r="AY1700" s="1" t="str">
        <f t="shared" si="1099"/>
        <v>PF</v>
      </c>
      <c r="AZ1700" s="1">
        <v>0</v>
      </c>
      <c r="BA1700" s="1">
        <v>0</v>
      </c>
      <c r="BB1700" s="1">
        <v>0</v>
      </c>
      <c r="BC1700" s="1">
        <v>0</v>
      </c>
      <c r="BD1700" s="1">
        <v>0</v>
      </c>
      <c r="BE1700" s="1" t="str">
        <f t="shared" si="1106"/>
        <v>LAN+TWILL CANVAS + SIN.LEATHER</v>
      </c>
      <c r="BF1700" s="1" t="str">
        <f t="shared" si="1100"/>
        <v>Bonis SpA</v>
      </c>
    </row>
    <row r="1701" spans="2:58" x14ac:dyDescent="0.25">
      <c r="B1701" s="1">
        <v>2545</v>
      </c>
      <c r="C1701" s="1" t="str">
        <f t="shared" si="1108"/>
        <v>GALAN4183S7/CY1</v>
      </c>
      <c r="E1701" s="1" t="str">
        <f>"41"</f>
        <v>41</v>
      </c>
      <c r="F1701" s="1" t="str">
        <f t="shared" si="1089"/>
        <v>BONIS SPA</v>
      </c>
      <c r="G1701" s="1" t="str">
        <f t="shared" si="1079"/>
        <v>STOCK SCAFFALE MP</v>
      </c>
      <c r="H1701" s="1" t="str">
        <f>"BEI"</f>
        <v>BEI</v>
      </c>
      <c r="K1701" s="1">
        <v>2</v>
      </c>
      <c r="L1701" s="1" t="str">
        <f t="shared" si="1090"/>
        <v>01</v>
      </c>
      <c r="M1701" s="1" t="str">
        <f t="shared" si="1084"/>
        <v>409</v>
      </c>
      <c r="N1701" s="1" t="str">
        <f t="shared" si="1103"/>
        <v>009</v>
      </c>
      <c r="O1701" s="1" t="str">
        <f t="shared" si="1091"/>
        <v>00</v>
      </c>
      <c r="P1701" s="1" t="str">
        <f t="shared" si="1092"/>
        <v>S</v>
      </c>
      <c r="Q1701" s="1" t="str">
        <f t="shared" si="1093"/>
        <v>P</v>
      </c>
      <c r="R1701" s="1" t="str">
        <f t="shared" si="1094"/>
        <v>01</v>
      </c>
      <c r="S1701" s="1" t="str">
        <f t="shared" si="1080"/>
        <v>04</v>
      </c>
      <c r="T1701" s="1" t="str">
        <f t="shared" si="1095"/>
        <v>False</v>
      </c>
      <c r="U1701" s="1" t="str">
        <f t="shared" si="1096"/>
        <v>True</v>
      </c>
      <c r="V1701" s="1" t="str">
        <f>"U0023562"</f>
        <v>U0023562</v>
      </c>
      <c r="W1701" s="1">
        <v>1</v>
      </c>
      <c r="Y1701" s="1">
        <v>0</v>
      </c>
      <c r="Z1701" s="1">
        <v>0</v>
      </c>
      <c r="AB1701" s="1" t="str">
        <f t="shared" si="1085"/>
        <v>SMU</v>
      </c>
      <c r="AI1701" s="1" t="str">
        <f t="shared" si="1109"/>
        <v>106</v>
      </c>
      <c r="AJ1701" s="1" t="str">
        <f t="shared" si="1104"/>
        <v>MAN</v>
      </c>
      <c r="AK1701" s="1" t="str">
        <f t="shared" si="1097"/>
        <v>PA</v>
      </c>
      <c r="AP1701" s="1" t="str">
        <f t="shared" si="1098"/>
        <v>False</v>
      </c>
      <c r="AR1701" s="1" t="str">
        <f t="shared" si="1105"/>
        <v>GALAN</v>
      </c>
      <c r="AY1701" s="1" t="str">
        <f t="shared" si="1099"/>
        <v>PF</v>
      </c>
      <c r="AZ1701" s="1">
        <v>0</v>
      </c>
      <c r="BA1701" s="1">
        <v>0</v>
      </c>
      <c r="BB1701" s="1">
        <v>0</v>
      </c>
      <c r="BC1701" s="1">
        <v>0</v>
      </c>
      <c r="BD1701" s="1">
        <v>0</v>
      </c>
      <c r="BE1701" s="1" t="str">
        <f t="shared" si="1106"/>
        <v>LAN+TWILL CANVAS + SIN.LEATHER</v>
      </c>
      <c r="BF1701" s="1" t="str">
        <f t="shared" si="1100"/>
        <v>Bonis SpA</v>
      </c>
    </row>
    <row r="1702" spans="2:58" x14ac:dyDescent="0.25">
      <c r="B1702" s="1">
        <v>2545</v>
      </c>
      <c r="C1702" s="1" t="str">
        <f t="shared" si="1108"/>
        <v>GALAN4183S7/CY1</v>
      </c>
      <c r="E1702" s="1" t="str">
        <f>"41"</f>
        <v>41</v>
      </c>
      <c r="F1702" s="1" t="str">
        <f t="shared" si="1089"/>
        <v>BONIS SPA</v>
      </c>
      <c r="G1702" s="1" t="str">
        <f t="shared" si="1079"/>
        <v>STOCK SCAFFALE MP</v>
      </c>
      <c r="H1702" s="1" t="str">
        <f>"BEI"</f>
        <v>BEI</v>
      </c>
      <c r="K1702" s="1">
        <v>2</v>
      </c>
      <c r="L1702" s="1" t="str">
        <f t="shared" si="1090"/>
        <v>01</v>
      </c>
      <c r="M1702" s="1" t="str">
        <f t="shared" si="1084"/>
        <v>409</v>
      </c>
      <c r="N1702" s="1" t="str">
        <f t="shared" si="1103"/>
        <v>009</v>
      </c>
      <c r="O1702" s="1" t="str">
        <f t="shared" si="1091"/>
        <v>00</v>
      </c>
      <c r="P1702" s="1" t="str">
        <f t="shared" si="1092"/>
        <v>S</v>
      </c>
      <c r="Q1702" s="1" t="str">
        <f t="shared" si="1093"/>
        <v>P</v>
      </c>
      <c r="R1702" s="1" t="str">
        <f t="shared" si="1094"/>
        <v>01</v>
      </c>
      <c r="S1702" s="1" t="str">
        <f t="shared" si="1080"/>
        <v>04</v>
      </c>
      <c r="T1702" s="1" t="str">
        <f t="shared" si="1095"/>
        <v>False</v>
      </c>
      <c r="U1702" s="1" t="str">
        <f t="shared" si="1096"/>
        <v>True</v>
      </c>
      <c r="V1702" s="1" t="str">
        <f>"U0027752"</f>
        <v>U0027752</v>
      </c>
      <c r="W1702" s="1">
        <v>1</v>
      </c>
      <c r="Y1702" s="1">
        <v>0</v>
      </c>
      <c r="Z1702" s="1">
        <v>0</v>
      </c>
      <c r="AB1702" s="1" t="str">
        <f t="shared" si="1085"/>
        <v>SMU</v>
      </c>
      <c r="AI1702" s="1" t="str">
        <f t="shared" si="1109"/>
        <v>106</v>
      </c>
      <c r="AJ1702" s="1" t="str">
        <f t="shared" si="1104"/>
        <v>MAN</v>
      </c>
      <c r="AK1702" s="1" t="str">
        <f t="shared" si="1097"/>
        <v>PA</v>
      </c>
      <c r="AP1702" s="1" t="str">
        <f t="shared" si="1098"/>
        <v>False</v>
      </c>
      <c r="AR1702" s="1" t="str">
        <f t="shared" si="1105"/>
        <v>GALAN</v>
      </c>
      <c r="AY1702" s="1" t="str">
        <f t="shared" si="1099"/>
        <v>PF</v>
      </c>
      <c r="AZ1702" s="1">
        <v>0</v>
      </c>
      <c r="BA1702" s="1">
        <v>0</v>
      </c>
      <c r="BB1702" s="1">
        <v>0</v>
      </c>
      <c r="BC1702" s="1">
        <v>0</v>
      </c>
      <c r="BD1702" s="1">
        <v>0</v>
      </c>
      <c r="BE1702" s="1" t="str">
        <f t="shared" si="1106"/>
        <v>LAN+TWILL CANVAS + SIN.LEATHER</v>
      </c>
      <c r="BF1702" s="1" t="str">
        <f t="shared" si="1100"/>
        <v>Bonis SpA</v>
      </c>
    </row>
    <row r="1703" spans="2:58" x14ac:dyDescent="0.25">
      <c r="B1703" s="1">
        <v>2545</v>
      </c>
      <c r="C1703" s="1" t="str">
        <f t="shared" si="1108"/>
        <v>GALAN4183S7/CY1</v>
      </c>
      <c r="E1703" s="1" t="str">
        <f>"41"</f>
        <v>41</v>
      </c>
      <c r="F1703" s="1" t="str">
        <f t="shared" si="1089"/>
        <v>BONIS SPA</v>
      </c>
      <c r="G1703" s="1" t="str">
        <f t="shared" si="1079"/>
        <v>STOCK SCAFFALE MP</v>
      </c>
      <c r="H1703" s="1" t="str">
        <f t="shared" ref="H1703:H1712" si="1110">"BLK"</f>
        <v>BLK</v>
      </c>
      <c r="K1703" s="1">
        <v>5</v>
      </c>
      <c r="L1703" s="1" t="str">
        <f t="shared" si="1090"/>
        <v>01</v>
      </c>
      <c r="M1703" s="1" t="str">
        <f t="shared" si="1084"/>
        <v>409</v>
      </c>
      <c r="N1703" s="1" t="str">
        <f t="shared" si="1103"/>
        <v>009</v>
      </c>
      <c r="O1703" s="1" t="str">
        <f t="shared" si="1091"/>
        <v>00</v>
      </c>
      <c r="P1703" s="1" t="str">
        <f t="shared" si="1092"/>
        <v>S</v>
      </c>
      <c r="Q1703" s="1" t="str">
        <f t="shared" si="1093"/>
        <v>P</v>
      </c>
      <c r="R1703" s="1" t="str">
        <f t="shared" si="1094"/>
        <v>01</v>
      </c>
      <c r="S1703" s="1" t="str">
        <f t="shared" si="1080"/>
        <v>04</v>
      </c>
      <c r="T1703" s="1" t="str">
        <f t="shared" si="1095"/>
        <v>False</v>
      </c>
      <c r="U1703" s="1" t="str">
        <f t="shared" si="1096"/>
        <v>True</v>
      </c>
      <c r="V1703" s="1" t="str">
        <f>"U0028138"</f>
        <v>U0028138</v>
      </c>
      <c r="W1703" s="1">
        <v>1</v>
      </c>
      <c r="Y1703" s="1">
        <v>0</v>
      </c>
      <c r="Z1703" s="1">
        <v>0</v>
      </c>
      <c r="AB1703" s="1" t="str">
        <f t="shared" si="1085"/>
        <v>SMU</v>
      </c>
      <c r="AI1703" s="1" t="str">
        <f t="shared" si="1109"/>
        <v>106</v>
      </c>
      <c r="AJ1703" s="1" t="str">
        <f t="shared" si="1104"/>
        <v>MAN</v>
      </c>
      <c r="AK1703" s="1" t="str">
        <f t="shared" si="1097"/>
        <v>PA</v>
      </c>
      <c r="AP1703" s="1" t="str">
        <f t="shared" si="1098"/>
        <v>False</v>
      </c>
      <c r="AR1703" s="1" t="str">
        <f t="shared" si="1105"/>
        <v>GALAN</v>
      </c>
      <c r="AY1703" s="1" t="str">
        <f t="shared" si="1099"/>
        <v>PF</v>
      </c>
      <c r="AZ1703" s="1">
        <v>0</v>
      </c>
      <c r="BA1703" s="1">
        <v>0</v>
      </c>
      <c r="BB1703" s="1">
        <v>0</v>
      </c>
      <c r="BC1703" s="1">
        <v>0</v>
      </c>
      <c r="BD1703" s="1">
        <v>0</v>
      </c>
      <c r="BE1703" s="1" t="str">
        <f t="shared" si="1106"/>
        <v>LAN+TWILL CANVAS + SIN.LEATHER</v>
      </c>
      <c r="BF1703" s="1" t="str">
        <f t="shared" si="1100"/>
        <v>Bonis SpA</v>
      </c>
    </row>
    <row r="1704" spans="2:58" x14ac:dyDescent="0.25">
      <c r="B1704" s="1">
        <v>2545</v>
      </c>
      <c r="C1704" s="1" t="str">
        <f t="shared" si="1108"/>
        <v>GALAN4183S7/CY1</v>
      </c>
      <c r="E1704" s="1" t="str">
        <f>"41"</f>
        <v>41</v>
      </c>
      <c r="F1704" s="1" t="str">
        <f t="shared" si="1089"/>
        <v>BONIS SPA</v>
      </c>
      <c r="G1704" s="1" t="str">
        <f t="shared" si="1079"/>
        <v>STOCK SCAFFALE MP</v>
      </c>
      <c r="H1704" s="1" t="str">
        <f t="shared" si="1110"/>
        <v>BLK</v>
      </c>
      <c r="K1704" s="1">
        <v>3</v>
      </c>
      <c r="L1704" s="1" t="str">
        <f t="shared" si="1090"/>
        <v>01</v>
      </c>
      <c r="M1704" s="1" t="str">
        <f t="shared" si="1084"/>
        <v>409</v>
      </c>
      <c r="N1704" s="1" t="str">
        <f t="shared" si="1103"/>
        <v>009</v>
      </c>
      <c r="O1704" s="1" t="str">
        <f t="shared" si="1091"/>
        <v>00</v>
      </c>
      <c r="P1704" s="1" t="str">
        <f t="shared" si="1092"/>
        <v>S</v>
      </c>
      <c r="Q1704" s="1" t="str">
        <f t="shared" si="1093"/>
        <v>P</v>
      </c>
      <c r="R1704" s="1" t="str">
        <f t="shared" si="1094"/>
        <v>01</v>
      </c>
      <c r="S1704" s="1" t="str">
        <f t="shared" si="1080"/>
        <v>04</v>
      </c>
      <c r="T1704" s="1" t="str">
        <f t="shared" si="1095"/>
        <v>False</v>
      </c>
      <c r="U1704" s="1" t="str">
        <f t="shared" si="1096"/>
        <v>True</v>
      </c>
      <c r="V1704" s="1" t="str">
        <f>"U0028124"</f>
        <v>U0028124</v>
      </c>
      <c r="W1704" s="1">
        <v>1</v>
      </c>
      <c r="Y1704" s="1">
        <v>0</v>
      </c>
      <c r="Z1704" s="1">
        <v>0</v>
      </c>
      <c r="AB1704" s="1" t="str">
        <f t="shared" si="1085"/>
        <v>SMU</v>
      </c>
      <c r="AI1704" s="1" t="str">
        <f t="shared" si="1109"/>
        <v>106</v>
      </c>
      <c r="AJ1704" s="1" t="str">
        <f t="shared" si="1104"/>
        <v>MAN</v>
      </c>
      <c r="AK1704" s="1" t="str">
        <f t="shared" si="1097"/>
        <v>PA</v>
      </c>
      <c r="AP1704" s="1" t="str">
        <f t="shared" si="1098"/>
        <v>False</v>
      </c>
      <c r="AR1704" s="1" t="str">
        <f t="shared" si="1105"/>
        <v>GALAN</v>
      </c>
      <c r="AY1704" s="1" t="str">
        <f t="shared" si="1099"/>
        <v>PF</v>
      </c>
      <c r="AZ1704" s="1">
        <v>0</v>
      </c>
      <c r="BA1704" s="1">
        <v>0</v>
      </c>
      <c r="BB1704" s="1">
        <v>0</v>
      </c>
      <c r="BC1704" s="1">
        <v>0</v>
      </c>
      <c r="BD1704" s="1">
        <v>0</v>
      </c>
      <c r="BE1704" s="1" t="str">
        <f t="shared" si="1106"/>
        <v>LAN+TWILL CANVAS + SIN.LEATHER</v>
      </c>
      <c r="BF1704" s="1" t="str">
        <f t="shared" si="1100"/>
        <v>Bonis SpA</v>
      </c>
    </row>
    <row r="1705" spans="2:58" x14ac:dyDescent="0.25">
      <c r="B1705" s="1">
        <v>2545</v>
      </c>
      <c r="C1705" s="1" t="str">
        <f t="shared" si="1108"/>
        <v>GALAN4183S7/CY1</v>
      </c>
      <c r="E1705" s="1" t="str">
        <f>"40"</f>
        <v>40</v>
      </c>
      <c r="F1705" s="1" t="str">
        <f t="shared" si="1089"/>
        <v>BONIS SPA</v>
      </c>
      <c r="G1705" s="1" t="str">
        <f t="shared" si="1079"/>
        <v>STOCK SCAFFALE MP</v>
      </c>
      <c r="H1705" s="1" t="str">
        <f t="shared" si="1110"/>
        <v>BLK</v>
      </c>
      <c r="K1705" s="1">
        <v>8</v>
      </c>
      <c r="L1705" s="1" t="str">
        <f t="shared" si="1090"/>
        <v>01</v>
      </c>
      <c r="M1705" s="1" t="str">
        <f t="shared" si="1084"/>
        <v>409</v>
      </c>
      <c r="N1705" s="1" t="str">
        <f t="shared" si="1103"/>
        <v>009</v>
      </c>
      <c r="O1705" s="1" t="str">
        <f t="shared" si="1091"/>
        <v>00</v>
      </c>
      <c r="P1705" s="1" t="str">
        <f t="shared" si="1092"/>
        <v>S</v>
      </c>
      <c r="Q1705" s="1" t="str">
        <f t="shared" si="1093"/>
        <v>P</v>
      </c>
      <c r="R1705" s="1" t="str">
        <f t="shared" si="1094"/>
        <v>01</v>
      </c>
      <c r="S1705" s="1" t="str">
        <f t="shared" si="1080"/>
        <v>04</v>
      </c>
      <c r="T1705" s="1" t="str">
        <f t="shared" si="1095"/>
        <v>False</v>
      </c>
      <c r="U1705" s="1" t="str">
        <f t="shared" si="1096"/>
        <v>True</v>
      </c>
      <c r="V1705" s="1" t="str">
        <f>"U0028146"</f>
        <v>U0028146</v>
      </c>
      <c r="W1705" s="1">
        <v>1</v>
      </c>
      <c r="Y1705" s="1">
        <v>0</v>
      </c>
      <c r="Z1705" s="1">
        <v>0</v>
      </c>
      <c r="AB1705" s="1" t="str">
        <f t="shared" si="1085"/>
        <v>SMU</v>
      </c>
      <c r="AI1705" s="1" t="str">
        <f>"F11"</f>
        <v>F11</v>
      </c>
      <c r="AJ1705" s="1" t="str">
        <f t="shared" si="1104"/>
        <v>MAN</v>
      </c>
      <c r="AK1705" s="1" t="str">
        <f t="shared" si="1097"/>
        <v>PA</v>
      </c>
      <c r="AP1705" s="1" t="str">
        <f t="shared" si="1098"/>
        <v>False</v>
      </c>
      <c r="AR1705" s="1" t="str">
        <f t="shared" si="1105"/>
        <v>GALAN</v>
      </c>
      <c r="AY1705" s="1" t="str">
        <f t="shared" si="1099"/>
        <v>PF</v>
      </c>
      <c r="AZ1705" s="1">
        <v>0</v>
      </c>
      <c r="BA1705" s="1">
        <v>0</v>
      </c>
      <c r="BB1705" s="1">
        <v>0</v>
      </c>
      <c r="BC1705" s="1">
        <v>0</v>
      </c>
      <c r="BD1705" s="1">
        <v>0</v>
      </c>
      <c r="BE1705" s="1" t="str">
        <f t="shared" si="1106"/>
        <v>LAN+TWILL CANVAS + SIN.LEATHER</v>
      </c>
      <c r="BF1705" s="1" t="str">
        <f t="shared" si="1100"/>
        <v>Bonis SpA</v>
      </c>
    </row>
    <row r="1706" spans="2:58" x14ac:dyDescent="0.25">
      <c r="B1706" s="1">
        <v>2545</v>
      </c>
      <c r="C1706" s="1" t="str">
        <f t="shared" si="1108"/>
        <v>GALAN4183S7/CY1</v>
      </c>
      <c r="E1706" s="1" t="str">
        <f>"41"</f>
        <v>41</v>
      </c>
      <c r="F1706" s="1" t="str">
        <f t="shared" si="1089"/>
        <v>BONIS SPA</v>
      </c>
      <c r="G1706" s="1" t="str">
        <f t="shared" si="1079"/>
        <v>STOCK SCAFFALE MP</v>
      </c>
      <c r="H1706" s="1" t="str">
        <f t="shared" si="1110"/>
        <v>BLK</v>
      </c>
      <c r="K1706" s="1">
        <v>4</v>
      </c>
      <c r="L1706" s="1" t="str">
        <f t="shared" si="1090"/>
        <v>01</v>
      </c>
      <c r="M1706" s="1" t="str">
        <f t="shared" si="1084"/>
        <v>409</v>
      </c>
      <c r="N1706" s="1" t="str">
        <f t="shared" si="1103"/>
        <v>009</v>
      </c>
      <c r="O1706" s="1" t="str">
        <f t="shared" si="1091"/>
        <v>00</v>
      </c>
      <c r="P1706" s="1" t="str">
        <f t="shared" si="1092"/>
        <v>S</v>
      </c>
      <c r="Q1706" s="1" t="str">
        <f t="shared" si="1093"/>
        <v>P</v>
      </c>
      <c r="R1706" s="1" t="str">
        <f t="shared" si="1094"/>
        <v>01</v>
      </c>
      <c r="S1706" s="1" t="str">
        <f t="shared" si="1080"/>
        <v>04</v>
      </c>
      <c r="T1706" s="1" t="str">
        <f t="shared" si="1095"/>
        <v>False</v>
      </c>
      <c r="U1706" s="1" t="str">
        <f t="shared" si="1096"/>
        <v>True</v>
      </c>
      <c r="V1706" s="1" t="str">
        <f>"U0028146"</f>
        <v>U0028146</v>
      </c>
      <c r="W1706" s="1">
        <v>1</v>
      </c>
      <c r="Y1706" s="1">
        <v>0</v>
      </c>
      <c r="Z1706" s="1">
        <v>0</v>
      </c>
      <c r="AB1706" s="1" t="str">
        <f t="shared" si="1085"/>
        <v>SMU</v>
      </c>
      <c r="AI1706" s="1" t="str">
        <f>"F11"</f>
        <v>F11</v>
      </c>
      <c r="AJ1706" s="1" t="str">
        <f t="shared" si="1104"/>
        <v>MAN</v>
      </c>
      <c r="AK1706" s="1" t="str">
        <f t="shared" si="1097"/>
        <v>PA</v>
      </c>
      <c r="AP1706" s="1" t="str">
        <f t="shared" si="1098"/>
        <v>False</v>
      </c>
      <c r="AR1706" s="1" t="str">
        <f t="shared" si="1105"/>
        <v>GALAN</v>
      </c>
      <c r="AY1706" s="1" t="str">
        <f t="shared" si="1099"/>
        <v>PF</v>
      </c>
      <c r="AZ1706" s="1">
        <v>0</v>
      </c>
      <c r="BA1706" s="1">
        <v>0</v>
      </c>
      <c r="BB1706" s="1">
        <v>0</v>
      </c>
      <c r="BC1706" s="1">
        <v>0</v>
      </c>
      <c r="BD1706" s="1">
        <v>0</v>
      </c>
      <c r="BE1706" s="1" t="str">
        <f t="shared" si="1106"/>
        <v>LAN+TWILL CANVAS + SIN.LEATHER</v>
      </c>
      <c r="BF1706" s="1" t="str">
        <f t="shared" si="1100"/>
        <v>Bonis SpA</v>
      </c>
    </row>
    <row r="1707" spans="2:58" x14ac:dyDescent="0.25">
      <c r="B1707" s="1">
        <v>2545</v>
      </c>
      <c r="C1707" s="1" t="str">
        <f t="shared" si="1108"/>
        <v>GALAN4183S7/CY1</v>
      </c>
      <c r="E1707" s="1" t="str">
        <f>"42"</f>
        <v>42</v>
      </c>
      <c r="F1707" s="1" t="str">
        <f t="shared" si="1089"/>
        <v>BONIS SPA</v>
      </c>
      <c r="G1707" s="1" t="str">
        <f t="shared" si="1079"/>
        <v>STOCK SCAFFALE MP</v>
      </c>
      <c r="H1707" s="1" t="str">
        <f t="shared" si="1110"/>
        <v>BLK</v>
      </c>
      <c r="K1707" s="1">
        <v>11</v>
      </c>
      <c r="L1707" s="1" t="str">
        <f t="shared" si="1090"/>
        <v>01</v>
      </c>
      <c r="M1707" s="1" t="str">
        <f t="shared" si="1084"/>
        <v>409</v>
      </c>
      <c r="N1707" s="1" t="str">
        <f t="shared" si="1103"/>
        <v>009</v>
      </c>
      <c r="O1707" s="1" t="str">
        <f t="shared" si="1091"/>
        <v>00</v>
      </c>
      <c r="P1707" s="1" t="str">
        <f t="shared" si="1092"/>
        <v>S</v>
      </c>
      <c r="Q1707" s="1" t="str">
        <f t="shared" si="1093"/>
        <v>P</v>
      </c>
      <c r="R1707" s="1" t="str">
        <f t="shared" si="1094"/>
        <v>01</v>
      </c>
      <c r="S1707" s="1" t="str">
        <f t="shared" si="1080"/>
        <v>04</v>
      </c>
      <c r="T1707" s="1" t="str">
        <f t="shared" si="1095"/>
        <v>False</v>
      </c>
      <c r="U1707" s="1" t="str">
        <f t="shared" si="1096"/>
        <v>True</v>
      </c>
      <c r="V1707" s="1" t="str">
        <f>"U0023683"</f>
        <v>U0023683</v>
      </c>
      <c r="W1707" s="1">
        <v>1</v>
      </c>
      <c r="Y1707" s="1">
        <v>0</v>
      </c>
      <c r="Z1707" s="1">
        <v>0</v>
      </c>
      <c r="AB1707" s="1" t="str">
        <f t="shared" si="1085"/>
        <v>SMU</v>
      </c>
      <c r="AI1707" s="1" t="str">
        <f>"F11"</f>
        <v>F11</v>
      </c>
      <c r="AJ1707" s="1" t="str">
        <f t="shared" si="1104"/>
        <v>MAN</v>
      </c>
      <c r="AK1707" s="1" t="str">
        <f t="shared" si="1097"/>
        <v>PA</v>
      </c>
      <c r="AP1707" s="1" t="str">
        <f t="shared" si="1098"/>
        <v>False</v>
      </c>
      <c r="AR1707" s="1" t="str">
        <f t="shared" si="1105"/>
        <v>GALAN</v>
      </c>
      <c r="AY1707" s="1" t="str">
        <f t="shared" si="1099"/>
        <v>PF</v>
      </c>
      <c r="AZ1707" s="1">
        <v>0</v>
      </c>
      <c r="BA1707" s="1">
        <v>0</v>
      </c>
      <c r="BB1707" s="1">
        <v>0</v>
      </c>
      <c r="BC1707" s="1">
        <v>0</v>
      </c>
      <c r="BD1707" s="1">
        <v>0</v>
      </c>
      <c r="BE1707" s="1" t="str">
        <f t="shared" si="1106"/>
        <v>LAN+TWILL CANVAS + SIN.LEATHER</v>
      </c>
      <c r="BF1707" s="1" t="str">
        <f t="shared" si="1100"/>
        <v>Bonis SpA</v>
      </c>
    </row>
    <row r="1708" spans="2:58" x14ac:dyDescent="0.25">
      <c r="B1708" s="1">
        <v>2545</v>
      </c>
      <c r="C1708" s="1" t="str">
        <f t="shared" si="1108"/>
        <v>GALAN4183S7/CY1</v>
      </c>
      <c r="E1708" s="1" t="str">
        <f>"43"</f>
        <v>43</v>
      </c>
      <c r="F1708" s="1" t="str">
        <f t="shared" si="1089"/>
        <v>BONIS SPA</v>
      </c>
      <c r="G1708" s="1" t="str">
        <f t="shared" si="1079"/>
        <v>STOCK SCAFFALE MP</v>
      </c>
      <c r="H1708" s="1" t="str">
        <f t="shared" si="1110"/>
        <v>BLK</v>
      </c>
      <c r="K1708" s="1">
        <v>12</v>
      </c>
      <c r="L1708" s="1" t="str">
        <f t="shared" si="1090"/>
        <v>01</v>
      </c>
      <c r="M1708" s="1" t="str">
        <f t="shared" si="1084"/>
        <v>409</v>
      </c>
      <c r="N1708" s="1" t="str">
        <f t="shared" si="1103"/>
        <v>009</v>
      </c>
      <c r="O1708" s="1" t="str">
        <f t="shared" si="1091"/>
        <v>00</v>
      </c>
      <c r="P1708" s="1" t="str">
        <f t="shared" si="1092"/>
        <v>S</v>
      </c>
      <c r="Q1708" s="1" t="str">
        <f t="shared" si="1093"/>
        <v>P</v>
      </c>
      <c r="R1708" s="1" t="str">
        <f t="shared" si="1094"/>
        <v>01</v>
      </c>
      <c r="S1708" s="1" t="str">
        <f t="shared" si="1080"/>
        <v>04</v>
      </c>
      <c r="T1708" s="1" t="str">
        <f t="shared" si="1095"/>
        <v>False</v>
      </c>
      <c r="U1708" s="1" t="str">
        <f t="shared" si="1096"/>
        <v>True</v>
      </c>
      <c r="V1708" s="1" t="str">
        <f>"U0023177"</f>
        <v>U0023177</v>
      </c>
      <c r="W1708" s="1">
        <v>1</v>
      </c>
      <c r="Y1708" s="1">
        <v>0</v>
      </c>
      <c r="Z1708" s="1">
        <v>0</v>
      </c>
      <c r="AB1708" s="1" t="str">
        <f t="shared" si="1085"/>
        <v>SMU</v>
      </c>
      <c r="AI1708" s="1" t="str">
        <f>"F11"</f>
        <v>F11</v>
      </c>
      <c r="AJ1708" s="1" t="str">
        <f t="shared" si="1104"/>
        <v>MAN</v>
      </c>
      <c r="AK1708" s="1" t="str">
        <f t="shared" si="1097"/>
        <v>PA</v>
      </c>
      <c r="AP1708" s="1" t="str">
        <f t="shared" si="1098"/>
        <v>False</v>
      </c>
      <c r="AR1708" s="1" t="str">
        <f t="shared" si="1105"/>
        <v>GALAN</v>
      </c>
      <c r="AY1708" s="1" t="str">
        <f t="shared" si="1099"/>
        <v>PF</v>
      </c>
      <c r="AZ1708" s="1">
        <v>0</v>
      </c>
      <c r="BA1708" s="1">
        <v>0</v>
      </c>
      <c r="BB1708" s="1">
        <v>0</v>
      </c>
      <c r="BC1708" s="1">
        <v>0</v>
      </c>
      <c r="BD1708" s="1">
        <v>0</v>
      </c>
      <c r="BE1708" s="1" t="str">
        <f t="shared" si="1106"/>
        <v>LAN+TWILL CANVAS + SIN.LEATHER</v>
      </c>
      <c r="BF1708" s="1" t="str">
        <f t="shared" si="1100"/>
        <v>Bonis SpA</v>
      </c>
    </row>
    <row r="1709" spans="2:58" x14ac:dyDescent="0.25">
      <c r="B1709" s="1">
        <v>2545</v>
      </c>
      <c r="C1709" s="1" t="str">
        <f t="shared" si="1108"/>
        <v>GALAN4183S7/CY1</v>
      </c>
      <c r="E1709" s="1" t="str">
        <f>"43"</f>
        <v>43</v>
      </c>
      <c r="F1709" s="1" t="str">
        <f t="shared" si="1089"/>
        <v>BONIS SPA</v>
      </c>
      <c r="G1709" s="1" t="str">
        <f t="shared" si="1079"/>
        <v>STOCK SCAFFALE MP</v>
      </c>
      <c r="H1709" s="1" t="str">
        <f t="shared" si="1110"/>
        <v>BLK</v>
      </c>
      <c r="K1709" s="1">
        <v>3</v>
      </c>
      <c r="L1709" s="1" t="str">
        <f t="shared" si="1090"/>
        <v>01</v>
      </c>
      <c r="M1709" s="1" t="str">
        <f t="shared" si="1084"/>
        <v>409</v>
      </c>
      <c r="N1709" s="1" t="str">
        <f t="shared" si="1103"/>
        <v>009</v>
      </c>
      <c r="O1709" s="1" t="str">
        <f t="shared" si="1091"/>
        <v>00</v>
      </c>
      <c r="P1709" s="1" t="str">
        <f t="shared" si="1092"/>
        <v>S</v>
      </c>
      <c r="Q1709" s="1" t="str">
        <f t="shared" si="1093"/>
        <v>P</v>
      </c>
      <c r="R1709" s="1" t="str">
        <f t="shared" si="1094"/>
        <v>01</v>
      </c>
      <c r="S1709" s="1" t="str">
        <f t="shared" si="1080"/>
        <v>04</v>
      </c>
      <c r="T1709" s="1" t="str">
        <f t="shared" si="1095"/>
        <v>False</v>
      </c>
      <c r="U1709" s="1" t="str">
        <f t="shared" si="1096"/>
        <v>True</v>
      </c>
      <c r="V1709" s="1" t="str">
        <f>"U0028138"</f>
        <v>U0028138</v>
      </c>
      <c r="W1709" s="1">
        <v>1</v>
      </c>
      <c r="Y1709" s="1">
        <v>0</v>
      </c>
      <c r="Z1709" s="1">
        <v>0</v>
      </c>
      <c r="AB1709" s="1" t="str">
        <f t="shared" si="1085"/>
        <v>SMU</v>
      </c>
      <c r="AI1709" s="1" t="str">
        <f>"F11"</f>
        <v>F11</v>
      </c>
      <c r="AJ1709" s="1" t="str">
        <f t="shared" si="1104"/>
        <v>MAN</v>
      </c>
      <c r="AK1709" s="1" t="str">
        <f t="shared" si="1097"/>
        <v>PA</v>
      </c>
      <c r="AP1709" s="1" t="str">
        <f t="shared" si="1098"/>
        <v>False</v>
      </c>
      <c r="AR1709" s="1" t="str">
        <f t="shared" si="1105"/>
        <v>GALAN</v>
      </c>
      <c r="AY1709" s="1" t="str">
        <f t="shared" si="1099"/>
        <v>PF</v>
      </c>
      <c r="AZ1709" s="1">
        <v>0</v>
      </c>
      <c r="BA1709" s="1">
        <v>0</v>
      </c>
      <c r="BB1709" s="1">
        <v>0</v>
      </c>
      <c r="BC1709" s="1">
        <v>0</v>
      </c>
      <c r="BD1709" s="1">
        <v>0</v>
      </c>
      <c r="BE1709" s="1" t="str">
        <f t="shared" si="1106"/>
        <v>LAN+TWILL CANVAS + SIN.LEATHER</v>
      </c>
      <c r="BF1709" s="1" t="str">
        <f t="shared" si="1100"/>
        <v>Bonis SpA</v>
      </c>
    </row>
    <row r="1710" spans="2:58" x14ac:dyDescent="0.25">
      <c r="B1710" s="1">
        <v>2545</v>
      </c>
      <c r="C1710" s="1" t="str">
        <f t="shared" si="1108"/>
        <v>GALAN4183S7/CY1</v>
      </c>
      <c r="E1710" s="1" t="str">
        <f>"42"</f>
        <v>42</v>
      </c>
      <c r="F1710" s="1" t="str">
        <f t="shared" si="1089"/>
        <v>BONIS SPA</v>
      </c>
      <c r="G1710" s="1" t="str">
        <f t="shared" si="1079"/>
        <v>STOCK SCAFFALE MP</v>
      </c>
      <c r="H1710" s="1" t="str">
        <f t="shared" si="1110"/>
        <v>BLK</v>
      </c>
      <c r="K1710" s="1">
        <v>4</v>
      </c>
      <c r="L1710" s="1" t="str">
        <f t="shared" si="1090"/>
        <v>01</v>
      </c>
      <c r="M1710" s="1" t="str">
        <f t="shared" si="1084"/>
        <v>409</v>
      </c>
      <c r="N1710" s="1" t="str">
        <f t="shared" si="1103"/>
        <v>009</v>
      </c>
      <c r="O1710" s="1" t="str">
        <f t="shared" si="1091"/>
        <v>00</v>
      </c>
      <c r="P1710" s="1" t="str">
        <f t="shared" si="1092"/>
        <v>S</v>
      </c>
      <c r="Q1710" s="1" t="str">
        <f t="shared" si="1093"/>
        <v>P</v>
      </c>
      <c r="R1710" s="1" t="str">
        <f t="shared" si="1094"/>
        <v>01</v>
      </c>
      <c r="S1710" s="1" t="str">
        <f t="shared" si="1080"/>
        <v>04</v>
      </c>
      <c r="T1710" s="1" t="str">
        <f t="shared" si="1095"/>
        <v>False</v>
      </c>
      <c r="U1710" s="1" t="str">
        <f t="shared" si="1096"/>
        <v>True</v>
      </c>
      <c r="V1710" s="1" t="str">
        <f>"U0028138"</f>
        <v>U0028138</v>
      </c>
      <c r="W1710" s="1">
        <v>1</v>
      </c>
      <c r="Y1710" s="1">
        <v>0</v>
      </c>
      <c r="Z1710" s="1">
        <v>0</v>
      </c>
      <c r="AB1710" s="1" t="str">
        <f t="shared" si="1085"/>
        <v>SMU</v>
      </c>
      <c r="AI1710" s="1" t="str">
        <f>"106"</f>
        <v>106</v>
      </c>
      <c r="AJ1710" s="1" t="str">
        <f t="shared" si="1104"/>
        <v>MAN</v>
      </c>
      <c r="AK1710" s="1" t="str">
        <f t="shared" si="1097"/>
        <v>PA</v>
      </c>
      <c r="AP1710" s="1" t="str">
        <f t="shared" si="1098"/>
        <v>False</v>
      </c>
      <c r="AR1710" s="1" t="str">
        <f t="shared" si="1105"/>
        <v>GALAN</v>
      </c>
      <c r="AY1710" s="1" t="str">
        <f t="shared" si="1099"/>
        <v>PF</v>
      </c>
      <c r="AZ1710" s="1">
        <v>0</v>
      </c>
      <c r="BA1710" s="1">
        <v>0</v>
      </c>
      <c r="BB1710" s="1">
        <v>0</v>
      </c>
      <c r="BC1710" s="1">
        <v>0</v>
      </c>
      <c r="BD1710" s="1">
        <v>0</v>
      </c>
      <c r="BE1710" s="1" t="str">
        <f t="shared" si="1106"/>
        <v>LAN+TWILL CANVAS + SIN.LEATHER</v>
      </c>
      <c r="BF1710" s="1" t="str">
        <f t="shared" si="1100"/>
        <v>Bonis SpA</v>
      </c>
    </row>
    <row r="1711" spans="2:58" x14ac:dyDescent="0.25">
      <c r="B1711" s="1">
        <v>2545</v>
      </c>
      <c r="C1711" s="1" t="str">
        <f t="shared" si="1108"/>
        <v>GALAN4183S7/CY1</v>
      </c>
      <c r="E1711" s="1" t="str">
        <f>"42"</f>
        <v>42</v>
      </c>
      <c r="F1711" s="1" t="str">
        <f t="shared" si="1089"/>
        <v>BONIS SPA</v>
      </c>
      <c r="G1711" s="1" t="str">
        <f t="shared" si="1079"/>
        <v>STOCK SCAFFALE MP</v>
      </c>
      <c r="H1711" s="1" t="str">
        <f t="shared" si="1110"/>
        <v>BLK</v>
      </c>
      <c r="K1711" s="1">
        <v>1</v>
      </c>
      <c r="L1711" s="1" t="str">
        <f t="shared" si="1090"/>
        <v>01</v>
      </c>
      <c r="M1711" s="1" t="str">
        <f t="shared" si="1084"/>
        <v>409</v>
      </c>
      <c r="N1711" s="1" t="str">
        <f t="shared" si="1103"/>
        <v>009</v>
      </c>
      <c r="O1711" s="1" t="str">
        <f t="shared" si="1091"/>
        <v>00</v>
      </c>
      <c r="P1711" s="1" t="str">
        <f t="shared" si="1092"/>
        <v>S</v>
      </c>
      <c r="Q1711" s="1" t="str">
        <f t="shared" si="1093"/>
        <v>P</v>
      </c>
      <c r="R1711" s="1" t="str">
        <f t="shared" si="1094"/>
        <v>01</v>
      </c>
      <c r="S1711" s="1" t="str">
        <f t="shared" si="1080"/>
        <v>04</v>
      </c>
      <c r="T1711" s="1" t="str">
        <f t="shared" si="1095"/>
        <v>False</v>
      </c>
      <c r="U1711" s="1" t="str">
        <f t="shared" si="1096"/>
        <v>True</v>
      </c>
      <c r="V1711" s="1" t="str">
        <f>"U0032611"</f>
        <v>U0032611</v>
      </c>
      <c r="W1711" s="1">
        <v>1</v>
      </c>
      <c r="Y1711" s="1">
        <v>0</v>
      </c>
      <c r="Z1711" s="1">
        <v>0</v>
      </c>
      <c r="AB1711" s="1" t="str">
        <f t="shared" si="1085"/>
        <v>SMU</v>
      </c>
      <c r="AI1711" s="1" t="str">
        <f>"106"</f>
        <v>106</v>
      </c>
      <c r="AJ1711" s="1" t="str">
        <f t="shared" si="1104"/>
        <v>MAN</v>
      </c>
      <c r="AK1711" s="1" t="str">
        <f t="shared" si="1097"/>
        <v>PA</v>
      </c>
      <c r="AP1711" s="1" t="str">
        <f t="shared" si="1098"/>
        <v>False</v>
      </c>
      <c r="AR1711" s="1" t="str">
        <f t="shared" si="1105"/>
        <v>GALAN</v>
      </c>
      <c r="AY1711" s="1" t="str">
        <f t="shared" si="1099"/>
        <v>PF</v>
      </c>
      <c r="AZ1711" s="1">
        <v>0</v>
      </c>
      <c r="BA1711" s="1">
        <v>0</v>
      </c>
      <c r="BB1711" s="1">
        <v>0</v>
      </c>
      <c r="BC1711" s="1">
        <v>0</v>
      </c>
      <c r="BD1711" s="1">
        <v>0</v>
      </c>
      <c r="BE1711" s="1" t="str">
        <f t="shared" si="1106"/>
        <v>LAN+TWILL CANVAS + SIN.LEATHER</v>
      </c>
      <c r="BF1711" s="1" t="str">
        <f t="shared" si="1100"/>
        <v>Bonis SpA</v>
      </c>
    </row>
    <row r="1712" spans="2:58" x14ac:dyDescent="0.25">
      <c r="B1712" s="1">
        <v>2545</v>
      </c>
      <c r="C1712" s="1" t="str">
        <f t="shared" si="1108"/>
        <v>GALAN4183S7/CY1</v>
      </c>
      <c r="E1712" s="1" t="str">
        <f>"45"</f>
        <v>45</v>
      </c>
      <c r="F1712" s="1" t="str">
        <f t="shared" si="1089"/>
        <v>BONIS SPA</v>
      </c>
      <c r="G1712" s="1" t="str">
        <f t="shared" ref="G1712:G1775" si="1111">"STOCK SCAFFALE MP"</f>
        <v>STOCK SCAFFALE MP</v>
      </c>
      <c r="H1712" s="1" t="str">
        <f t="shared" si="1110"/>
        <v>BLK</v>
      </c>
      <c r="K1712" s="1">
        <v>1</v>
      </c>
      <c r="L1712" s="1" t="str">
        <f t="shared" si="1090"/>
        <v>01</v>
      </c>
      <c r="M1712" s="1" t="str">
        <f t="shared" si="1084"/>
        <v>409</v>
      </c>
      <c r="N1712" s="1" t="str">
        <f t="shared" si="1103"/>
        <v>009</v>
      </c>
      <c r="O1712" s="1" t="str">
        <f t="shared" si="1091"/>
        <v>00</v>
      </c>
      <c r="P1712" s="1" t="str">
        <f t="shared" si="1092"/>
        <v>S</v>
      </c>
      <c r="Q1712" s="1" t="str">
        <f t="shared" si="1093"/>
        <v>P</v>
      </c>
      <c r="R1712" s="1" t="str">
        <f t="shared" si="1094"/>
        <v>01</v>
      </c>
      <c r="S1712" s="1" t="str">
        <f t="shared" ref="S1712:S1775" si="1112">"04"</f>
        <v>04</v>
      </c>
      <c r="T1712" s="1" t="str">
        <f t="shared" si="1095"/>
        <v>False</v>
      </c>
      <c r="U1712" s="1" t="str">
        <f t="shared" si="1096"/>
        <v>True</v>
      </c>
      <c r="V1712" s="1" t="str">
        <f>"U0027752"</f>
        <v>U0027752</v>
      </c>
      <c r="W1712" s="1">
        <v>1</v>
      </c>
      <c r="Y1712" s="1">
        <v>0</v>
      </c>
      <c r="Z1712" s="1">
        <v>0</v>
      </c>
      <c r="AB1712" s="1" t="str">
        <f t="shared" si="1085"/>
        <v>SMU</v>
      </c>
      <c r="AI1712" s="1" t="str">
        <f>"106"</f>
        <v>106</v>
      </c>
      <c r="AJ1712" s="1" t="str">
        <f t="shared" si="1104"/>
        <v>MAN</v>
      </c>
      <c r="AK1712" s="1" t="str">
        <f t="shared" si="1097"/>
        <v>PA</v>
      </c>
      <c r="AP1712" s="1" t="str">
        <f t="shared" si="1098"/>
        <v>False</v>
      </c>
      <c r="AR1712" s="1" t="str">
        <f t="shared" si="1105"/>
        <v>GALAN</v>
      </c>
      <c r="AY1712" s="1" t="str">
        <f t="shared" si="1099"/>
        <v>PF</v>
      </c>
      <c r="AZ1712" s="1">
        <v>0</v>
      </c>
      <c r="BA1712" s="1">
        <v>0</v>
      </c>
      <c r="BB1712" s="1">
        <v>0</v>
      </c>
      <c r="BC1712" s="1">
        <v>0</v>
      </c>
      <c r="BD1712" s="1">
        <v>0</v>
      </c>
      <c r="BE1712" s="1" t="str">
        <f t="shared" si="1106"/>
        <v>LAN+TWILL CANVAS + SIN.LEATHER</v>
      </c>
      <c r="BF1712" s="1" t="str">
        <f t="shared" si="1100"/>
        <v>Bonis SpA</v>
      </c>
    </row>
    <row r="1713" spans="2:58" x14ac:dyDescent="0.25">
      <c r="B1713" s="1">
        <v>2545</v>
      </c>
      <c r="C1713" s="1" t="str">
        <f t="shared" si="1108"/>
        <v>GALAN4183S7/CY1</v>
      </c>
      <c r="E1713" s="1" t="str">
        <f>"41"</f>
        <v>41</v>
      </c>
      <c r="F1713" s="1" t="str">
        <f t="shared" si="1089"/>
        <v>BONIS SPA</v>
      </c>
      <c r="G1713" s="1" t="str">
        <f t="shared" si="1111"/>
        <v>STOCK SCAFFALE MP</v>
      </c>
      <c r="H1713" s="1" t="str">
        <f>"GREY"</f>
        <v>GREY</v>
      </c>
      <c r="K1713" s="1">
        <v>1</v>
      </c>
      <c r="L1713" s="1" t="str">
        <f t="shared" si="1090"/>
        <v>01</v>
      </c>
      <c r="M1713" s="1" t="str">
        <f t="shared" si="1084"/>
        <v>409</v>
      </c>
      <c r="N1713" s="1" t="str">
        <f t="shared" si="1103"/>
        <v>009</v>
      </c>
      <c r="O1713" s="1" t="str">
        <f t="shared" si="1091"/>
        <v>00</v>
      </c>
      <c r="P1713" s="1" t="str">
        <f t="shared" si="1092"/>
        <v>S</v>
      </c>
      <c r="Q1713" s="1" t="str">
        <f t="shared" si="1093"/>
        <v>P</v>
      </c>
      <c r="R1713" s="1" t="str">
        <f t="shared" si="1094"/>
        <v>01</v>
      </c>
      <c r="S1713" s="1" t="str">
        <f t="shared" si="1112"/>
        <v>04</v>
      </c>
      <c r="T1713" s="1" t="str">
        <f t="shared" si="1095"/>
        <v>False</v>
      </c>
      <c r="U1713" s="1" t="str">
        <f t="shared" si="1096"/>
        <v>True</v>
      </c>
      <c r="V1713" s="1" t="str">
        <f>"U0028133"</f>
        <v>U0028133</v>
      </c>
      <c r="W1713" s="1">
        <v>1</v>
      </c>
      <c r="Y1713" s="1">
        <v>0</v>
      </c>
      <c r="Z1713" s="1">
        <v>0</v>
      </c>
      <c r="AB1713" s="1" t="str">
        <f t="shared" si="1085"/>
        <v>SMU</v>
      </c>
      <c r="AI1713" s="1" t="str">
        <f>"106"</f>
        <v>106</v>
      </c>
      <c r="AJ1713" s="1" t="str">
        <f t="shared" si="1104"/>
        <v>MAN</v>
      </c>
      <c r="AK1713" s="1" t="str">
        <f t="shared" si="1097"/>
        <v>PA</v>
      </c>
      <c r="AP1713" s="1" t="str">
        <f t="shared" si="1098"/>
        <v>False</v>
      </c>
      <c r="AR1713" s="1" t="str">
        <f t="shared" si="1105"/>
        <v>GALAN</v>
      </c>
      <c r="AY1713" s="1" t="str">
        <f t="shared" si="1099"/>
        <v>PF</v>
      </c>
      <c r="AZ1713" s="1">
        <v>0</v>
      </c>
      <c r="BA1713" s="1">
        <v>0</v>
      </c>
      <c r="BB1713" s="1">
        <v>0</v>
      </c>
      <c r="BC1713" s="1">
        <v>0</v>
      </c>
      <c r="BD1713" s="1">
        <v>0</v>
      </c>
      <c r="BE1713" s="1" t="str">
        <f t="shared" si="1106"/>
        <v>LAN+TWILL CANVAS + SIN.LEATHER</v>
      </c>
      <c r="BF1713" s="1" t="str">
        <f t="shared" si="1100"/>
        <v>Bonis SpA</v>
      </c>
    </row>
    <row r="1714" spans="2:58" x14ac:dyDescent="0.25">
      <c r="B1714" s="1">
        <v>2545</v>
      </c>
      <c r="C1714" s="1" t="str">
        <f t="shared" si="1108"/>
        <v>GALAN4183S7/CY1</v>
      </c>
      <c r="E1714" s="1" t="str">
        <f>"43"</f>
        <v>43</v>
      </c>
      <c r="F1714" s="1" t="str">
        <f t="shared" si="1089"/>
        <v>BONIS SPA</v>
      </c>
      <c r="G1714" s="1" t="str">
        <f t="shared" si="1111"/>
        <v>STOCK SCAFFALE MP</v>
      </c>
      <c r="H1714" s="1" t="str">
        <f t="shared" ref="H1714:H1723" si="1113">"DKBL"</f>
        <v>DKBL</v>
      </c>
      <c r="K1714" s="1">
        <v>3</v>
      </c>
      <c r="L1714" s="1" t="str">
        <f t="shared" si="1090"/>
        <v>01</v>
      </c>
      <c r="M1714" s="1" t="str">
        <f t="shared" si="1084"/>
        <v>409</v>
      </c>
      <c r="N1714" s="1" t="str">
        <f t="shared" si="1103"/>
        <v>009</v>
      </c>
      <c r="O1714" s="1" t="str">
        <f t="shared" si="1091"/>
        <v>00</v>
      </c>
      <c r="P1714" s="1" t="str">
        <f t="shared" si="1092"/>
        <v>S</v>
      </c>
      <c r="Q1714" s="1" t="str">
        <f t="shared" si="1093"/>
        <v>P</v>
      </c>
      <c r="R1714" s="1" t="str">
        <f t="shared" si="1094"/>
        <v>01</v>
      </c>
      <c r="S1714" s="1" t="str">
        <f t="shared" si="1112"/>
        <v>04</v>
      </c>
      <c r="T1714" s="1" t="str">
        <f t="shared" si="1095"/>
        <v>False</v>
      </c>
      <c r="U1714" s="1" t="str">
        <f t="shared" si="1096"/>
        <v>True</v>
      </c>
      <c r="V1714" s="1" t="str">
        <f>"U0023524"</f>
        <v>U0023524</v>
      </c>
      <c r="W1714" s="1">
        <v>1</v>
      </c>
      <c r="Y1714" s="1">
        <v>0</v>
      </c>
      <c r="Z1714" s="1">
        <v>0</v>
      </c>
      <c r="AB1714" s="1" t="str">
        <f t="shared" si="1085"/>
        <v>SMU</v>
      </c>
      <c r="AI1714" s="1" t="str">
        <f>"F11"</f>
        <v>F11</v>
      </c>
      <c r="AJ1714" s="1" t="str">
        <f t="shared" si="1104"/>
        <v>MAN</v>
      </c>
      <c r="AK1714" s="1" t="str">
        <f t="shared" si="1097"/>
        <v>PA</v>
      </c>
      <c r="AP1714" s="1" t="str">
        <f t="shared" si="1098"/>
        <v>False</v>
      </c>
      <c r="AR1714" s="1" t="str">
        <f t="shared" si="1105"/>
        <v>GALAN</v>
      </c>
      <c r="AY1714" s="1" t="str">
        <f t="shared" si="1099"/>
        <v>PF</v>
      </c>
      <c r="AZ1714" s="1">
        <v>0</v>
      </c>
      <c r="BA1714" s="1">
        <v>0</v>
      </c>
      <c r="BB1714" s="1">
        <v>0</v>
      </c>
      <c r="BC1714" s="1">
        <v>0</v>
      </c>
      <c r="BD1714" s="1">
        <v>0</v>
      </c>
      <c r="BE1714" s="1" t="str">
        <f t="shared" si="1106"/>
        <v>LAN+TWILL CANVAS + SIN.LEATHER</v>
      </c>
      <c r="BF1714" s="1" t="str">
        <f t="shared" si="1100"/>
        <v>Bonis SpA</v>
      </c>
    </row>
    <row r="1715" spans="2:58" x14ac:dyDescent="0.25">
      <c r="B1715" s="1">
        <v>2545</v>
      </c>
      <c r="C1715" s="1" t="str">
        <f t="shared" si="1108"/>
        <v>GALAN4183S7/CY1</v>
      </c>
      <c r="E1715" s="1" t="str">
        <f>"44"</f>
        <v>44</v>
      </c>
      <c r="F1715" s="1" t="str">
        <f t="shared" si="1089"/>
        <v>BONIS SPA</v>
      </c>
      <c r="G1715" s="1" t="str">
        <f t="shared" si="1111"/>
        <v>STOCK SCAFFALE MP</v>
      </c>
      <c r="H1715" s="1" t="str">
        <f t="shared" si="1113"/>
        <v>DKBL</v>
      </c>
      <c r="K1715" s="1">
        <v>6</v>
      </c>
      <c r="L1715" s="1" t="str">
        <f t="shared" si="1090"/>
        <v>01</v>
      </c>
      <c r="M1715" s="1" t="str">
        <f t="shared" si="1084"/>
        <v>409</v>
      </c>
      <c r="N1715" s="1" t="str">
        <f t="shared" si="1103"/>
        <v>009</v>
      </c>
      <c r="O1715" s="1" t="str">
        <f t="shared" si="1091"/>
        <v>00</v>
      </c>
      <c r="P1715" s="1" t="str">
        <f t="shared" si="1092"/>
        <v>S</v>
      </c>
      <c r="Q1715" s="1" t="str">
        <f t="shared" si="1093"/>
        <v>P</v>
      </c>
      <c r="R1715" s="1" t="str">
        <f t="shared" si="1094"/>
        <v>01</v>
      </c>
      <c r="S1715" s="1" t="str">
        <f t="shared" si="1112"/>
        <v>04</v>
      </c>
      <c r="T1715" s="1" t="str">
        <f t="shared" si="1095"/>
        <v>False</v>
      </c>
      <c r="U1715" s="1" t="str">
        <f t="shared" si="1096"/>
        <v>True</v>
      </c>
      <c r="V1715" s="1" t="str">
        <f>"U0023524"</f>
        <v>U0023524</v>
      </c>
      <c r="W1715" s="1">
        <v>1</v>
      </c>
      <c r="Y1715" s="1">
        <v>0</v>
      </c>
      <c r="Z1715" s="1">
        <v>0</v>
      </c>
      <c r="AB1715" s="1" t="str">
        <f t="shared" si="1085"/>
        <v>SMU</v>
      </c>
      <c r="AI1715" s="1" t="str">
        <f>"F11"</f>
        <v>F11</v>
      </c>
      <c r="AJ1715" s="1" t="str">
        <f t="shared" si="1104"/>
        <v>MAN</v>
      </c>
      <c r="AK1715" s="1" t="str">
        <f t="shared" si="1097"/>
        <v>PA</v>
      </c>
      <c r="AP1715" s="1" t="str">
        <f t="shared" si="1098"/>
        <v>False</v>
      </c>
      <c r="AR1715" s="1" t="str">
        <f t="shared" si="1105"/>
        <v>GALAN</v>
      </c>
      <c r="AY1715" s="1" t="str">
        <f t="shared" si="1099"/>
        <v>PF</v>
      </c>
      <c r="AZ1715" s="1">
        <v>0</v>
      </c>
      <c r="BA1715" s="1">
        <v>0</v>
      </c>
      <c r="BB1715" s="1">
        <v>0</v>
      </c>
      <c r="BC1715" s="1">
        <v>0</v>
      </c>
      <c r="BD1715" s="1">
        <v>0</v>
      </c>
      <c r="BE1715" s="1" t="str">
        <f t="shared" si="1106"/>
        <v>LAN+TWILL CANVAS + SIN.LEATHER</v>
      </c>
      <c r="BF1715" s="1" t="str">
        <f t="shared" si="1100"/>
        <v>Bonis SpA</v>
      </c>
    </row>
    <row r="1716" spans="2:58" x14ac:dyDescent="0.25">
      <c r="B1716" s="1">
        <v>2545</v>
      </c>
      <c r="C1716" s="1" t="str">
        <f t="shared" si="1108"/>
        <v>GALAN4183S7/CY1</v>
      </c>
      <c r="E1716" s="1" t="str">
        <f>"41"</f>
        <v>41</v>
      </c>
      <c r="F1716" s="1" t="str">
        <f t="shared" si="1089"/>
        <v>BONIS SPA</v>
      </c>
      <c r="G1716" s="1" t="str">
        <f t="shared" si="1111"/>
        <v>STOCK SCAFFALE MP</v>
      </c>
      <c r="H1716" s="1" t="str">
        <f t="shared" si="1113"/>
        <v>DKBL</v>
      </c>
      <c r="K1716" s="1">
        <v>2</v>
      </c>
      <c r="L1716" s="1" t="str">
        <f t="shared" si="1090"/>
        <v>01</v>
      </c>
      <c r="M1716" s="1" t="str">
        <f t="shared" si="1084"/>
        <v>409</v>
      </c>
      <c r="N1716" s="1" t="str">
        <f t="shared" si="1103"/>
        <v>009</v>
      </c>
      <c r="O1716" s="1" t="str">
        <f t="shared" si="1091"/>
        <v>00</v>
      </c>
      <c r="P1716" s="1" t="str">
        <f t="shared" si="1092"/>
        <v>S</v>
      </c>
      <c r="Q1716" s="1" t="str">
        <f t="shared" si="1093"/>
        <v>P</v>
      </c>
      <c r="R1716" s="1" t="str">
        <f t="shared" si="1094"/>
        <v>01</v>
      </c>
      <c r="S1716" s="1" t="str">
        <f t="shared" si="1112"/>
        <v>04</v>
      </c>
      <c r="T1716" s="1" t="str">
        <f t="shared" si="1095"/>
        <v>False</v>
      </c>
      <c r="U1716" s="1" t="str">
        <f t="shared" si="1096"/>
        <v>True</v>
      </c>
      <c r="V1716" s="1" t="str">
        <f>"U0028133"</f>
        <v>U0028133</v>
      </c>
      <c r="W1716" s="1">
        <v>1</v>
      </c>
      <c r="Y1716" s="1">
        <v>0</v>
      </c>
      <c r="Z1716" s="1">
        <v>0</v>
      </c>
      <c r="AB1716" s="1" t="str">
        <f t="shared" si="1085"/>
        <v>SMU</v>
      </c>
      <c r="AI1716" s="1" t="str">
        <f>"106"</f>
        <v>106</v>
      </c>
      <c r="AJ1716" s="1" t="str">
        <f t="shared" si="1104"/>
        <v>MAN</v>
      </c>
      <c r="AK1716" s="1" t="str">
        <f t="shared" si="1097"/>
        <v>PA</v>
      </c>
      <c r="AP1716" s="1" t="str">
        <f t="shared" si="1098"/>
        <v>False</v>
      </c>
      <c r="AR1716" s="1" t="str">
        <f t="shared" si="1105"/>
        <v>GALAN</v>
      </c>
      <c r="AY1716" s="1" t="str">
        <f t="shared" si="1099"/>
        <v>PF</v>
      </c>
      <c r="AZ1716" s="1">
        <v>0</v>
      </c>
      <c r="BA1716" s="1">
        <v>0</v>
      </c>
      <c r="BB1716" s="1">
        <v>0</v>
      </c>
      <c r="BC1716" s="1">
        <v>0</v>
      </c>
      <c r="BD1716" s="1">
        <v>0</v>
      </c>
      <c r="BE1716" s="1" t="str">
        <f t="shared" si="1106"/>
        <v>LAN+TWILL CANVAS + SIN.LEATHER</v>
      </c>
      <c r="BF1716" s="1" t="str">
        <f t="shared" si="1100"/>
        <v>Bonis SpA</v>
      </c>
    </row>
    <row r="1717" spans="2:58" x14ac:dyDescent="0.25">
      <c r="B1717" s="1">
        <v>2545</v>
      </c>
      <c r="C1717" s="1" t="str">
        <f t="shared" si="1108"/>
        <v>GALAN4183S7/CY1</v>
      </c>
      <c r="E1717" s="1" t="str">
        <f>"41"</f>
        <v>41</v>
      </c>
      <c r="F1717" s="1" t="str">
        <f t="shared" si="1089"/>
        <v>BONIS SPA</v>
      </c>
      <c r="G1717" s="1" t="str">
        <f t="shared" si="1111"/>
        <v>STOCK SCAFFALE MP</v>
      </c>
      <c r="H1717" s="1" t="str">
        <f t="shared" si="1113"/>
        <v>DKBL</v>
      </c>
      <c r="K1717" s="1">
        <v>3</v>
      </c>
      <c r="L1717" s="1" t="str">
        <f t="shared" si="1090"/>
        <v>01</v>
      </c>
      <c r="M1717" s="1" t="str">
        <f t="shared" si="1084"/>
        <v>409</v>
      </c>
      <c r="N1717" s="1" t="str">
        <f t="shared" si="1103"/>
        <v>009</v>
      </c>
      <c r="O1717" s="1" t="str">
        <f t="shared" si="1091"/>
        <v>00</v>
      </c>
      <c r="P1717" s="1" t="str">
        <f t="shared" si="1092"/>
        <v>S</v>
      </c>
      <c r="Q1717" s="1" t="str">
        <f t="shared" si="1093"/>
        <v>P</v>
      </c>
      <c r="R1717" s="1" t="str">
        <f t="shared" si="1094"/>
        <v>01</v>
      </c>
      <c r="S1717" s="1" t="str">
        <f t="shared" si="1112"/>
        <v>04</v>
      </c>
      <c r="T1717" s="1" t="str">
        <f t="shared" si="1095"/>
        <v>False</v>
      </c>
      <c r="U1717" s="1" t="str">
        <f t="shared" si="1096"/>
        <v>True</v>
      </c>
      <c r="V1717" s="1" t="str">
        <f>"U0023524"</f>
        <v>U0023524</v>
      </c>
      <c r="W1717" s="1">
        <v>1</v>
      </c>
      <c r="Y1717" s="1">
        <v>0</v>
      </c>
      <c r="Z1717" s="1">
        <v>0</v>
      </c>
      <c r="AB1717" s="1" t="str">
        <f t="shared" si="1085"/>
        <v>SMU</v>
      </c>
      <c r="AI1717" s="1" t="str">
        <f>"106"</f>
        <v>106</v>
      </c>
      <c r="AJ1717" s="1" t="str">
        <f t="shared" si="1104"/>
        <v>MAN</v>
      </c>
      <c r="AK1717" s="1" t="str">
        <f t="shared" si="1097"/>
        <v>PA</v>
      </c>
      <c r="AP1717" s="1" t="str">
        <f t="shared" si="1098"/>
        <v>False</v>
      </c>
      <c r="AR1717" s="1" t="str">
        <f t="shared" si="1105"/>
        <v>GALAN</v>
      </c>
      <c r="AY1717" s="1" t="str">
        <f t="shared" si="1099"/>
        <v>PF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 t="str">
        <f t="shared" si="1106"/>
        <v>LAN+TWILL CANVAS + SIN.LEATHER</v>
      </c>
      <c r="BF1717" s="1" t="str">
        <f t="shared" si="1100"/>
        <v>Bonis SpA</v>
      </c>
    </row>
    <row r="1718" spans="2:58" x14ac:dyDescent="0.25">
      <c r="B1718" s="1">
        <v>2545</v>
      </c>
      <c r="C1718" s="1" t="str">
        <f t="shared" si="1108"/>
        <v>GALAN4183S7/CY1</v>
      </c>
      <c r="E1718" s="1" t="str">
        <f>"41"</f>
        <v>41</v>
      </c>
      <c r="F1718" s="1" t="str">
        <f t="shared" si="1089"/>
        <v>BONIS SPA</v>
      </c>
      <c r="G1718" s="1" t="str">
        <f t="shared" si="1111"/>
        <v>STOCK SCAFFALE MP</v>
      </c>
      <c r="H1718" s="1" t="str">
        <f t="shared" si="1113"/>
        <v>DKBL</v>
      </c>
      <c r="K1718" s="1">
        <v>2</v>
      </c>
      <c r="L1718" s="1" t="str">
        <f t="shared" si="1090"/>
        <v>01</v>
      </c>
      <c r="M1718" s="1" t="str">
        <f t="shared" ref="M1718:M1781" si="1114">"409"</f>
        <v>409</v>
      </c>
      <c r="N1718" s="1" t="str">
        <f t="shared" ref="N1718:N1734" si="1115">"009"</f>
        <v>009</v>
      </c>
      <c r="O1718" s="1" t="str">
        <f t="shared" si="1091"/>
        <v>00</v>
      </c>
      <c r="P1718" s="1" t="str">
        <f t="shared" si="1092"/>
        <v>S</v>
      </c>
      <c r="Q1718" s="1" t="str">
        <f t="shared" si="1093"/>
        <v>P</v>
      </c>
      <c r="R1718" s="1" t="str">
        <f t="shared" si="1094"/>
        <v>01</v>
      </c>
      <c r="S1718" s="1" t="str">
        <f t="shared" si="1112"/>
        <v>04</v>
      </c>
      <c r="T1718" s="1" t="str">
        <f t="shared" si="1095"/>
        <v>False</v>
      </c>
      <c r="U1718" s="1" t="str">
        <f t="shared" si="1096"/>
        <v>True</v>
      </c>
      <c r="V1718" s="1" t="str">
        <f>"U0032612"</f>
        <v>U0032612</v>
      </c>
      <c r="W1718" s="1">
        <v>1</v>
      </c>
      <c r="Y1718" s="1">
        <v>0</v>
      </c>
      <c r="Z1718" s="1">
        <v>0</v>
      </c>
      <c r="AB1718" s="1" t="str">
        <f t="shared" ref="AB1718:AB1781" si="1116">"SMU"</f>
        <v>SMU</v>
      </c>
      <c r="AI1718" s="1" t="str">
        <f>"106"</f>
        <v>106</v>
      </c>
      <c r="AJ1718" s="1" t="str">
        <f t="shared" ref="AJ1718:AJ1749" si="1117">"MAN"</f>
        <v>MAN</v>
      </c>
      <c r="AK1718" s="1" t="str">
        <f t="shared" si="1097"/>
        <v>PA</v>
      </c>
      <c r="AP1718" s="1" t="str">
        <f t="shared" si="1098"/>
        <v>False</v>
      </c>
      <c r="AR1718" s="1" t="str">
        <f t="shared" si="1105"/>
        <v>GALAN</v>
      </c>
      <c r="AY1718" s="1" t="str">
        <f t="shared" si="1099"/>
        <v>PF</v>
      </c>
      <c r="AZ1718" s="1">
        <v>0</v>
      </c>
      <c r="BA1718" s="1">
        <v>0</v>
      </c>
      <c r="BB1718" s="1">
        <v>0</v>
      </c>
      <c r="BC1718" s="1">
        <v>0</v>
      </c>
      <c r="BD1718" s="1">
        <v>0</v>
      </c>
      <c r="BE1718" s="1" t="str">
        <f t="shared" si="1106"/>
        <v>LAN+TWILL CANVAS + SIN.LEATHER</v>
      </c>
      <c r="BF1718" s="1" t="str">
        <f t="shared" si="1100"/>
        <v>Bonis SpA</v>
      </c>
    </row>
    <row r="1719" spans="2:58" x14ac:dyDescent="0.25">
      <c r="B1719" s="1">
        <v>2545</v>
      </c>
      <c r="C1719" s="1" t="str">
        <f t="shared" si="1108"/>
        <v>GALAN4183S7/CY1</v>
      </c>
      <c r="E1719" s="1" t="str">
        <f>"41"</f>
        <v>41</v>
      </c>
      <c r="F1719" s="1" t="str">
        <f t="shared" si="1089"/>
        <v>BONIS SPA</v>
      </c>
      <c r="G1719" s="1" t="str">
        <f t="shared" si="1111"/>
        <v>STOCK SCAFFALE MP</v>
      </c>
      <c r="H1719" s="1" t="str">
        <f t="shared" si="1113"/>
        <v>DKBL</v>
      </c>
      <c r="K1719" s="1">
        <v>1</v>
      </c>
      <c r="L1719" s="1" t="str">
        <f t="shared" si="1090"/>
        <v>01</v>
      </c>
      <c r="M1719" s="1" t="str">
        <f t="shared" si="1114"/>
        <v>409</v>
      </c>
      <c r="N1719" s="1" t="str">
        <f t="shared" si="1115"/>
        <v>009</v>
      </c>
      <c r="O1719" s="1" t="str">
        <f t="shared" si="1091"/>
        <v>00</v>
      </c>
      <c r="P1719" s="1" t="str">
        <f t="shared" si="1092"/>
        <v>S</v>
      </c>
      <c r="Q1719" s="1" t="str">
        <f t="shared" si="1093"/>
        <v>P</v>
      </c>
      <c r="R1719" s="1" t="str">
        <f t="shared" si="1094"/>
        <v>01</v>
      </c>
      <c r="S1719" s="1" t="str">
        <f t="shared" si="1112"/>
        <v>04</v>
      </c>
      <c r="T1719" s="1" t="str">
        <f t="shared" si="1095"/>
        <v>False</v>
      </c>
      <c r="U1719" s="1" t="str">
        <f t="shared" si="1096"/>
        <v>True</v>
      </c>
      <c r="V1719" s="1" t="str">
        <f>"U0028179"</f>
        <v>U0028179</v>
      </c>
      <c r="W1719" s="1">
        <v>1</v>
      </c>
      <c r="Y1719" s="1">
        <v>0</v>
      </c>
      <c r="Z1719" s="1">
        <v>0</v>
      </c>
      <c r="AB1719" s="1" t="str">
        <f t="shared" si="1116"/>
        <v>SMU</v>
      </c>
      <c r="AI1719" s="1" t="str">
        <f>"106"</f>
        <v>106</v>
      </c>
      <c r="AJ1719" s="1" t="str">
        <f t="shared" si="1117"/>
        <v>MAN</v>
      </c>
      <c r="AK1719" s="1" t="str">
        <f t="shared" si="1097"/>
        <v>PA</v>
      </c>
      <c r="AP1719" s="1" t="str">
        <f t="shared" si="1098"/>
        <v>False</v>
      </c>
      <c r="AR1719" s="1" t="str">
        <f t="shared" si="1105"/>
        <v>GALAN</v>
      </c>
      <c r="AY1719" s="1" t="str">
        <f t="shared" si="1099"/>
        <v>PF</v>
      </c>
      <c r="AZ1719" s="1">
        <v>0</v>
      </c>
      <c r="BA1719" s="1">
        <v>0</v>
      </c>
      <c r="BB1719" s="1">
        <v>0</v>
      </c>
      <c r="BC1719" s="1">
        <v>0</v>
      </c>
      <c r="BD1719" s="1">
        <v>0</v>
      </c>
      <c r="BE1719" s="1" t="str">
        <f t="shared" si="1106"/>
        <v>LAN+TWILL CANVAS + SIN.LEATHER</v>
      </c>
      <c r="BF1719" s="1" t="str">
        <f t="shared" si="1100"/>
        <v>Bonis SpA</v>
      </c>
    </row>
    <row r="1720" spans="2:58" x14ac:dyDescent="0.25">
      <c r="B1720" s="1">
        <v>2545</v>
      </c>
      <c r="C1720" s="1" t="str">
        <f t="shared" si="1108"/>
        <v>GALAN4183S7/CY1</v>
      </c>
      <c r="E1720" s="1" t="str">
        <f>"41"</f>
        <v>41</v>
      </c>
      <c r="F1720" s="1" t="str">
        <f t="shared" si="1089"/>
        <v>BONIS SPA</v>
      </c>
      <c r="G1720" s="1" t="str">
        <f t="shared" si="1111"/>
        <v>STOCK SCAFFALE MP</v>
      </c>
      <c r="H1720" s="1" t="str">
        <f t="shared" si="1113"/>
        <v>DKBL</v>
      </c>
      <c r="K1720" s="1">
        <v>1</v>
      </c>
      <c r="L1720" s="1" t="str">
        <f t="shared" si="1090"/>
        <v>01</v>
      </c>
      <c r="M1720" s="1" t="str">
        <f t="shared" si="1114"/>
        <v>409</v>
      </c>
      <c r="N1720" s="1" t="str">
        <f t="shared" si="1115"/>
        <v>009</v>
      </c>
      <c r="O1720" s="1" t="str">
        <f t="shared" si="1091"/>
        <v>00</v>
      </c>
      <c r="P1720" s="1" t="str">
        <f t="shared" si="1092"/>
        <v>S</v>
      </c>
      <c r="Q1720" s="1" t="str">
        <f t="shared" si="1093"/>
        <v>P</v>
      </c>
      <c r="R1720" s="1" t="str">
        <f t="shared" si="1094"/>
        <v>01</v>
      </c>
      <c r="S1720" s="1" t="str">
        <f t="shared" si="1112"/>
        <v>04</v>
      </c>
      <c r="T1720" s="1" t="str">
        <f t="shared" si="1095"/>
        <v>False</v>
      </c>
      <c r="U1720" s="1" t="str">
        <f t="shared" si="1096"/>
        <v>True</v>
      </c>
      <c r="V1720" s="1" t="str">
        <f>"U0023683"</f>
        <v>U0023683</v>
      </c>
      <c r="W1720" s="1">
        <v>1</v>
      </c>
      <c r="Y1720" s="1">
        <v>0</v>
      </c>
      <c r="Z1720" s="1">
        <v>0</v>
      </c>
      <c r="AB1720" s="1" t="str">
        <f t="shared" si="1116"/>
        <v>SMU</v>
      </c>
      <c r="AI1720" s="1" t="str">
        <f>"106"</f>
        <v>106</v>
      </c>
      <c r="AJ1720" s="1" t="str">
        <f t="shared" si="1117"/>
        <v>MAN</v>
      </c>
      <c r="AK1720" s="1" t="str">
        <f t="shared" si="1097"/>
        <v>PA</v>
      </c>
      <c r="AP1720" s="1" t="str">
        <f t="shared" si="1098"/>
        <v>False</v>
      </c>
      <c r="AR1720" s="1" t="str">
        <f t="shared" si="1105"/>
        <v>GALAN</v>
      </c>
      <c r="AY1720" s="1" t="str">
        <f t="shared" si="1099"/>
        <v>PF</v>
      </c>
      <c r="AZ1720" s="1">
        <v>0</v>
      </c>
      <c r="BA1720" s="1">
        <v>0</v>
      </c>
      <c r="BB1720" s="1">
        <v>0</v>
      </c>
      <c r="BC1720" s="1">
        <v>0</v>
      </c>
      <c r="BD1720" s="1">
        <v>0</v>
      </c>
      <c r="BE1720" s="1" t="str">
        <f t="shared" si="1106"/>
        <v>LAN+TWILL CANVAS + SIN.LEATHER</v>
      </c>
      <c r="BF1720" s="1" t="str">
        <f t="shared" si="1100"/>
        <v>Bonis SpA</v>
      </c>
    </row>
    <row r="1721" spans="2:58" x14ac:dyDescent="0.25">
      <c r="B1721" s="1">
        <v>2545</v>
      </c>
      <c r="C1721" s="1" t="str">
        <f t="shared" si="1108"/>
        <v>GALAN4183S7/CY1</v>
      </c>
      <c r="E1721" s="1" t="str">
        <f>"40"</f>
        <v>40</v>
      </c>
      <c r="F1721" s="1" t="str">
        <f t="shared" si="1089"/>
        <v>BONIS SPA</v>
      </c>
      <c r="G1721" s="1" t="str">
        <f t="shared" si="1111"/>
        <v>STOCK SCAFFALE MP</v>
      </c>
      <c r="H1721" s="1" t="str">
        <f t="shared" si="1113"/>
        <v>DKBL</v>
      </c>
      <c r="K1721" s="1">
        <v>4</v>
      </c>
      <c r="L1721" s="1" t="str">
        <f t="shared" si="1090"/>
        <v>01</v>
      </c>
      <c r="M1721" s="1" t="str">
        <f t="shared" si="1114"/>
        <v>409</v>
      </c>
      <c r="N1721" s="1" t="str">
        <f t="shared" si="1115"/>
        <v>009</v>
      </c>
      <c r="O1721" s="1" t="str">
        <f t="shared" si="1091"/>
        <v>00</v>
      </c>
      <c r="P1721" s="1" t="str">
        <f t="shared" si="1092"/>
        <v>S</v>
      </c>
      <c r="Q1721" s="1" t="str">
        <f t="shared" si="1093"/>
        <v>P</v>
      </c>
      <c r="R1721" s="1" t="str">
        <f t="shared" si="1094"/>
        <v>01</v>
      </c>
      <c r="S1721" s="1" t="str">
        <f t="shared" si="1112"/>
        <v>04</v>
      </c>
      <c r="T1721" s="1" t="str">
        <f t="shared" si="1095"/>
        <v>False</v>
      </c>
      <c r="U1721" s="1" t="str">
        <f t="shared" si="1096"/>
        <v>True</v>
      </c>
      <c r="V1721" s="1" t="str">
        <f>"U0027752"</f>
        <v>U0027752</v>
      </c>
      <c r="W1721" s="1">
        <v>1</v>
      </c>
      <c r="Y1721" s="1">
        <v>0</v>
      </c>
      <c r="Z1721" s="1">
        <v>0</v>
      </c>
      <c r="AB1721" s="1" t="str">
        <f t="shared" si="1116"/>
        <v>SMU</v>
      </c>
      <c r="AI1721" s="1" t="str">
        <f t="shared" ref="AI1721:AI1737" si="1118">"F11"</f>
        <v>F11</v>
      </c>
      <c r="AJ1721" s="1" t="str">
        <f t="shared" si="1117"/>
        <v>MAN</v>
      </c>
      <c r="AK1721" s="1" t="str">
        <f t="shared" si="1097"/>
        <v>PA</v>
      </c>
      <c r="AP1721" s="1" t="str">
        <f t="shared" si="1098"/>
        <v>False</v>
      </c>
      <c r="AR1721" s="1" t="str">
        <f t="shared" si="1105"/>
        <v>GALAN</v>
      </c>
      <c r="AY1721" s="1" t="str">
        <f t="shared" si="1099"/>
        <v>PF</v>
      </c>
      <c r="AZ1721" s="1">
        <v>0</v>
      </c>
      <c r="BA1721" s="1">
        <v>0</v>
      </c>
      <c r="BB1721" s="1">
        <v>0</v>
      </c>
      <c r="BC1721" s="1">
        <v>0</v>
      </c>
      <c r="BD1721" s="1">
        <v>0</v>
      </c>
      <c r="BE1721" s="1" t="str">
        <f t="shared" si="1106"/>
        <v>LAN+TWILL CANVAS + SIN.LEATHER</v>
      </c>
      <c r="BF1721" s="1" t="str">
        <f t="shared" si="1100"/>
        <v>Bonis SpA</v>
      </c>
    </row>
    <row r="1722" spans="2:58" x14ac:dyDescent="0.25">
      <c r="B1722" s="1">
        <v>2545</v>
      </c>
      <c r="C1722" s="1" t="str">
        <f t="shared" si="1108"/>
        <v>GALAN4183S7/CY1</v>
      </c>
      <c r="E1722" s="1" t="str">
        <f>"43"</f>
        <v>43</v>
      </c>
      <c r="F1722" s="1" t="str">
        <f t="shared" si="1089"/>
        <v>BONIS SPA</v>
      </c>
      <c r="G1722" s="1" t="str">
        <f t="shared" si="1111"/>
        <v>STOCK SCAFFALE MP</v>
      </c>
      <c r="H1722" s="1" t="str">
        <f t="shared" si="1113"/>
        <v>DKBL</v>
      </c>
      <c r="K1722" s="1">
        <v>2</v>
      </c>
      <c r="L1722" s="1" t="str">
        <f t="shared" si="1090"/>
        <v>01</v>
      </c>
      <c r="M1722" s="1" t="str">
        <f t="shared" si="1114"/>
        <v>409</v>
      </c>
      <c r="N1722" s="1" t="str">
        <f t="shared" si="1115"/>
        <v>009</v>
      </c>
      <c r="O1722" s="1" t="str">
        <f t="shared" si="1091"/>
        <v>00</v>
      </c>
      <c r="P1722" s="1" t="str">
        <f t="shared" si="1092"/>
        <v>S</v>
      </c>
      <c r="Q1722" s="1" t="str">
        <f t="shared" si="1093"/>
        <v>P</v>
      </c>
      <c r="R1722" s="1" t="str">
        <f t="shared" si="1094"/>
        <v>01</v>
      </c>
      <c r="S1722" s="1" t="str">
        <f t="shared" si="1112"/>
        <v>04</v>
      </c>
      <c r="T1722" s="1" t="str">
        <f t="shared" si="1095"/>
        <v>False</v>
      </c>
      <c r="U1722" s="1" t="str">
        <f t="shared" si="1096"/>
        <v>True</v>
      </c>
      <c r="V1722" s="1" t="str">
        <f>"U0027752"</f>
        <v>U0027752</v>
      </c>
      <c r="W1722" s="1">
        <v>1</v>
      </c>
      <c r="Y1722" s="1">
        <v>0</v>
      </c>
      <c r="Z1722" s="1">
        <v>0</v>
      </c>
      <c r="AB1722" s="1" t="str">
        <f t="shared" si="1116"/>
        <v>SMU</v>
      </c>
      <c r="AI1722" s="1" t="str">
        <f t="shared" si="1118"/>
        <v>F11</v>
      </c>
      <c r="AJ1722" s="1" t="str">
        <f t="shared" si="1117"/>
        <v>MAN</v>
      </c>
      <c r="AK1722" s="1" t="str">
        <f t="shared" si="1097"/>
        <v>PA</v>
      </c>
      <c r="AP1722" s="1" t="str">
        <f t="shared" si="1098"/>
        <v>False</v>
      </c>
      <c r="AR1722" s="1" t="str">
        <f t="shared" si="1105"/>
        <v>GALAN</v>
      </c>
      <c r="AY1722" s="1" t="str">
        <f t="shared" si="1099"/>
        <v>PF</v>
      </c>
      <c r="AZ1722" s="1">
        <v>0</v>
      </c>
      <c r="BA1722" s="1">
        <v>0</v>
      </c>
      <c r="BB1722" s="1">
        <v>0</v>
      </c>
      <c r="BC1722" s="1">
        <v>0</v>
      </c>
      <c r="BD1722" s="1">
        <v>0</v>
      </c>
      <c r="BE1722" s="1" t="str">
        <f t="shared" si="1106"/>
        <v>LAN+TWILL CANVAS + SIN.LEATHER</v>
      </c>
      <c r="BF1722" s="1" t="str">
        <f t="shared" si="1100"/>
        <v>Bonis SpA</v>
      </c>
    </row>
    <row r="1723" spans="2:58" x14ac:dyDescent="0.25">
      <c r="B1723" s="1">
        <v>2545</v>
      </c>
      <c r="C1723" s="1" t="str">
        <f t="shared" si="1108"/>
        <v>GALAN4183S7/CY1</v>
      </c>
      <c r="E1723" s="1" t="str">
        <f>"42"</f>
        <v>42</v>
      </c>
      <c r="F1723" s="1" t="str">
        <f t="shared" si="1089"/>
        <v>BONIS SPA</v>
      </c>
      <c r="G1723" s="1" t="str">
        <f t="shared" si="1111"/>
        <v>STOCK SCAFFALE MP</v>
      </c>
      <c r="H1723" s="1" t="str">
        <f t="shared" si="1113"/>
        <v>DKBL</v>
      </c>
      <c r="K1723" s="1">
        <v>3</v>
      </c>
      <c r="L1723" s="1" t="str">
        <f t="shared" si="1090"/>
        <v>01</v>
      </c>
      <c r="M1723" s="1" t="str">
        <f t="shared" si="1114"/>
        <v>409</v>
      </c>
      <c r="N1723" s="1" t="str">
        <f t="shared" si="1115"/>
        <v>009</v>
      </c>
      <c r="O1723" s="1" t="str">
        <f t="shared" si="1091"/>
        <v>00</v>
      </c>
      <c r="P1723" s="1" t="str">
        <f t="shared" si="1092"/>
        <v>S</v>
      </c>
      <c r="Q1723" s="1" t="str">
        <f t="shared" si="1093"/>
        <v>P</v>
      </c>
      <c r="R1723" s="1" t="str">
        <f t="shared" si="1094"/>
        <v>01</v>
      </c>
      <c r="S1723" s="1" t="str">
        <f t="shared" si="1112"/>
        <v>04</v>
      </c>
      <c r="T1723" s="1" t="str">
        <f t="shared" si="1095"/>
        <v>False</v>
      </c>
      <c r="U1723" s="1" t="str">
        <f t="shared" si="1096"/>
        <v>True</v>
      </c>
      <c r="V1723" s="1" t="str">
        <f>"U0027752"</f>
        <v>U0027752</v>
      </c>
      <c r="W1723" s="1">
        <v>1</v>
      </c>
      <c r="Y1723" s="1">
        <v>0</v>
      </c>
      <c r="Z1723" s="1">
        <v>0</v>
      </c>
      <c r="AB1723" s="1" t="str">
        <f t="shared" si="1116"/>
        <v>SMU</v>
      </c>
      <c r="AI1723" s="1" t="str">
        <f t="shared" si="1118"/>
        <v>F11</v>
      </c>
      <c r="AJ1723" s="1" t="str">
        <f t="shared" si="1117"/>
        <v>MAN</v>
      </c>
      <c r="AK1723" s="1" t="str">
        <f t="shared" si="1097"/>
        <v>PA</v>
      </c>
      <c r="AP1723" s="1" t="str">
        <f t="shared" si="1098"/>
        <v>False</v>
      </c>
      <c r="AR1723" s="1" t="str">
        <f t="shared" si="1105"/>
        <v>GALAN</v>
      </c>
      <c r="AY1723" s="1" t="str">
        <f t="shared" si="1099"/>
        <v>PF</v>
      </c>
      <c r="AZ1723" s="1">
        <v>0</v>
      </c>
      <c r="BA1723" s="1">
        <v>0</v>
      </c>
      <c r="BB1723" s="1">
        <v>0</v>
      </c>
      <c r="BC1723" s="1">
        <v>0</v>
      </c>
      <c r="BD1723" s="1">
        <v>0</v>
      </c>
      <c r="BE1723" s="1" t="str">
        <f t="shared" si="1106"/>
        <v>LAN+TWILL CANVAS + SIN.LEATHER</v>
      </c>
      <c r="BF1723" s="1" t="str">
        <f t="shared" si="1100"/>
        <v>Bonis SpA</v>
      </c>
    </row>
    <row r="1724" spans="2:58" x14ac:dyDescent="0.25">
      <c r="B1724" s="1">
        <v>2545</v>
      </c>
      <c r="C1724" s="1" t="str">
        <f t="shared" ref="C1724:C1740" si="1119">"RUMBO4186S7/C1"</f>
        <v>RUMBO4186S7/C1</v>
      </c>
      <c r="E1724" s="1" t="str">
        <f>"42"</f>
        <v>42</v>
      </c>
      <c r="F1724" s="1" t="str">
        <f t="shared" si="1089"/>
        <v>BONIS SPA</v>
      </c>
      <c r="G1724" s="1" t="str">
        <f t="shared" si="1111"/>
        <v>STOCK SCAFFALE MP</v>
      </c>
      <c r="H1724" s="1" t="str">
        <f>"WHI"</f>
        <v>WHI</v>
      </c>
      <c r="K1724" s="1">
        <v>10</v>
      </c>
      <c r="L1724" s="1" t="str">
        <f t="shared" si="1090"/>
        <v>01</v>
      </c>
      <c r="M1724" s="1" t="str">
        <f t="shared" si="1114"/>
        <v>409</v>
      </c>
      <c r="N1724" s="1" t="str">
        <f t="shared" si="1115"/>
        <v>009</v>
      </c>
      <c r="O1724" s="1" t="str">
        <f t="shared" si="1091"/>
        <v>00</v>
      </c>
      <c r="P1724" s="1" t="str">
        <f t="shared" si="1092"/>
        <v>S</v>
      </c>
      <c r="Q1724" s="1" t="str">
        <f t="shared" si="1093"/>
        <v>P</v>
      </c>
      <c r="R1724" s="1" t="str">
        <f t="shared" si="1094"/>
        <v>01</v>
      </c>
      <c r="S1724" s="1" t="str">
        <f t="shared" si="1112"/>
        <v>04</v>
      </c>
      <c r="T1724" s="1" t="str">
        <f t="shared" si="1095"/>
        <v>False</v>
      </c>
      <c r="U1724" s="1" t="str">
        <f t="shared" si="1096"/>
        <v>True</v>
      </c>
      <c r="V1724" s="1" t="str">
        <f>"U0032612"</f>
        <v>U0032612</v>
      </c>
      <c r="W1724" s="1">
        <v>1</v>
      </c>
      <c r="Y1724" s="1">
        <v>0</v>
      </c>
      <c r="Z1724" s="1">
        <v>0</v>
      </c>
      <c r="AB1724" s="1" t="str">
        <f t="shared" si="1116"/>
        <v>SMU</v>
      </c>
      <c r="AI1724" s="1" t="str">
        <f t="shared" si="1118"/>
        <v>F11</v>
      </c>
      <c r="AJ1724" s="1" t="str">
        <f t="shared" si="1117"/>
        <v>MAN</v>
      </c>
      <c r="AK1724" s="1" t="str">
        <f t="shared" si="1097"/>
        <v>PA</v>
      </c>
      <c r="AP1724" s="1" t="str">
        <f t="shared" si="1098"/>
        <v>False</v>
      </c>
      <c r="AR1724" s="1" t="str">
        <f t="shared" ref="AR1724:AR1740" si="1120">"RUMBO"</f>
        <v>RUMBO</v>
      </c>
      <c r="AY1724" s="1" t="str">
        <f t="shared" si="1099"/>
        <v>PF</v>
      </c>
      <c r="AZ1724" s="1">
        <v>0</v>
      </c>
      <c r="BA1724" s="1">
        <v>0</v>
      </c>
      <c r="BB1724" s="1">
        <v>0</v>
      </c>
      <c r="BC1724" s="1">
        <v>0</v>
      </c>
      <c r="BD1724" s="1">
        <v>0</v>
      </c>
      <c r="BE1724" s="1" t="str">
        <f t="shared" ref="BE1724:BE1740" si="1121">"MBO TWILL CANVAS"</f>
        <v>MBO TWILL CANVAS</v>
      </c>
      <c r="BF1724" s="1" t="str">
        <f t="shared" si="1100"/>
        <v>Bonis SpA</v>
      </c>
    </row>
    <row r="1725" spans="2:58" x14ac:dyDescent="0.25">
      <c r="B1725" s="1">
        <v>2545</v>
      </c>
      <c r="C1725" s="1" t="str">
        <f t="shared" si="1119"/>
        <v>RUMBO4186S7/C1</v>
      </c>
      <c r="E1725" s="1" t="str">
        <f>"41"</f>
        <v>41</v>
      </c>
      <c r="F1725" s="1" t="str">
        <f t="shared" si="1089"/>
        <v>BONIS SPA</v>
      </c>
      <c r="G1725" s="1" t="str">
        <f t="shared" si="1111"/>
        <v>STOCK SCAFFALE MP</v>
      </c>
      <c r="H1725" s="1" t="str">
        <f>"BLK"</f>
        <v>BLK</v>
      </c>
      <c r="K1725" s="1">
        <v>11</v>
      </c>
      <c r="L1725" s="1" t="str">
        <f t="shared" si="1090"/>
        <v>01</v>
      </c>
      <c r="M1725" s="1" t="str">
        <f t="shared" si="1114"/>
        <v>409</v>
      </c>
      <c r="N1725" s="1" t="str">
        <f t="shared" si="1115"/>
        <v>009</v>
      </c>
      <c r="O1725" s="1" t="str">
        <f t="shared" si="1091"/>
        <v>00</v>
      </c>
      <c r="P1725" s="1" t="str">
        <f t="shared" si="1092"/>
        <v>S</v>
      </c>
      <c r="Q1725" s="1" t="str">
        <f t="shared" si="1093"/>
        <v>P</v>
      </c>
      <c r="R1725" s="1" t="str">
        <f t="shared" si="1094"/>
        <v>01</v>
      </c>
      <c r="S1725" s="1" t="str">
        <f t="shared" si="1112"/>
        <v>04</v>
      </c>
      <c r="T1725" s="1" t="str">
        <f t="shared" si="1095"/>
        <v>False</v>
      </c>
      <c r="U1725" s="1" t="str">
        <f t="shared" si="1096"/>
        <v>True</v>
      </c>
      <c r="V1725" s="1" t="str">
        <f>"U0032611"</f>
        <v>U0032611</v>
      </c>
      <c r="W1725" s="1">
        <v>1</v>
      </c>
      <c r="Y1725" s="1">
        <v>0</v>
      </c>
      <c r="Z1725" s="1">
        <v>0</v>
      </c>
      <c r="AB1725" s="1" t="str">
        <f t="shared" si="1116"/>
        <v>SMU</v>
      </c>
      <c r="AI1725" s="1" t="str">
        <f t="shared" si="1118"/>
        <v>F11</v>
      </c>
      <c r="AJ1725" s="1" t="str">
        <f t="shared" si="1117"/>
        <v>MAN</v>
      </c>
      <c r="AK1725" s="1" t="str">
        <f t="shared" si="1097"/>
        <v>PA</v>
      </c>
      <c r="AP1725" s="1" t="str">
        <f t="shared" si="1098"/>
        <v>False</v>
      </c>
      <c r="AR1725" s="1" t="str">
        <f t="shared" si="1120"/>
        <v>RUMBO</v>
      </c>
      <c r="AY1725" s="1" t="str">
        <f t="shared" si="1099"/>
        <v>PF</v>
      </c>
      <c r="AZ1725" s="1">
        <v>0</v>
      </c>
      <c r="BA1725" s="1">
        <v>0</v>
      </c>
      <c r="BB1725" s="1">
        <v>0</v>
      </c>
      <c r="BC1725" s="1">
        <v>0</v>
      </c>
      <c r="BD1725" s="1">
        <v>0</v>
      </c>
      <c r="BE1725" s="1" t="str">
        <f t="shared" si="1121"/>
        <v>MBO TWILL CANVAS</v>
      </c>
      <c r="BF1725" s="1" t="str">
        <f t="shared" si="1100"/>
        <v>Bonis SpA</v>
      </c>
    </row>
    <row r="1726" spans="2:58" x14ac:dyDescent="0.25">
      <c r="B1726" s="1">
        <v>2545</v>
      </c>
      <c r="C1726" s="1" t="str">
        <f t="shared" si="1119"/>
        <v>RUMBO4186S7/C1</v>
      </c>
      <c r="E1726" s="1" t="str">
        <f>"42"</f>
        <v>42</v>
      </c>
      <c r="F1726" s="1" t="str">
        <f t="shared" si="1089"/>
        <v>BONIS SPA</v>
      </c>
      <c r="G1726" s="1" t="str">
        <f t="shared" si="1111"/>
        <v>STOCK SCAFFALE MP</v>
      </c>
      <c r="H1726" s="1" t="str">
        <f>"BLK"</f>
        <v>BLK</v>
      </c>
      <c r="K1726" s="1">
        <v>1</v>
      </c>
      <c r="L1726" s="1" t="str">
        <f t="shared" si="1090"/>
        <v>01</v>
      </c>
      <c r="M1726" s="1" t="str">
        <f t="shared" si="1114"/>
        <v>409</v>
      </c>
      <c r="N1726" s="1" t="str">
        <f t="shared" si="1115"/>
        <v>009</v>
      </c>
      <c r="O1726" s="1" t="str">
        <f t="shared" si="1091"/>
        <v>00</v>
      </c>
      <c r="P1726" s="1" t="str">
        <f t="shared" si="1092"/>
        <v>S</v>
      </c>
      <c r="Q1726" s="1" t="str">
        <f t="shared" si="1093"/>
        <v>P</v>
      </c>
      <c r="R1726" s="1" t="str">
        <f t="shared" si="1094"/>
        <v>01</v>
      </c>
      <c r="S1726" s="1" t="str">
        <f t="shared" si="1112"/>
        <v>04</v>
      </c>
      <c r="T1726" s="1" t="str">
        <f t="shared" si="1095"/>
        <v>False</v>
      </c>
      <c r="U1726" s="1" t="str">
        <f t="shared" si="1096"/>
        <v>True</v>
      </c>
      <c r="V1726" s="1" t="str">
        <f>"U0023128"</f>
        <v>U0023128</v>
      </c>
      <c r="W1726" s="1">
        <v>1</v>
      </c>
      <c r="Y1726" s="1">
        <v>0</v>
      </c>
      <c r="Z1726" s="1">
        <v>0</v>
      </c>
      <c r="AB1726" s="1" t="str">
        <f t="shared" si="1116"/>
        <v>SMU</v>
      </c>
      <c r="AI1726" s="1" t="str">
        <f t="shared" si="1118"/>
        <v>F11</v>
      </c>
      <c r="AJ1726" s="1" t="str">
        <f t="shared" si="1117"/>
        <v>MAN</v>
      </c>
      <c r="AK1726" s="1" t="str">
        <f t="shared" si="1097"/>
        <v>PA</v>
      </c>
      <c r="AP1726" s="1" t="str">
        <f t="shared" si="1098"/>
        <v>False</v>
      </c>
      <c r="AR1726" s="1" t="str">
        <f t="shared" si="1120"/>
        <v>RUMBO</v>
      </c>
      <c r="AY1726" s="1" t="str">
        <f t="shared" si="1099"/>
        <v>PF</v>
      </c>
      <c r="AZ1726" s="1">
        <v>0</v>
      </c>
      <c r="BA1726" s="1">
        <v>0</v>
      </c>
      <c r="BB1726" s="1">
        <v>0</v>
      </c>
      <c r="BC1726" s="1">
        <v>0</v>
      </c>
      <c r="BD1726" s="1">
        <v>0</v>
      </c>
      <c r="BE1726" s="1" t="str">
        <f t="shared" si="1121"/>
        <v>MBO TWILL CANVAS</v>
      </c>
      <c r="BF1726" s="1" t="str">
        <f t="shared" si="1100"/>
        <v>Bonis SpA</v>
      </c>
    </row>
    <row r="1727" spans="2:58" x14ac:dyDescent="0.25">
      <c r="B1727" s="1">
        <v>2545</v>
      </c>
      <c r="C1727" s="1" t="str">
        <f t="shared" si="1119"/>
        <v>RUMBO4186S7/C1</v>
      </c>
      <c r="E1727" s="1" t="str">
        <f>"40"</f>
        <v>40</v>
      </c>
      <c r="F1727" s="1" t="str">
        <f t="shared" si="1089"/>
        <v>BONIS SPA</v>
      </c>
      <c r="G1727" s="1" t="str">
        <f t="shared" si="1111"/>
        <v>STOCK SCAFFALE MP</v>
      </c>
      <c r="H1727" s="1" t="str">
        <f>"BLK"</f>
        <v>BLK</v>
      </c>
      <c r="K1727" s="1">
        <v>11</v>
      </c>
      <c r="L1727" s="1" t="str">
        <f t="shared" si="1090"/>
        <v>01</v>
      </c>
      <c r="M1727" s="1" t="str">
        <f t="shared" si="1114"/>
        <v>409</v>
      </c>
      <c r="N1727" s="1" t="str">
        <f t="shared" si="1115"/>
        <v>009</v>
      </c>
      <c r="O1727" s="1" t="str">
        <f t="shared" si="1091"/>
        <v>00</v>
      </c>
      <c r="P1727" s="1" t="str">
        <f t="shared" si="1092"/>
        <v>S</v>
      </c>
      <c r="Q1727" s="1" t="str">
        <f t="shared" si="1093"/>
        <v>P</v>
      </c>
      <c r="R1727" s="1" t="str">
        <f t="shared" si="1094"/>
        <v>01</v>
      </c>
      <c r="S1727" s="1" t="str">
        <f t="shared" si="1112"/>
        <v>04</v>
      </c>
      <c r="T1727" s="1" t="str">
        <f t="shared" si="1095"/>
        <v>False</v>
      </c>
      <c r="U1727" s="1" t="str">
        <f t="shared" si="1096"/>
        <v>True</v>
      </c>
      <c r="V1727" s="1" t="str">
        <f>"U0023128"</f>
        <v>U0023128</v>
      </c>
      <c r="W1727" s="1">
        <v>1</v>
      </c>
      <c r="Y1727" s="1">
        <v>0</v>
      </c>
      <c r="Z1727" s="1">
        <v>0</v>
      </c>
      <c r="AB1727" s="1" t="str">
        <f t="shared" si="1116"/>
        <v>SMU</v>
      </c>
      <c r="AI1727" s="1" t="str">
        <f t="shared" si="1118"/>
        <v>F11</v>
      </c>
      <c r="AJ1727" s="1" t="str">
        <f t="shared" si="1117"/>
        <v>MAN</v>
      </c>
      <c r="AK1727" s="1" t="str">
        <f t="shared" si="1097"/>
        <v>PA</v>
      </c>
      <c r="AP1727" s="1" t="str">
        <f t="shared" si="1098"/>
        <v>False</v>
      </c>
      <c r="AR1727" s="1" t="str">
        <f t="shared" si="1120"/>
        <v>RUMBO</v>
      </c>
      <c r="AY1727" s="1" t="str">
        <f t="shared" si="1099"/>
        <v>PF</v>
      </c>
      <c r="AZ1727" s="1">
        <v>0</v>
      </c>
      <c r="BA1727" s="1">
        <v>0</v>
      </c>
      <c r="BB1727" s="1">
        <v>0</v>
      </c>
      <c r="BC1727" s="1">
        <v>0</v>
      </c>
      <c r="BD1727" s="1">
        <v>0</v>
      </c>
      <c r="BE1727" s="1" t="str">
        <f t="shared" si="1121"/>
        <v>MBO TWILL CANVAS</v>
      </c>
      <c r="BF1727" s="1" t="str">
        <f t="shared" si="1100"/>
        <v>Bonis SpA</v>
      </c>
    </row>
    <row r="1728" spans="2:58" x14ac:dyDescent="0.25">
      <c r="B1728" s="1">
        <v>2545</v>
      </c>
      <c r="C1728" s="1" t="str">
        <f t="shared" si="1119"/>
        <v>RUMBO4186S7/C1</v>
      </c>
      <c r="E1728" s="1" t="str">
        <f>"45"</f>
        <v>45</v>
      </c>
      <c r="F1728" s="1" t="str">
        <f t="shared" si="1089"/>
        <v>BONIS SPA</v>
      </c>
      <c r="G1728" s="1" t="str">
        <f t="shared" si="1111"/>
        <v>STOCK SCAFFALE MP</v>
      </c>
      <c r="H1728" s="1" t="str">
        <f>"RED"</f>
        <v>RED</v>
      </c>
      <c r="K1728" s="1">
        <v>3</v>
      </c>
      <c r="L1728" s="1" t="str">
        <f t="shared" si="1090"/>
        <v>01</v>
      </c>
      <c r="M1728" s="1" t="str">
        <f t="shared" si="1114"/>
        <v>409</v>
      </c>
      <c r="N1728" s="1" t="str">
        <f t="shared" si="1115"/>
        <v>009</v>
      </c>
      <c r="O1728" s="1" t="str">
        <f t="shared" si="1091"/>
        <v>00</v>
      </c>
      <c r="P1728" s="1" t="str">
        <f t="shared" si="1092"/>
        <v>S</v>
      </c>
      <c r="Q1728" s="1" t="str">
        <f t="shared" si="1093"/>
        <v>P</v>
      </c>
      <c r="R1728" s="1" t="str">
        <f t="shared" si="1094"/>
        <v>01</v>
      </c>
      <c r="S1728" s="1" t="str">
        <f t="shared" si="1112"/>
        <v>04</v>
      </c>
      <c r="T1728" s="1" t="str">
        <f t="shared" si="1095"/>
        <v>False</v>
      </c>
      <c r="U1728" s="1" t="str">
        <f t="shared" si="1096"/>
        <v>True</v>
      </c>
      <c r="V1728" s="1" t="str">
        <f>"U0023562"</f>
        <v>U0023562</v>
      </c>
      <c r="W1728" s="1">
        <v>1</v>
      </c>
      <c r="Y1728" s="1">
        <v>0</v>
      </c>
      <c r="Z1728" s="1">
        <v>0</v>
      </c>
      <c r="AB1728" s="1" t="str">
        <f t="shared" si="1116"/>
        <v>SMU</v>
      </c>
      <c r="AI1728" s="1" t="str">
        <f t="shared" si="1118"/>
        <v>F11</v>
      </c>
      <c r="AJ1728" s="1" t="str">
        <f t="shared" si="1117"/>
        <v>MAN</v>
      </c>
      <c r="AK1728" s="1" t="str">
        <f t="shared" si="1097"/>
        <v>PA</v>
      </c>
      <c r="AP1728" s="1" t="str">
        <f t="shared" si="1098"/>
        <v>False</v>
      </c>
      <c r="AR1728" s="1" t="str">
        <f t="shared" si="1120"/>
        <v>RUMBO</v>
      </c>
      <c r="AY1728" s="1" t="str">
        <f t="shared" si="1099"/>
        <v>PF</v>
      </c>
      <c r="AZ1728" s="1">
        <v>0</v>
      </c>
      <c r="BA1728" s="1">
        <v>0</v>
      </c>
      <c r="BB1728" s="1">
        <v>0</v>
      </c>
      <c r="BC1728" s="1">
        <v>0</v>
      </c>
      <c r="BD1728" s="1">
        <v>0</v>
      </c>
      <c r="BE1728" s="1" t="str">
        <f t="shared" si="1121"/>
        <v>MBO TWILL CANVAS</v>
      </c>
      <c r="BF1728" s="1" t="str">
        <f t="shared" si="1100"/>
        <v>Bonis SpA</v>
      </c>
    </row>
    <row r="1729" spans="2:58" x14ac:dyDescent="0.25">
      <c r="B1729" s="1">
        <v>2545</v>
      </c>
      <c r="C1729" s="1" t="str">
        <f t="shared" si="1119"/>
        <v>RUMBO4186S7/C1</v>
      </c>
      <c r="E1729" s="1" t="str">
        <f>"42"</f>
        <v>42</v>
      </c>
      <c r="F1729" s="1" t="str">
        <f t="shared" si="1089"/>
        <v>BONIS SPA</v>
      </c>
      <c r="G1729" s="1" t="str">
        <f t="shared" si="1111"/>
        <v>STOCK SCAFFALE MP</v>
      </c>
      <c r="H1729" s="1" t="str">
        <f>"RED"</f>
        <v>RED</v>
      </c>
      <c r="K1729" s="1">
        <v>7</v>
      </c>
      <c r="L1729" s="1" t="str">
        <f t="shared" si="1090"/>
        <v>01</v>
      </c>
      <c r="M1729" s="1" t="str">
        <f t="shared" si="1114"/>
        <v>409</v>
      </c>
      <c r="N1729" s="1" t="str">
        <f t="shared" si="1115"/>
        <v>009</v>
      </c>
      <c r="O1729" s="1" t="str">
        <f t="shared" si="1091"/>
        <v>00</v>
      </c>
      <c r="P1729" s="1" t="str">
        <f t="shared" si="1092"/>
        <v>S</v>
      </c>
      <c r="Q1729" s="1" t="str">
        <f t="shared" si="1093"/>
        <v>P</v>
      </c>
      <c r="R1729" s="1" t="str">
        <f t="shared" si="1094"/>
        <v>01</v>
      </c>
      <c r="S1729" s="1" t="str">
        <f t="shared" si="1112"/>
        <v>04</v>
      </c>
      <c r="T1729" s="1" t="str">
        <f t="shared" si="1095"/>
        <v>False</v>
      </c>
      <c r="U1729" s="1" t="str">
        <f t="shared" si="1096"/>
        <v>True</v>
      </c>
      <c r="V1729" s="1" t="str">
        <f>"U0023562"</f>
        <v>U0023562</v>
      </c>
      <c r="W1729" s="1">
        <v>1</v>
      </c>
      <c r="Y1729" s="1">
        <v>0</v>
      </c>
      <c r="Z1729" s="1">
        <v>0</v>
      </c>
      <c r="AB1729" s="1" t="str">
        <f t="shared" si="1116"/>
        <v>SMU</v>
      </c>
      <c r="AI1729" s="1" t="str">
        <f t="shared" si="1118"/>
        <v>F11</v>
      </c>
      <c r="AJ1729" s="1" t="str">
        <f t="shared" si="1117"/>
        <v>MAN</v>
      </c>
      <c r="AK1729" s="1" t="str">
        <f t="shared" si="1097"/>
        <v>PA</v>
      </c>
      <c r="AP1729" s="1" t="str">
        <f t="shared" si="1098"/>
        <v>False</v>
      </c>
      <c r="AR1729" s="1" t="str">
        <f t="shared" si="1120"/>
        <v>RUMBO</v>
      </c>
      <c r="AY1729" s="1" t="str">
        <f t="shared" si="1099"/>
        <v>PF</v>
      </c>
      <c r="AZ1729" s="1">
        <v>0</v>
      </c>
      <c r="BA1729" s="1">
        <v>0</v>
      </c>
      <c r="BB1729" s="1">
        <v>0</v>
      </c>
      <c r="BC1729" s="1">
        <v>0</v>
      </c>
      <c r="BD1729" s="1">
        <v>0</v>
      </c>
      <c r="BE1729" s="1" t="str">
        <f t="shared" si="1121"/>
        <v>MBO TWILL CANVAS</v>
      </c>
      <c r="BF1729" s="1" t="str">
        <f t="shared" si="1100"/>
        <v>Bonis SpA</v>
      </c>
    </row>
    <row r="1730" spans="2:58" x14ac:dyDescent="0.25">
      <c r="B1730" s="1">
        <v>2545</v>
      </c>
      <c r="C1730" s="1" t="str">
        <f t="shared" si="1119"/>
        <v>RUMBO4186S7/C1</v>
      </c>
      <c r="E1730" s="1" t="str">
        <f>"40"</f>
        <v>40</v>
      </c>
      <c r="F1730" s="1" t="str">
        <f t="shared" ref="F1730:F1793" si="1122">"BONIS SPA"</f>
        <v>BONIS SPA</v>
      </c>
      <c r="G1730" s="1" t="str">
        <f t="shared" si="1111"/>
        <v>STOCK SCAFFALE MP</v>
      </c>
      <c r="H1730" s="1" t="str">
        <f>"RED"</f>
        <v>RED</v>
      </c>
      <c r="K1730" s="1">
        <v>11</v>
      </c>
      <c r="L1730" s="1" t="str">
        <f t="shared" ref="L1730:L1793" si="1123">"01"</f>
        <v>01</v>
      </c>
      <c r="M1730" s="1" t="str">
        <f t="shared" si="1114"/>
        <v>409</v>
      </c>
      <c r="N1730" s="1" t="str">
        <f t="shared" si="1115"/>
        <v>009</v>
      </c>
      <c r="O1730" s="1" t="str">
        <f t="shared" ref="O1730:O1793" si="1124">"00"</f>
        <v>00</v>
      </c>
      <c r="P1730" s="1" t="str">
        <f t="shared" ref="P1730:P1793" si="1125">"S"</f>
        <v>S</v>
      </c>
      <c r="Q1730" s="1" t="str">
        <f t="shared" ref="Q1730:Q1793" si="1126">"P"</f>
        <v>P</v>
      </c>
      <c r="R1730" s="1" t="str">
        <f t="shared" ref="R1730:R1793" si="1127">"01"</f>
        <v>01</v>
      </c>
      <c r="S1730" s="1" t="str">
        <f t="shared" si="1112"/>
        <v>04</v>
      </c>
      <c r="T1730" s="1" t="str">
        <f t="shared" ref="T1730:T1793" si="1128">"False"</f>
        <v>False</v>
      </c>
      <c r="U1730" s="1" t="str">
        <f t="shared" ref="U1730:U1793" si="1129">"True"</f>
        <v>True</v>
      </c>
      <c r="V1730" s="1" t="str">
        <f>"U0028179"</f>
        <v>U0028179</v>
      </c>
      <c r="W1730" s="1">
        <v>1</v>
      </c>
      <c r="Y1730" s="1">
        <v>0</v>
      </c>
      <c r="Z1730" s="1">
        <v>0</v>
      </c>
      <c r="AB1730" s="1" t="str">
        <f t="shared" si="1116"/>
        <v>SMU</v>
      </c>
      <c r="AI1730" s="1" t="str">
        <f t="shared" si="1118"/>
        <v>F11</v>
      </c>
      <c r="AJ1730" s="1" t="str">
        <f t="shared" si="1117"/>
        <v>MAN</v>
      </c>
      <c r="AK1730" s="1" t="str">
        <f t="shared" ref="AK1730:AK1793" si="1130">"PA"</f>
        <v>PA</v>
      </c>
      <c r="AP1730" s="1" t="str">
        <f t="shared" ref="AP1730:AP1793" si="1131">"False"</f>
        <v>False</v>
      </c>
      <c r="AR1730" s="1" t="str">
        <f t="shared" si="1120"/>
        <v>RUMBO</v>
      </c>
      <c r="AY1730" s="1" t="str">
        <f t="shared" ref="AY1730:AY1793" si="1132">"PF"</f>
        <v>PF</v>
      </c>
      <c r="AZ1730" s="1">
        <v>0</v>
      </c>
      <c r="BA1730" s="1">
        <v>0</v>
      </c>
      <c r="BB1730" s="1">
        <v>0</v>
      </c>
      <c r="BC1730" s="1">
        <v>0</v>
      </c>
      <c r="BD1730" s="1">
        <v>0</v>
      </c>
      <c r="BE1730" s="1" t="str">
        <f t="shared" si="1121"/>
        <v>MBO TWILL CANVAS</v>
      </c>
      <c r="BF1730" s="1" t="str">
        <f t="shared" ref="BF1730:BF1793" si="1133">"Bonis SpA"</f>
        <v>Bonis SpA</v>
      </c>
    </row>
    <row r="1731" spans="2:58" x14ac:dyDescent="0.25">
      <c r="B1731" s="1">
        <v>2545</v>
      </c>
      <c r="C1731" s="1" t="str">
        <f t="shared" si="1119"/>
        <v>RUMBO4186S7/C1</v>
      </c>
      <c r="E1731" s="1" t="str">
        <f>"42"</f>
        <v>42</v>
      </c>
      <c r="F1731" s="1" t="str">
        <f t="shared" si="1122"/>
        <v>BONIS SPA</v>
      </c>
      <c r="G1731" s="1" t="str">
        <f t="shared" si="1111"/>
        <v>STOCK SCAFFALE MP</v>
      </c>
      <c r="H1731" s="1" t="str">
        <f>"BLK"</f>
        <v>BLK</v>
      </c>
      <c r="K1731" s="1">
        <v>3</v>
      </c>
      <c r="L1731" s="1" t="str">
        <f t="shared" si="1123"/>
        <v>01</v>
      </c>
      <c r="M1731" s="1" t="str">
        <f t="shared" si="1114"/>
        <v>409</v>
      </c>
      <c r="N1731" s="1" t="str">
        <f t="shared" si="1115"/>
        <v>009</v>
      </c>
      <c r="O1731" s="1" t="str">
        <f t="shared" si="1124"/>
        <v>00</v>
      </c>
      <c r="P1731" s="1" t="str">
        <f t="shared" si="1125"/>
        <v>S</v>
      </c>
      <c r="Q1731" s="1" t="str">
        <f t="shared" si="1126"/>
        <v>P</v>
      </c>
      <c r="R1731" s="1" t="str">
        <f t="shared" si="1127"/>
        <v>01</v>
      </c>
      <c r="S1731" s="1" t="str">
        <f t="shared" si="1112"/>
        <v>04</v>
      </c>
      <c r="T1731" s="1" t="str">
        <f t="shared" si="1128"/>
        <v>False</v>
      </c>
      <c r="U1731" s="1" t="str">
        <f t="shared" si="1129"/>
        <v>True</v>
      </c>
      <c r="V1731" s="1" t="str">
        <f>"U0032610"</f>
        <v>U0032610</v>
      </c>
      <c r="W1731" s="1">
        <v>1</v>
      </c>
      <c r="Y1731" s="1">
        <v>0</v>
      </c>
      <c r="Z1731" s="1">
        <v>0</v>
      </c>
      <c r="AB1731" s="1" t="str">
        <f t="shared" si="1116"/>
        <v>SMU</v>
      </c>
      <c r="AI1731" s="1" t="str">
        <f t="shared" si="1118"/>
        <v>F11</v>
      </c>
      <c r="AJ1731" s="1" t="str">
        <f t="shared" si="1117"/>
        <v>MAN</v>
      </c>
      <c r="AK1731" s="1" t="str">
        <f t="shared" si="1130"/>
        <v>PA</v>
      </c>
      <c r="AP1731" s="1" t="str">
        <f t="shared" si="1131"/>
        <v>False</v>
      </c>
      <c r="AR1731" s="1" t="str">
        <f t="shared" si="1120"/>
        <v>RUMBO</v>
      </c>
      <c r="AY1731" s="1" t="str">
        <f t="shared" si="1132"/>
        <v>PF</v>
      </c>
      <c r="AZ1731" s="1">
        <v>0</v>
      </c>
      <c r="BA1731" s="1">
        <v>0</v>
      </c>
      <c r="BB1731" s="1">
        <v>0</v>
      </c>
      <c r="BC1731" s="1">
        <v>0</v>
      </c>
      <c r="BD1731" s="1">
        <v>0</v>
      </c>
      <c r="BE1731" s="1" t="str">
        <f t="shared" si="1121"/>
        <v>MBO TWILL CANVAS</v>
      </c>
      <c r="BF1731" s="1" t="str">
        <f t="shared" si="1133"/>
        <v>Bonis SpA</v>
      </c>
    </row>
    <row r="1732" spans="2:58" x14ac:dyDescent="0.25">
      <c r="B1732" s="1">
        <v>2545</v>
      </c>
      <c r="C1732" s="1" t="str">
        <f t="shared" si="1119"/>
        <v>RUMBO4186S7/C1</v>
      </c>
      <c r="E1732" s="1" t="str">
        <f>"41"</f>
        <v>41</v>
      </c>
      <c r="F1732" s="1" t="str">
        <f t="shared" si="1122"/>
        <v>BONIS SPA</v>
      </c>
      <c r="G1732" s="1" t="str">
        <f t="shared" si="1111"/>
        <v>STOCK SCAFFALE MP</v>
      </c>
      <c r="H1732" s="1" t="str">
        <f>"RED"</f>
        <v>RED</v>
      </c>
      <c r="K1732" s="1">
        <v>6</v>
      </c>
      <c r="L1732" s="1" t="str">
        <f t="shared" si="1123"/>
        <v>01</v>
      </c>
      <c r="M1732" s="1" t="str">
        <f t="shared" si="1114"/>
        <v>409</v>
      </c>
      <c r="N1732" s="1" t="str">
        <f t="shared" si="1115"/>
        <v>009</v>
      </c>
      <c r="O1732" s="1" t="str">
        <f t="shared" si="1124"/>
        <v>00</v>
      </c>
      <c r="P1732" s="1" t="str">
        <f t="shared" si="1125"/>
        <v>S</v>
      </c>
      <c r="Q1732" s="1" t="str">
        <f t="shared" si="1126"/>
        <v>P</v>
      </c>
      <c r="R1732" s="1" t="str">
        <f t="shared" si="1127"/>
        <v>01</v>
      </c>
      <c r="S1732" s="1" t="str">
        <f t="shared" si="1112"/>
        <v>04</v>
      </c>
      <c r="T1732" s="1" t="str">
        <f t="shared" si="1128"/>
        <v>False</v>
      </c>
      <c r="U1732" s="1" t="str">
        <f t="shared" si="1129"/>
        <v>True</v>
      </c>
      <c r="V1732" s="1" t="str">
        <f>"U0032610"</f>
        <v>U0032610</v>
      </c>
      <c r="W1732" s="1">
        <v>1</v>
      </c>
      <c r="Y1732" s="1">
        <v>0</v>
      </c>
      <c r="Z1732" s="1">
        <v>0</v>
      </c>
      <c r="AB1732" s="1" t="str">
        <f t="shared" si="1116"/>
        <v>SMU</v>
      </c>
      <c r="AI1732" s="1" t="str">
        <f t="shared" si="1118"/>
        <v>F11</v>
      </c>
      <c r="AJ1732" s="1" t="str">
        <f t="shared" si="1117"/>
        <v>MAN</v>
      </c>
      <c r="AK1732" s="1" t="str">
        <f t="shared" si="1130"/>
        <v>PA</v>
      </c>
      <c r="AP1732" s="1" t="str">
        <f t="shared" si="1131"/>
        <v>False</v>
      </c>
      <c r="AR1732" s="1" t="str">
        <f t="shared" si="1120"/>
        <v>RUMBO</v>
      </c>
      <c r="AY1732" s="1" t="str">
        <f t="shared" si="1132"/>
        <v>PF</v>
      </c>
      <c r="AZ1732" s="1">
        <v>0</v>
      </c>
      <c r="BA1732" s="1">
        <v>0</v>
      </c>
      <c r="BB1732" s="1">
        <v>0</v>
      </c>
      <c r="BC1732" s="1">
        <v>0</v>
      </c>
      <c r="BD1732" s="1">
        <v>0</v>
      </c>
      <c r="BE1732" s="1" t="str">
        <f t="shared" si="1121"/>
        <v>MBO TWILL CANVAS</v>
      </c>
      <c r="BF1732" s="1" t="str">
        <f t="shared" si="1133"/>
        <v>Bonis SpA</v>
      </c>
    </row>
    <row r="1733" spans="2:58" x14ac:dyDescent="0.25">
      <c r="B1733" s="1">
        <v>2545</v>
      </c>
      <c r="C1733" s="1" t="str">
        <f t="shared" si="1119"/>
        <v>RUMBO4186S7/C1</v>
      </c>
      <c r="E1733" s="1" t="str">
        <f>"44"</f>
        <v>44</v>
      </c>
      <c r="F1733" s="1" t="str">
        <f t="shared" si="1122"/>
        <v>BONIS SPA</v>
      </c>
      <c r="G1733" s="1" t="str">
        <f t="shared" si="1111"/>
        <v>STOCK SCAFFALE MP</v>
      </c>
      <c r="H1733" s="1" t="str">
        <f>"RED"</f>
        <v>RED</v>
      </c>
      <c r="K1733" s="1">
        <v>12</v>
      </c>
      <c r="L1733" s="1" t="str">
        <f t="shared" si="1123"/>
        <v>01</v>
      </c>
      <c r="M1733" s="1" t="str">
        <f t="shared" si="1114"/>
        <v>409</v>
      </c>
      <c r="N1733" s="1" t="str">
        <f t="shared" si="1115"/>
        <v>009</v>
      </c>
      <c r="O1733" s="1" t="str">
        <f t="shared" si="1124"/>
        <v>00</v>
      </c>
      <c r="P1733" s="1" t="str">
        <f t="shared" si="1125"/>
        <v>S</v>
      </c>
      <c r="Q1733" s="1" t="str">
        <f t="shared" si="1126"/>
        <v>P</v>
      </c>
      <c r="R1733" s="1" t="str">
        <f t="shared" si="1127"/>
        <v>01</v>
      </c>
      <c r="S1733" s="1" t="str">
        <f t="shared" si="1112"/>
        <v>04</v>
      </c>
      <c r="T1733" s="1" t="str">
        <f t="shared" si="1128"/>
        <v>False</v>
      </c>
      <c r="U1733" s="1" t="str">
        <f t="shared" si="1129"/>
        <v>True</v>
      </c>
      <c r="V1733" s="1" t="str">
        <f>"U0028174"</f>
        <v>U0028174</v>
      </c>
      <c r="W1733" s="1">
        <v>1</v>
      </c>
      <c r="Y1733" s="1">
        <v>0</v>
      </c>
      <c r="Z1733" s="1">
        <v>0</v>
      </c>
      <c r="AB1733" s="1" t="str">
        <f t="shared" si="1116"/>
        <v>SMU</v>
      </c>
      <c r="AI1733" s="1" t="str">
        <f t="shared" si="1118"/>
        <v>F11</v>
      </c>
      <c r="AJ1733" s="1" t="str">
        <f t="shared" si="1117"/>
        <v>MAN</v>
      </c>
      <c r="AK1733" s="1" t="str">
        <f t="shared" si="1130"/>
        <v>PA</v>
      </c>
      <c r="AP1733" s="1" t="str">
        <f t="shared" si="1131"/>
        <v>False</v>
      </c>
      <c r="AR1733" s="1" t="str">
        <f t="shared" si="1120"/>
        <v>RUMBO</v>
      </c>
      <c r="AY1733" s="1" t="str">
        <f t="shared" si="1132"/>
        <v>PF</v>
      </c>
      <c r="AZ1733" s="1">
        <v>0</v>
      </c>
      <c r="BA1733" s="1">
        <v>0</v>
      </c>
      <c r="BB1733" s="1">
        <v>0</v>
      </c>
      <c r="BC1733" s="1">
        <v>0</v>
      </c>
      <c r="BD1733" s="1">
        <v>0</v>
      </c>
      <c r="BE1733" s="1" t="str">
        <f t="shared" si="1121"/>
        <v>MBO TWILL CANVAS</v>
      </c>
      <c r="BF1733" s="1" t="str">
        <f t="shared" si="1133"/>
        <v>Bonis SpA</v>
      </c>
    </row>
    <row r="1734" spans="2:58" x14ac:dyDescent="0.25">
      <c r="B1734" s="1">
        <v>2545</v>
      </c>
      <c r="C1734" s="1" t="str">
        <f t="shared" si="1119"/>
        <v>RUMBO4186S7/C1</v>
      </c>
      <c r="E1734" s="1" t="str">
        <f>"41"</f>
        <v>41</v>
      </c>
      <c r="F1734" s="1" t="str">
        <f t="shared" si="1122"/>
        <v>BONIS SPA</v>
      </c>
      <c r="G1734" s="1" t="str">
        <f t="shared" si="1111"/>
        <v>STOCK SCAFFALE MP</v>
      </c>
      <c r="H1734" s="1" t="str">
        <f>"RED"</f>
        <v>RED</v>
      </c>
      <c r="K1734" s="1">
        <v>12</v>
      </c>
      <c r="L1734" s="1" t="str">
        <f t="shared" si="1123"/>
        <v>01</v>
      </c>
      <c r="M1734" s="1" t="str">
        <f t="shared" si="1114"/>
        <v>409</v>
      </c>
      <c r="N1734" s="1" t="str">
        <f t="shared" si="1115"/>
        <v>009</v>
      </c>
      <c r="O1734" s="1" t="str">
        <f t="shared" si="1124"/>
        <v>00</v>
      </c>
      <c r="P1734" s="1" t="str">
        <f t="shared" si="1125"/>
        <v>S</v>
      </c>
      <c r="Q1734" s="1" t="str">
        <f t="shared" si="1126"/>
        <v>P</v>
      </c>
      <c r="R1734" s="1" t="str">
        <f t="shared" si="1127"/>
        <v>01</v>
      </c>
      <c r="S1734" s="1" t="str">
        <f t="shared" si="1112"/>
        <v>04</v>
      </c>
      <c r="T1734" s="1" t="str">
        <f t="shared" si="1128"/>
        <v>False</v>
      </c>
      <c r="U1734" s="1" t="str">
        <f t="shared" si="1129"/>
        <v>True</v>
      </c>
      <c r="V1734" s="1" t="str">
        <f>"U0028178"</f>
        <v>U0028178</v>
      </c>
      <c r="W1734" s="1">
        <v>1</v>
      </c>
      <c r="Y1734" s="1">
        <v>0</v>
      </c>
      <c r="Z1734" s="1">
        <v>0</v>
      </c>
      <c r="AB1734" s="1" t="str">
        <f t="shared" si="1116"/>
        <v>SMU</v>
      </c>
      <c r="AI1734" s="1" t="str">
        <f t="shared" si="1118"/>
        <v>F11</v>
      </c>
      <c r="AJ1734" s="1" t="str">
        <f t="shared" si="1117"/>
        <v>MAN</v>
      </c>
      <c r="AK1734" s="1" t="str">
        <f t="shared" si="1130"/>
        <v>PA</v>
      </c>
      <c r="AP1734" s="1" t="str">
        <f t="shared" si="1131"/>
        <v>False</v>
      </c>
      <c r="AR1734" s="1" t="str">
        <f t="shared" si="1120"/>
        <v>RUMBO</v>
      </c>
      <c r="AY1734" s="1" t="str">
        <f t="shared" si="1132"/>
        <v>PF</v>
      </c>
      <c r="AZ1734" s="1">
        <v>0</v>
      </c>
      <c r="BA1734" s="1">
        <v>0</v>
      </c>
      <c r="BB1734" s="1">
        <v>0</v>
      </c>
      <c r="BC1734" s="1">
        <v>0</v>
      </c>
      <c r="BD1734" s="1">
        <v>0</v>
      </c>
      <c r="BE1734" s="1" t="str">
        <f t="shared" si="1121"/>
        <v>MBO TWILL CANVAS</v>
      </c>
      <c r="BF1734" s="1" t="str">
        <f t="shared" si="1133"/>
        <v>Bonis SpA</v>
      </c>
    </row>
    <row r="1735" spans="2:58" x14ac:dyDescent="0.25">
      <c r="B1735" s="1">
        <v>2539</v>
      </c>
      <c r="C1735" s="1" t="str">
        <f t="shared" si="1119"/>
        <v>RUMBO4186S7/C1</v>
      </c>
      <c r="E1735" s="1" t="str">
        <f>"42"</f>
        <v>42</v>
      </c>
      <c r="F1735" s="1" t="str">
        <f t="shared" si="1122"/>
        <v>BONIS SPA</v>
      </c>
      <c r="G1735" s="1" t="str">
        <f t="shared" si="1111"/>
        <v>STOCK SCAFFALE MP</v>
      </c>
      <c r="H1735" s="1" t="str">
        <f>"RED"</f>
        <v>RED</v>
      </c>
      <c r="K1735" s="1">
        <v>12</v>
      </c>
      <c r="L1735" s="1" t="str">
        <f t="shared" si="1123"/>
        <v>01</v>
      </c>
      <c r="M1735" s="1" t="str">
        <f t="shared" si="1114"/>
        <v>409</v>
      </c>
      <c r="N1735" s="1" t="str">
        <f t="shared" ref="N1735:N1779" si="1134">"007"</f>
        <v>007</v>
      </c>
      <c r="O1735" s="1" t="str">
        <f t="shared" si="1124"/>
        <v>00</v>
      </c>
      <c r="P1735" s="1" t="str">
        <f t="shared" si="1125"/>
        <v>S</v>
      </c>
      <c r="Q1735" s="1" t="str">
        <f t="shared" si="1126"/>
        <v>P</v>
      </c>
      <c r="R1735" s="1" t="str">
        <f t="shared" si="1127"/>
        <v>01</v>
      </c>
      <c r="S1735" s="1" t="str">
        <f t="shared" si="1112"/>
        <v>04</v>
      </c>
      <c r="T1735" s="1" t="str">
        <f t="shared" si="1128"/>
        <v>False</v>
      </c>
      <c r="U1735" s="1" t="str">
        <f t="shared" si="1129"/>
        <v>True</v>
      </c>
      <c r="V1735" s="1" t="str">
        <f>"U0028175"</f>
        <v>U0028175</v>
      </c>
      <c r="W1735" s="1">
        <v>1</v>
      </c>
      <c r="Y1735" s="1">
        <v>0</v>
      </c>
      <c r="Z1735" s="1">
        <v>0</v>
      </c>
      <c r="AB1735" s="1" t="str">
        <f t="shared" si="1116"/>
        <v>SMU</v>
      </c>
      <c r="AI1735" s="1" t="str">
        <f t="shared" si="1118"/>
        <v>F11</v>
      </c>
      <c r="AJ1735" s="1" t="str">
        <f t="shared" si="1117"/>
        <v>MAN</v>
      </c>
      <c r="AK1735" s="1" t="str">
        <f t="shared" si="1130"/>
        <v>PA</v>
      </c>
      <c r="AP1735" s="1" t="str">
        <f t="shared" si="1131"/>
        <v>False</v>
      </c>
      <c r="AR1735" s="1" t="str">
        <f t="shared" si="1120"/>
        <v>RUMBO</v>
      </c>
      <c r="AY1735" s="1" t="str">
        <f t="shared" si="1132"/>
        <v>PF</v>
      </c>
      <c r="AZ1735" s="1">
        <v>0</v>
      </c>
      <c r="BA1735" s="1">
        <v>0</v>
      </c>
      <c r="BB1735" s="1">
        <v>0</v>
      </c>
      <c r="BC1735" s="1">
        <v>0</v>
      </c>
      <c r="BD1735" s="1">
        <v>0</v>
      </c>
      <c r="BE1735" s="1" t="str">
        <f t="shared" si="1121"/>
        <v>MBO TWILL CANVAS</v>
      </c>
      <c r="BF1735" s="1" t="str">
        <f t="shared" si="1133"/>
        <v>Bonis SpA</v>
      </c>
    </row>
    <row r="1736" spans="2:58" x14ac:dyDescent="0.25">
      <c r="B1736" s="1">
        <v>2539</v>
      </c>
      <c r="C1736" s="1" t="str">
        <f t="shared" si="1119"/>
        <v>RUMBO4186S7/C1</v>
      </c>
      <c r="E1736" s="1" t="str">
        <f>"40"</f>
        <v>40</v>
      </c>
      <c r="F1736" s="1" t="str">
        <f t="shared" si="1122"/>
        <v>BONIS SPA</v>
      </c>
      <c r="G1736" s="1" t="str">
        <f t="shared" si="1111"/>
        <v>STOCK SCAFFALE MP</v>
      </c>
      <c r="H1736" s="1" t="str">
        <f>"DKBL"</f>
        <v>DKBL</v>
      </c>
      <c r="K1736" s="1">
        <v>1</v>
      </c>
      <c r="L1736" s="1" t="str">
        <f t="shared" si="1123"/>
        <v>01</v>
      </c>
      <c r="M1736" s="1" t="str">
        <f t="shared" si="1114"/>
        <v>409</v>
      </c>
      <c r="N1736" s="1" t="str">
        <f t="shared" si="1134"/>
        <v>007</v>
      </c>
      <c r="O1736" s="1" t="str">
        <f t="shared" si="1124"/>
        <v>00</v>
      </c>
      <c r="P1736" s="1" t="str">
        <f t="shared" si="1125"/>
        <v>S</v>
      </c>
      <c r="Q1736" s="1" t="str">
        <f t="shared" si="1126"/>
        <v>P</v>
      </c>
      <c r="R1736" s="1" t="str">
        <f t="shared" si="1127"/>
        <v>01</v>
      </c>
      <c r="S1736" s="1" t="str">
        <f t="shared" si="1112"/>
        <v>04</v>
      </c>
      <c r="T1736" s="1" t="str">
        <f t="shared" si="1128"/>
        <v>False</v>
      </c>
      <c r="U1736" s="1" t="str">
        <f t="shared" si="1129"/>
        <v>True</v>
      </c>
      <c r="V1736" s="1" t="str">
        <f>"U0028177"</f>
        <v>U0028177</v>
      </c>
      <c r="W1736" s="1">
        <v>1</v>
      </c>
      <c r="Y1736" s="1">
        <v>0</v>
      </c>
      <c r="Z1736" s="1">
        <v>0</v>
      </c>
      <c r="AB1736" s="1" t="str">
        <f t="shared" si="1116"/>
        <v>SMU</v>
      </c>
      <c r="AI1736" s="1" t="str">
        <f t="shared" si="1118"/>
        <v>F11</v>
      </c>
      <c r="AJ1736" s="1" t="str">
        <f t="shared" si="1117"/>
        <v>MAN</v>
      </c>
      <c r="AK1736" s="1" t="str">
        <f t="shared" si="1130"/>
        <v>PA</v>
      </c>
      <c r="AP1736" s="1" t="str">
        <f t="shared" si="1131"/>
        <v>False</v>
      </c>
      <c r="AR1736" s="1" t="str">
        <f t="shared" si="1120"/>
        <v>RUMBO</v>
      </c>
      <c r="AY1736" s="1" t="str">
        <f t="shared" si="1132"/>
        <v>PF</v>
      </c>
      <c r="AZ1736" s="1">
        <v>0</v>
      </c>
      <c r="BA1736" s="1">
        <v>0</v>
      </c>
      <c r="BB1736" s="1">
        <v>0</v>
      </c>
      <c r="BC1736" s="1">
        <v>0</v>
      </c>
      <c r="BD1736" s="1">
        <v>0</v>
      </c>
      <c r="BE1736" s="1" t="str">
        <f t="shared" si="1121"/>
        <v>MBO TWILL CANVAS</v>
      </c>
      <c r="BF1736" s="1" t="str">
        <f t="shared" si="1133"/>
        <v>Bonis SpA</v>
      </c>
    </row>
    <row r="1737" spans="2:58" x14ac:dyDescent="0.25">
      <c r="B1737" s="1">
        <v>2539</v>
      </c>
      <c r="C1737" s="1" t="str">
        <f t="shared" si="1119"/>
        <v>RUMBO4186S7/C1</v>
      </c>
      <c r="E1737" s="1" t="str">
        <f>"41"</f>
        <v>41</v>
      </c>
      <c r="F1737" s="1" t="str">
        <f t="shared" si="1122"/>
        <v>BONIS SPA</v>
      </c>
      <c r="G1737" s="1" t="str">
        <f t="shared" si="1111"/>
        <v>STOCK SCAFFALE MP</v>
      </c>
      <c r="H1737" s="1" t="str">
        <f>"GREY"</f>
        <v>GREY</v>
      </c>
      <c r="K1737" s="1">
        <v>5</v>
      </c>
      <c r="L1737" s="1" t="str">
        <f t="shared" si="1123"/>
        <v>01</v>
      </c>
      <c r="M1737" s="1" t="str">
        <f t="shared" si="1114"/>
        <v>409</v>
      </c>
      <c r="N1737" s="1" t="str">
        <f t="shared" si="1134"/>
        <v>007</v>
      </c>
      <c r="O1737" s="1" t="str">
        <f t="shared" si="1124"/>
        <v>00</v>
      </c>
      <c r="P1737" s="1" t="str">
        <f t="shared" si="1125"/>
        <v>S</v>
      </c>
      <c r="Q1737" s="1" t="str">
        <f t="shared" si="1126"/>
        <v>P</v>
      </c>
      <c r="R1737" s="1" t="str">
        <f t="shared" si="1127"/>
        <v>01</v>
      </c>
      <c r="S1737" s="1" t="str">
        <f t="shared" si="1112"/>
        <v>04</v>
      </c>
      <c r="T1737" s="1" t="str">
        <f t="shared" si="1128"/>
        <v>False</v>
      </c>
      <c r="U1737" s="1" t="str">
        <f t="shared" si="1129"/>
        <v>True</v>
      </c>
      <c r="V1737" s="1" t="str">
        <f>"U0028177"</f>
        <v>U0028177</v>
      </c>
      <c r="W1737" s="1">
        <v>1</v>
      </c>
      <c r="Y1737" s="1">
        <v>0</v>
      </c>
      <c r="Z1737" s="1">
        <v>0</v>
      </c>
      <c r="AB1737" s="1" t="str">
        <f t="shared" si="1116"/>
        <v>SMU</v>
      </c>
      <c r="AI1737" s="1" t="str">
        <f t="shared" si="1118"/>
        <v>F11</v>
      </c>
      <c r="AJ1737" s="1" t="str">
        <f t="shared" si="1117"/>
        <v>MAN</v>
      </c>
      <c r="AK1737" s="1" t="str">
        <f t="shared" si="1130"/>
        <v>PA</v>
      </c>
      <c r="AP1737" s="1" t="str">
        <f t="shared" si="1131"/>
        <v>False</v>
      </c>
      <c r="AR1737" s="1" t="str">
        <f t="shared" si="1120"/>
        <v>RUMBO</v>
      </c>
      <c r="AY1737" s="1" t="str">
        <f t="shared" si="1132"/>
        <v>PF</v>
      </c>
      <c r="AZ1737" s="1">
        <v>0</v>
      </c>
      <c r="BA1737" s="1">
        <v>0</v>
      </c>
      <c r="BB1737" s="1">
        <v>0</v>
      </c>
      <c r="BC1737" s="1">
        <v>0</v>
      </c>
      <c r="BD1737" s="1">
        <v>0</v>
      </c>
      <c r="BE1737" s="1" t="str">
        <f t="shared" si="1121"/>
        <v>MBO TWILL CANVAS</v>
      </c>
      <c r="BF1737" s="1" t="str">
        <f t="shared" si="1133"/>
        <v>Bonis SpA</v>
      </c>
    </row>
    <row r="1738" spans="2:58" x14ac:dyDescent="0.25">
      <c r="B1738" s="1">
        <v>2539</v>
      </c>
      <c r="C1738" s="1" t="str">
        <f t="shared" si="1119"/>
        <v>RUMBO4186S7/C1</v>
      </c>
      <c r="E1738" s="1" t="str">
        <f>"44"</f>
        <v>44</v>
      </c>
      <c r="F1738" s="1" t="str">
        <f t="shared" si="1122"/>
        <v>BONIS SPA</v>
      </c>
      <c r="G1738" s="1" t="str">
        <f t="shared" si="1111"/>
        <v>STOCK SCAFFALE MP</v>
      </c>
      <c r="H1738" s="1" t="str">
        <f>"BLK"</f>
        <v>BLK</v>
      </c>
      <c r="K1738" s="1">
        <v>1</v>
      </c>
      <c r="L1738" s="1" t="str">
        <f t="shared" si="1123"/>
        <v>01</v>
      </c>
      <c r="M1738" s="1" t="str">
        <f t="shared" si="1114"/>
        <v>409</v>
      </c>
      <c r="N1738" s="1" t="str">
        <f t="shared" si="1134"/>
        <v>007</v>
      </c>
      <c r="O1738" s="1" t="str">
        <f t="shared" si="1124"/>
        <v>00</v>
      </c>
      <c r="P1738" s="1" t="str">
        <f t="shared" si="1125"/>
        <v>S</v>
      </c>
      <c r="Q1738" s="1" t="str">
        <f t="shared" si="1126"/>
        <v>P</v>
      </c>
      <c r="R1738" s="1" t="str">
        <f t="shared" si="1127"/>
        <v>01</v>
      </c>
      <c r="S1738" s="1" t="str">
        <f t="shared" si="1112"/>
        <v>04</v>
      </c>
      <c r="T1738" s="1" t="str">
        <f t="shared" si="1128"/>
        <v>False</v>
      </c>
      <c r="U1738" s="1" t="str">
        <f t="shared" si="1129"/>
        <v>True</v>
      </c>
      <c r="V1738" s="1" t="str">
        <f>"U0027691"</f>
        <v>U0027691</v>
      </c>
      <c r="W1738" s="1">
        <v>1</v>
      </c>
      <c r="Y1738" s="1">
        <v>0</v>
      </c>
      <c r="Z1738" s="1">
        <v>0</v>
      </c>
      <c r="AB1738" s="1" t="str">
        <f t="shared" si="1116"/>
        <v>SMU</v>
      </c>
      <c r="AI1738" s="1" t="str">
        <f>"106"</f>
        <v>106</v>
      </c>
      <c r="AJ1738" s="1" t="str">
        <f t="shared" si="1117"/>
        <v>MAN</v>
      </c>
      <c r="AK1738" s="1" t="str">
        <f t="shared" si="1130"/>
        <v>PA</v>
      </c>
      <c r="AP1738" s="1" t="str">
        <f t="shared" si="1131"/>
        <v>False</v>
      </c>
      <c r="AR1738" s="1" t="str">
        <f t="shared" si="1120"/>
        <v>RUMBO</v>
      </c>
      <c r="AY1738" s="1" t="str">
        <f t="shared" si="1132"/>
        <v>PF</v>
      </c>
      <c r="AZ1738" s="1">
        <v>0</v>
      </c>
      <c r="BA1738" s="1">
        <v>0</v>
      </c>
      <c r="BB1738" s="1">
        <v>0</v>
      </c>
      <c r="BC1738" s="1">
        <v>0</v>
      </c>
      <c r="BD1738" s="1">
        <v>0</v>
      </c>
      <c r="BE1738" s="1" t="str">
        <f t="shared" si="1121"/>
        <v>MBO TWILL CANVAS</v>
      </c>
      <c r="BF1738" s="1" t="str">
        <f t="shared" si="1133"/>
        <v>Bonis SpA</v>
      </c>
    </row>
    <row r="1739" spans="2:58" x14ac:dyDescent="0.25">
      <c r="B1739" s="1">
        <v>2539</v>
      </c>
      <c r="C1739" s="1" t="str">
        <f t="shared" si="1119"/>
        <v>RUMBO4186S7/C1</v>
      </c>
      <c r="E1739" s="1" t="str">
        <f>"44"</f>
        <v>44</v>
      </c>
      <c r="F1739" s="1" t="str">
        <f t="shared" si="1122"/>
        <v>BONIS SPA</v>
      </c>
      <c r="G1739" s="1" t="str">
        <f t="shared" si="1111"/>
        <v>STOCK SCAFFALE MP</v>
      </c>
      <c r="H1739" s="1" t="str">
        <f>"BLK"</f>
        <v>BLK</v>
      </c>
      <c r="K1739" s="1">
        <v>4</v>
      </c>
      <c r="L1739" s="1" t="str">
        <f t="shared" si="1123"/>
        <v>01</v>
      </c>
      <c r="M1739" s="1" t="str">
        <f t="shared" si="1114"/>
        <v>409</v>
      </c>
      <c r="N1739" s="1" t="str">
        <f t="shared" si="1134"/>
        <v>007</v>
      </c>
      <c r="O1739" s="1" t="str">
        <f t="shared" si="1124"/>
        <v>00</v>
      </c>
      <c r="P1739" s="1" t="str">
        <f t="shared" si="1125"/>
        <v>S</v>
      </c>
      <c r="Q1739" s="1" t="str">
        <f t="shared" si="1126"/>
        <v>P</v>
      </c>
      <c r="R1739" s="1" t="str">
        <f t="shared" si="1127"/>
        <v>01</v>
      </c>
      <c r="S1739" s="1" t="str">
        <f t="shared" si="1112"/>
        <v>04</v>
      </c>
      <c r="T1739" s="1" t="str">
        <f t="shared" si="1128"/>
        <v>False</v>
      </c>
      <c r="U1739" s="1" t="str">
        <f t="shared" si="1129"/>
        <v>True</v>
      </c>
      <c r="V1739" s="1" t="str">
        <f>"U0028177"</f>
        <v>U0028177</v>
      </c>
      <c r="W1739" s="1">
        <v>1</v>
      </c>
      <c r="Y1739" s="1">
        <v>0</v>
      </c>
      <c r="Z1739" s="1">
        <v>0</v>
      </c>
      <c r="AB1739" s="1" t="str">
        <f t="shared" si="1116"/>
        <v>SMU</v>
      </c>
      <c r="AI1739" s="1" t="str">
        <f>"106"</f>
        <v>106</v>
      </c>
      <c r="AJ1739" s="1" t="str">
        <f t="shared" si="1117"/>
        <v>MAN</v>
      </c>
      <c r="AK1739" s="1" t="str">
        <f t="shared" si="1130"/>
        <v>PA</v>
      </c>
      <c r="AP1739" s="1" t="str">
        <f t="shared" si="1131"/>
        <v>False</v>
      </c>
      <c r="AR1739" s="1" t="str">
        <f t="shared" si="1120"/>
        <v>RUMBO</v>
      </c>
      <c r="AY1739" s="1" t="str">
        <f t="shared" si="1132"/>
        <v>PF</v>
      </c>
      <c r="AZ1739" s="1">
        <v>0</v>
      </c>
      <c r="BA1739" s="1">
        <v>0</v>
      </c>
      <c r="BB1739" s="1">
        <v>0</v>
      </c>
      <c r="BC1739" s="1">
        <v>0</v>
      </c>
      <c r="BD1739" s="1">
        <v>0</v>
      </c>
      <c r="BE1739" s="1" t="str">
        <f t="shared" si="1121"/>
        <v>MBO TWILL CANVAS</v>
      </c>
      <c r="BF1739" s="1" t="str">
        <f t="shared" si="1133"/>
        <v>Bonis SpA</v>
      </c>
    </row>
    <row r="1740" spans="2:58" x14ac:dyDescent="0.25">
      <c r="B1740" s="1">
        <v>2539</v>
      </c>
      <c r="C1740" s="1" t="str">
        <f t="shared" si="1119"/>
        <v>RUMBO4186S7/C1</v>
      </c>
      <c r="E1740" s="1" t="str">
        <f>"43"</f>
        <v>43</v>
      </c>
      <c r="F1740" s="1" t="str">
        <f t="shared" si="1122"/>
        <v>BONIS SPA</v>
      </c>
      <c r="G1740" s="1" t="str">
        <f t="shared" si="1111"/>
        <v>STOCK SCAFFALE MP</v>
      </c>
      <c r="H1740" s="1" t="str">
        <f>"BLK"</f>
        <v>BLK</v>
      </c>
      <c r="K1740" s="1">
        <v>2</v>
      </c>
      <c r="L1740" s="1" t="str">
        <f t="shared" si="1123"/>
        <v>01</v>
      </c>
      <c r="M1740" s="1" t="str">
        <f t="shared" si="1114"/>
        <v>409</v>
      </c>
      <c r="N1740" s="1" t="str">
        <f t="shared" si="1134"/>
        <v>007</v>
      </c>
      <c r="O1740" s="1" t="str">
        <f t="shared" si="1124"/>
        <v>00</v>
      </c>
      <c r="P1740" s="1" t="str">
        <f t="shared" si="1125"/>
        <v>S</v>
      </c>
      <c r="Q1740" s="1" t="str">
        <f t="shared" si="1126"/>
        <v>P</v>
      </c>
      <c r="R1740" s="1" t="str">
        <f t="shared" si="1127"/>
        <v>01</v>
      </c>
      <c r="S1740" s="1" t="str">
        <f t="shared" si="1112"/>
        <v>04</v>
      </c>
      <c r="T1740" s="1" t="str">
        <f t="shared" si="1128"/>
        <v>False</v>
      </c>
      <c r="U1740" s="1" t="str">
        <f t="shared" si="1129"/>
        <v>True</v>
      </c>
      <c r="V1740" s="1" t="str">
        <f>"U0028177"</f>
        <v>U0028177</v>
      </c>
      <c r="W1740" s="1">
        <v>1</v>
      </c>
      <c r="Y1740" s="1">
        <v>0</v>
      </c>
      <c r="Z1740" s="1">
        <v>0</v>
      </c>
      <c r="AB1740" s="1" t="str">
        <f t="shared" si="1116"/>
        <v>SMU</v>
      </c>
      <c r="AI1740" s="1" t="str">
        <f>"106"</f>
        <v>106</v>
      </c>
      <c r="AJ1740" s="1" t="str">
        <f t="shared" si="1117"/>
        <v>MAN</v>
      </c>
      <c r="AK1740" s="1" t="str">
        <f t="shared" si="1130"/>
        <v>PA</v>
      </c>
      <c r="AP1740" s="1" t="str">
        <f t="shared" si="1131"/>
        <v>False</v>
      </c>
      <c r="AR1740" s="1" t="str">
        <f t="shared" si="1120"/>
        <v>RUMBO</v>
      </c>
      <c r="AY1740" s="1" t="str">
        <f t="shared" si="1132"/>
        <v>PF</v>
      </c>
      <c r="AZ1740" s="1">
        <v>0</v>
      </c>
      <c r="BA1740" s="1">
        <v>0</v>
      </c>
      <c r="BB1740" s="1">
        <v>0</v>
      </c>
      <c r="BC1740" s="1">
        <v>0</v>
      </c>
      <c r="BD1740" s="1">
        <v>0</v>
      </c>
      <c r="BE1740" s="1" t="str">
        <f t="shared" si="1121"/>
        <v>MBO TWILL CANVAS</v>
      </c>
      <c r="BF1740" s="1" t="str">
        <f t="shared" si="1133"/>
        <v>Bonis SpA</v>
      </c>
    </row>
    <row r="1741" spans="2:58" x14ac:dyDescent="0.25">
      <c r="B1741" s="1">
        <v>2539</v>
      </c>
      <c r="C1741" s="1" t="str">
        <f t="shared" ref="C1741:C1750" si="1135">"SOLAN4189S7/C1"</f>
        <v>SOLAN4189S7/C1</v>
      </c>
      <c r="E1741" s="1" t="str">
        <f>"41"</f>
        <v>41</v>
      </c>
      <c r="F1741" s="1" t="str">
        <f t="shared" si="1122"/>
        <v>BONIS SPA</v>
      </c>
      <c r="G1741" s="1" t="str">
        <f t="shared" si="1111"/>
        <v>STOCK SCAFFALE MP</v>
      </c>
      <c r="H1741" s="1" t="str">
        <f t="shared" ref="H1741:H1749" si="1136">"DKBL"</f>
        <v>DKBL</v>
      </c>
      <c r="K1741" s="1">
        <v>8</v>
      </c>
      <c r="L1741" s="1" t="str">
        <f t="shared" si="1123"/>
        <v>01</v>
      </c>
      <c r="M1741" s="1" t="str">
        <f t="shared" si="1114"/>
        <v>409</v>
      </c>
      <c r="N1741" s="1" t="str">
        <f t="shared" si="1134"/>
        <v>007</v>
      </c>
      <c r="O1741" s="1" t="str">
        <f t="shared" si="1124"/>
        <v>00</v>
      </c>
      <c r="P1741" s="1" t="str">
        <f t="shared" si="1125"/>
        <v>S</v>
      </c>
      <c r="Q1741" s="1" t="str">
        <f t="shared" si="1126"/>
        <v>P</v>
      </c>
      <c r="R1741" s="1" t="str">
        <f t="shared" si="1127"/>
        <v>01</v>
      </c>
      <c r="S1741" s="1" t="str">
        <f t="shared" si="1112"/>
        <v>04</v>
      </c>
      <c r="T1741" s="1" t="str">
        <f t="shared" si="1128"/>
        <v>False</v>
      </c>
      <c r="U1741" s="1" t="str">
        <f t="shared" si="1129"/>
        <v>True</v>
      </c>
      <c r="V1741" s="1" t="str">
        <f>"U0027727"</f>
        <v>U0027727</v>
      </c>
      <c r="W1741" s="1">
        <v>1</v>
      </c>
      <c r="Y1741" s="1">
        <v>0</v>
      </c>
      <c r="Z1741" s="1">
        <v>0</v>
      </c>
      <c r="AB1741" s="1" t="str">
        <f t="shared" si="1116"/>
        <v>SMU</v>
      </c>
      <c r="AI1741" s="1" t="str">
        <f t="shared" ref="AI1741:AI1753" si="1137">"F11"</f>
        <v>F11</v>
      </c>
      <c r="AJ1741" s="1" t="str">
        <f t="shared" si="1117"/>
        <v>MAN</v>
      </c>
      <c r="AK1741" s="1" t="str">
        <f t="shared" si="1130"/>
        <v>PA</v>
      </c>
      <c r="AP1741" s="1" t="str">
        <f t="shared" si="1131"/>
        <v>False</v>
      </c>
      <c r="AR1741" s="1" t="str">
        <f t="shared" ref="AR1741:AR1750" si="1138">"SOLAN"</f>
        <v>SOLAN</v>
      </c>
      <c r="AY1741" s="1" t="str">
        <f t="shared" si="1132"/>
        <v>PF</v>
      </c>
      <c r="AZ1741" s="1">
        <v>0</v>
      </c>
      <c r="BA1741" s="1">
        <v>0</v>
      </c>
      <c r="BB1741" s="1">
        <v>0</v>
      </c>
      <c r="BC1741" s="1">
        <v>0</v>
      </c>
      <c r="BD1741" s="1">
        <v>0</v>
      </c>
      <c r="BE1741" s="1" t="str">
        <f t="shared" ref="BE1741:BE1750" si="1139">"S.CADET GOMMA  TWILL CANVAS"</f>
        <v>S.CADET GOMMA  TWILL CANVAS</v>
      </c>
      <c r="BF1741" s="1" t="str">
        <f t="shared" si="1133"/>
        <v>Bonis SpA</v>
      </c>
    </row>
    <row r="1742" spans="2:58" x14ac:dyDescent="0.25">
      <c r="B1742" s="1">
        <v>2539</v>
      </c>
      <c r="C1742" s="1" t="str">
        <f t="shared" si="1135"/>
        <v>SOLAN4189S7/C1</v>
      </c>
      <c r="E1742" s="1" t="str">
        <f>"42"</f>
        <v>42</v>
      </c>
      <c r="F1742" s="1" t="str">
        <f t="shared" si="1122"/>
        <v>BONIS SPA</v>
      </c>
      <c r="G1742" s="1" t="str">
        <f t="shared" si="1111"/>
        <v>STOCK SCAFFALE MP</v>
      </c>
      <c r="H1742" s="1" t="str">
        <f t="shared" si="1136"/>
        <v>DKBL</v>
      </c>
      <c r="K1742" s="1">
        <v>1</v>
      </c>
      <c r="L1742" s="1" t="str">
        <f t="shared" si="1123"/>
        <v>01</v>
      </c>
      <c r="M1742" s="1" t="str">
        <f t="shared" si="1114"/>
        <v>409</v>
      </c>
      <c r="N1742" s="1" t="str">
        <f t="shared" si="1134"/>
        <v>007</v>
      </c>
      <c r="O1742" s="1" t="str">
        <f t="shared" si="1124"/>
        <v>00</v>
      </c>
      <c r="P1742" s="1" t="str">
        <f t="shared" si="1125"/>
        <v>S</v>
      </c>
      <c r="Q1742" s="1" t="str">
        <f t="shared" si="1126"/>
        <v>P</v>
      </c>
      <c r="R1742" s="1" t="str">
        <f t="shared" si="1127"/>
        <v>01</v>
      </c>
      <c r="S1742" s="1" t="str">
        <f t="shared" si="1112"/>
        <v>04</v>
      </c>
      <c r="T1742" s="1" t="str">
        <f t="shared" si="1128"/>
        <v>False</v>
      </c>
      <c r="U1742" s="1" t="str">
        <f t="shared" si="1129"/>
        <v>True</v>
      </c>
      <c r="V1742" s="1" t="str">
        <f>"U0027727"</f>
        <v>U0027727</v>
      </c>
      <c r="W1742" s="1">
        <v>1</v>
      </c>
      <c r="Y1742" s="1">
        <v>0</v>
      </c>
      <c r="Z1742" s="1">
        <v>0</v>
      </c>
      <c r="AB1742" s="1" t="str">
        <f t="shared" si="1116"/>
        <v>SMU</v>
      </c>
      <c r="AI1742" s="1" t="str">
        <f t="shared" si="1137"/>
        <v>F11</v>
      </c>
      <c r="AJ1742" s="1" t="str">
        <f t="shared" si="1117"/>
        <v>MAN</v>
      </c>
      <c r="AK1742" s="1" t="str">
        <f t="shared" si="1130"/>
        <v>PA</v>
      </c>
      <c r="AP1742" s="1" t="str">
        <f t="shared" si="1131"/>
        <v>False</v>
      </c>
      <c r="AR1742" s="1" t="str">
        <f t="shared" si="1138"/>
        <v>SOLAN</v>
      </c>
      <c r="AY1742" s="1" t="str">
        <f t="shared" si="1132"/>
        <v>PF</v>
      </c>
      <c r="AZ1742" s="1">
        <v>0</v>
      </c>
      <c r="BA1742" s="1">
        <v>0</v>
      </c>
      <c r="BB1742" s="1">
        <v>0</v>
      </c>
      <c r="BC1742" s="1">
        <v>0</v>
      </c>
      <c r="BD1742" s="1">
        <v>0</v>
      </c>
      <c r="BE1742" s="1" t="str">
        <f t="shared" si="1139"/>
        <v>S.CADET GOMMA  TWILL CANVAS</v>
      </c>
      <c r="BF1742" s="1" t="str">
        <f t="shared" si="1133"/>
        <v>Bonis SpA</v>
      </c>
    </row>
    <row r="1743" spans="2:58" x14ac:dyDescent="0.25">
      <c r="B1743" s="1">
        <v>2539</v>
      </c>
      <c r="C1743" s="1" t="str">
        <f t="shared" si="1135"/>
        <v>SOLAN4189S7/C1</v>
      </c>
      <c r="E1743" s="1" t="str">
        <f>"43"</f>
        <v>43</v>
      </c>
      <c r="F1743" s="1" t="str">
        <f t="shared" si="1122"/>
        <v>BONIS SPA</v>
      </c>
      <c r="G1743" s="1" t="str">
        <f t="shared" si="1111"/>
        <v>STOCK SCAFFALE MP</v>
      </c>
      <c r="H1743" s="1" t="str">
        <f t="shared" si="1136"/>
        <v>DKBL</v>
      </c>
      <c r="K1743" s="1">
        <v>1</v>
      </c>
      <c r="L1743" s="1" t="str">
        <f t="shared" si="1123"/>
        <v>01</v>
      </c>
      <c r="M1743" s="1" t="str">
        <f t="shared" si="1114"/>
        <v>409</v>
      </c>
      <c r="N1743" s="1" t="str">
        <f t="shared" si="1134"/>
        <v>007</v>
      </c>
      <c r="O1743" s="1" t="str">
        <f t="shared" si="1124"/>
        <v>00</v>
      </c>
      <c r="P1743" s="1" t="str">
        <f t="shared" si="1125"/>
        <v>S</v>
      </c>
      <c r="Q1743" s="1" t="str">
        <f t="shared" si="1126"/>
        <v>P</v>
      </c>
      <c r="R1743" s="1" t="str">
        <f t="shared" si="1127"/>
        <v>01</v>
      </c>
      <c r="S1743" s="1" t="str">
        <f t="shared" si="1112"/>
        <v>04</v>
      </c>
      <c r="T1743" s="1" t="str">
        <f t="shared" si="1128"/>
        <v>False</v>
      </c>
      <c r="U1743" s="1" t="str">
        <f t="shared" si="1129"/>
        <v>True</v>
      </c>
      <c r="V1743" s="1" t="str">
        <f>"U0027727"</f>
        <v>U0027727</v>
      </c>
      <c r="W1743" s="1">
        <v>1</v>
      </c>
      <c r="Y1743" s="1">
        <v>0</v>
      </c>
      <c r="Z1743" s="1">
        <v>0</v>
      </c>
      <c r="AB1743" s="1" t="str">
        <f t="shared" si="1116"/>
        <v>SMU</v>
      </c>
      <c r="AI1743" s="1" t="str">
        <f t="shared" si="1137"/>
        <v>F11</v>
      </c>
      <c r="AJ1743" s="1" t="str">
        <f t="shared" si="1117"/>
        <v>MAN</v>
      </c>
      <c r="AK1743" s="1" t="str">
        <f t="shared" si="1130"/>
        <v>PA</v>
      </c>
      <c r="AP1743" s="1" t="str">
        <f t="shared" si="1131"/>
        <v>False</v>
      </c>
      <c r="AR1743" s="1" t="str">
        <f t="shared" si="1138"/>
        <v>SOLAN</v>
      </c>
      <c r="AY1743" s="1" t="str">
        <f t="shared" si="1132"/>
        <v>PF</v>
      </c>
      <c r="AZ1743" s="1">
        <v>0</v>
      </c>
      <c r="BA1743" s="1">
        <v>0</v>
      </c>
      <c r="BB1743" s="1">
        <v>0</v>
      </c>
      <c r="BC1743" s="1">
        <v>0</v>
      </c>
      <c r="BD1743" s="1">
        <v>0</v>
      </c>
      <c r="BE1743" s="1" t="str">
        <f t="shared" si="1139"/>
        <v>S.CADET GOMMA  TWILL CANVAS</v>
      </c>
      <c r="BF1743" s="1" t="str">
        <f t="shared" si="1133"/>
        <v>Bonis SpA</v>
      </c>
    </row>
    <row r="1744" spans="2:58" x14ac:dyDescent="0.25">
      <c r="B1744" s="1">
        <v>2539</v>
      </c>
      <c r="C1744" s="1" t="str">
        <f t="shared" si="1135"/>
        <v>SOLAN4189S7/C1</v>
      </c>
      <c r="E1744" s="1" t="str">
        <f>"44"</f>
        <v>44</v>
      </c>
      <c r="F1744" s="1" t="str">
        <f t="shared" si="1122"/>
        <v>BONIS SPA</v>
      </c>
      <c r="G1744" s="1" t="str">
        <f t="shared" si="1111"/>
        <v>STOCK SCAFFALE MP</v>
      </c>
      <c r="H1744" s="1" t="str">
        <f t="shared" si="1136"/>
        <v>DKBL</v>
      </c>
      <c r="K1744" s="1">
        <v>2</v>
      </c>
      <c r="L1744" s="1" t="str">
        <f t="shared" si="1123"/>
        <v>01</v>
      </c>
      <c r="M1744" s="1" t="str">
        <f t="shared" si="1114"/>
        <v>409</v>
      </c>
      <c r="N1744" s="1" t="str">
        <f t="shared" si="1134"/>
        <v>007</v>
      </c>
      <c r="O1744" s="1" t="str">
        <f t="shared" si="1124"/>
        <v>00</v>
      </c>
      <c r="P1744" s="1" t="str">
        <f t="shared" si="1125"/>
        <v>S</v>
      </c>
      <c r="Q1744" s="1" t="str">
        <f t="shared" si="1126"/>
        <v>P</v>
      </c>
      <c r="R1744" s="1" t="str">
        <f t="shared" si="1127"/>
        <v>01</v>
      </c>
      <c r="S1744" s="1" t="str">
        <f t="shared" si="1112"/>
        <v>04</v>
      </c>
      <c r="T1744" s="1" t="str">
        <f t="shared" si="1128"/>
        <v>False</v>
      </c>
      <c r="U1744" s="1" t="str">
        <f t="shared" si="1129"/>
        <v>True</v>
      </c>
      <c r="V1744" s="1" t="str">
        <f>"U0027727"</f>
        <v>U0027727</v>
      </c>
      <c r="W1744" s="1">
        <v>1</v>
      </c>
      <c r="Y1744" s="1">
        <v>0</v>
      </c>
      <c r="Z1744" s="1">
        <v>0</v>
      </c>
      <c r="AB1744" s="1" t="str">
        <f t="shared" si="1116"/>
        <v>SMU</v>
      </c>
      <c r="AI1744" s="1" t="str">
        <f t="shared" si="1137"/>
        <v>F11</v>
      </c>
      <c r="AJ1744" s="1" t="str">
        <f t="shared" si="1117"/>
        <v>MAN</v>
      </c>
      <c r="AK1744" s="1" t="str">
        <f t="shared" si="1130"/>
        <v>PA</v>
      </c>
      <c r="AP1744" s="1" t="str">
        <f t="shared" si="1131"/>
        <v>False</v>
      </c>
      <c r="AR1744" s="1" t="str">
        <f t="shared" si="1138"/>
        <v>SOLAN</v>
      </c>
      <c r="AY1744" s="1" t="str">
        <f t="shared" si="1132"/>
        <v>PF</v>
      </c>
      <c r="AZ1744" s="1">
        <v>0</v>
      </c>
      <c r="BA1744" s="1">
        <v>0</v>
      </c>
      <c r="BB1744" s="1">
        <v>0</v>
      </c>
      <c r="BC1744" s="1">
        <v>0</v>
      </c>
      <c r="BD1744" s="1">
        <v>0</v>
      </c>
      <c r="BE1744" s="1" t="str">
        <f t="shared" si="1139"/>
        <v>S.CADET GOMMA  TWILL CANVAS</v>
      </c>
      <c r="BF1744" s="1" t="str">
        <f t="shared" si="1133"/>
        <v>Bonis SpA</v>
      </c>
    </row>
    <row r="1745" spans="2:58" x14ac:dyDescent="0.25">
      <c r="B1745" s="1">
        <v>2539</v>
      </c>
      <c r="C1745" s="1" t="str">
        <f t="shared" si="1135"/>
        <v>SOLAN4189S7/C1</v>
      </c>
      <c r="E1745" s="1" t="str">
        <f>"41"</f>
        <v>41</v>
      </c>
      <c r="F1745" s="1" t="str">
        <f t="shared" si="1122"/>
        <v>BONIS SPA</v>
      </c>
      <c r="G1745" s="1" t="str">
        <f t="shared" si="1111"/>
        <v>STOCK SCAFFALE MP</v>
      </c>
      <c r="H1745" s="1" t="str">
        <f t="shared" si="1136"/>
        <v>DKBL</v>
      </c>
      <c r="K1745" s="1">
        <v>6</v>
      </c>
      <c r="L1745" s="1" t="str">
        <f t="shared" si="1123"/>
        <v>01</v>
      </c>
      <c r="M1745" s="1" t="str">
        <f t="shared" si="1114"/>
        <v>409</v>
      </c>
      <c r="N1745" s="1" t="str">
        <f t="shared" si="1134"/>
        <v>007</v>
      </c>
      <c r="O1745" s="1" t="str">
        <f t="shared" si="1124"/>
        <v>00</v>
      </c>
      <c r="P1745" s="1" t="str">
        <f t="shared" si="1125"/>
        <v>S</v>
      </c>
      <c r="Q1745" s="1" t="str">
        <f t="shared" si="1126"/>
        <v>P</v>
      </c>
      <c r="R1745" s="1" t="str">
        <f t="shared" si="1127"/>
        <v>01</v>
      </c>
      <c r="S1745" s="1" t="str">
        <f t="shared" si="1112"/>
        <v>04</v>
      </c>
      <c r="T1745" s="1" t="str">
        <f t="shared" si="1128"/>
        <v>False</v>
      </c>
      <c r="U1745" s="1" t="str">
        <f t="shared" si="1129"/>
        <v>True</v>
      </c>
      <c r="V1745" s="1" t="str">
        <f>"U0027724"</f>
        <v>U0027724</v>
      </c>
      <c r="W1745" s="1">
        <v>1</v>
      </c>
      <c r="Y1745" s="1">
        <v>0</v>
      </c>
      <c r="Z1745" s="1">
        <v>0</v>
      </c>
      <c r="AB1745" s="1" t="str">
        <f t="shared" si="1116"/>
        <v>SMU</v>
      </c>
      <c r="AI1745" s="1" t="str">
        <f t="shared" si="1137"/>
        <v>F11</v>
      </c>
      <c r="AJ1745" s="1" t="str">
        <f t="shared" si="1117"/>
        <v>MAN</v>
      </c>
      <c r="AK1745" s="1" t="str">
        <f t="shared" si="1130"/>
        <v>PA</v>
      </c>
      <c r="AP1745" s="1" t="str">
        <f t="shared" si="1131"/>
        <v>False</v>
      </c>
      <c r="AR1745" s="1" t="str">
        <f t="shared" si="1138"/>
        <v>SOLAN</v>
      </c>
      <c r="AY1745" s="1" t="str">
        <f t="shared" si="1132"/>
        <v>PF</v>
      </c>
      <c r="AZ1745" s="1">
        <v>0</v>
      </c>
      <c r="BA1745" s="1">
        <v>0</v>
      </c>
      <c r="BB1745" s="1">
        <v>0</v>
      </c>
      <c r="BC1745" s="1">
        <v>0</v>
      </c>
      <c r="BD1745" s="1">
        <v>0</v>
      </c>
      <c r="BE1745" s="1" t="str">
        <f t="shared" si="1139"/>
        <v>S.CADET GOMMA  TWILL CANVAS</v>
      </c>
      <c r="BF1745" s="1" t="str">
        <f t="shared" si="1133"/>
        <v>Bonis SpA</v>
      </c>
    </row>
    <row r="1746" spans="2:58" x14ac:dyDescent="0.25">
      <c r="B1746" s="1">
        <v>2539</v>
      </c>
      <c r="C1746" s="1" t="str">
        <f t="shared" si="1135"/>
        <v>SOLAN4189S7/C1</v>
      </c>
      <c r="E1746" s="1" t="str">
        <f>"43"</f>
        <v>43</v>
      </c>
      <c r="F1746" s="1" t="str">
        <f t="shared" si="1122"/>
        <v>BONIS SPA</v>
      </c>
      <c r="G1746" s="1" t="str">
        <f t="shared" si="1111"/>
        <v>STOCK SCAFFALE MP</v>
      </c>
      <c r="H1746" s="1" t="str">
        <f t="shared" si="1136"/>
        <v>DKBL</v>
      </c>
      <c r="K1746" s="1">
        <v>6</v>
      </c>
      <c r="L1746" s="1" t="str">
        <f t="shared" si="1123"/>
        <v>01</v>
      </c>
      <c r="M1746" s="1" t="str">
        <f t="shared" si="1114"/>
        <v>409</v>
      </c>
      <c r="N1746" s="1" t="str">
        <f t="shared" si="1134"/>
        <v>007</v>
      </c>
      <c r="O1746" s="1" t="str">
        <f t="shared" si="1124"/>
        <v>00</v>
      </c>
      <c r="P1746" s="1" t="str">
        <f t="shared" si="1125"/>
        <v>S</v>
      </c>
      <c r="Q1746" s="1" t="str">
        <f t="shared" si="1126"/>
        <v>P</v>
      </c>
      <c r="R1746" s="1" t="str">
        <f t="shared" si="1127"/>
        <v>01</v>
      </c>
      <c r="S1746" s="1" t="str">
        <f t="shared" si="1112"/>
        <v>04</v>
      </c>
      <c r="T1746" s="1" t="str">
        <f t="shared" si="1128"/>
        <v>False</v>
      </c>
      <c r="U1746" s="1" t="str">
        <f t="shared" si="1129"/>
        <v>True</v>
      </c>
      <c r="V1746" s="1" t="str">
        <f>"U0027724"</f>
        <v>U0027724</v>
      </c>
      <c r="W1746" s="1">
        <v>1</v>
      </c>
      <c r="Y1746" s="1">
        <v>0</v>
      </c>
      <c r="Z1746" s="1">
        <v>0</v>
      </c>
      <c r="AB1746" s="1" t="str">
        <f t="shared" si="1116"/>
        <v>SMU</v>
      </c>
      <c r="AI1746" s="1" t="str">
        <f t="shared" si="1137"/>
        <v>F11</v>
      </c>
      <c r="AJ1746" s="1" t="str">
        <f t="shared" si="1117"/>
        <v>MAN</v>
      </c>
      <c r="AK1746" s="1" t="str">
        <f t="shared" si="1130"/>
        <v>PA</v>
      </c>
      <c r="AP1746" s="1" t="str">
        <f t="shared" si="1131"/>
        <v>False</v>
      </c>
      <c r="AR1746" s="1" t="str">
        <f t="shared" si="1138"/>
        <v>SOLAN</v>
      </c>
      <c r="AY1746" s="1" t="str">
        <f t="shared" si="1132"/>
        <v>PF</v>
      </c>
      <c r="AZ1746" s="1">
        <v>0</v>
      </c>
      <c r="BA1746" s="1">
        <v>0</v>
      </c>
      <c r="BB1746" s="1">
        <v>0</v>
      </c>
      <c r="BC1746" s="1">
        <v>0</v>
      </c>
      <c r="BD1746" s="1">
        <v>0</v>
      </c>
      <c r="BE1746" s="1" t="str">
        <f t="shared" si="1139"/>
        <v>S.CADET GOMMA  TWILL CANVAS</v>
      </c>
      <c r="BF1746" s="1" t="str">
        <f t="shared" si="1133"/>
        <v>Bonis SpA</v>
      </c>
    </row>
    <row r="1747" spans="2:58" x14ac:dyDescent="0.25">
      <c r="B1747" s="1">
        <v>2539</v>
      </c>
      <c r="C1747" s="1" t="str">
        <f t="shared" si="1135"/>
        <v>SOLAN4189S7/C1</v>
      </c>
      <c r="E1747" s="1" t="str">
        <f>"42"</f>
        <v>42</v>
      </c>
      <c r="F1747" s="1" t="str">
        <f t="shared" si="1122"/>
        <v>BONIS SPA</v>
      </c>
      <c r="G1747" s="1" t="str">
        <f t="shared" si="1111"/>
        <v>STOCK SCAFFALE MP</v>
      </c>
      <c r="H1747" s="1" t="str">
        <f t="shared" si="1136"/>
        <v>DKBL</v>
      </c>
      <c r="K1747" s="1">
        <v>12</v>
      </c>
      <c r="L1747" s="1" t="str">
        <f t="shared" si="1123"/>
        <v>01</v>
      </c>
      <c r="M1747" s="1" t="str">
        <f t="shared" si="1114"/>
        <v>409</v>
      </c>
      <c r="N1747" s="1" t="str">
        <f t="shared" si="1134"/>
        <v>007</v>
      </c>
      <c r="O1747" s="1" t="str">
        <f t="shared" si="1124"/>
        <v>00</v>
      </c>
      <c r="P1747" s="1" t="str">
        <f t="shared" si="1125"/>
        <v>S</v>
      </c>
      <c r="Q1747" s="1" t="str">
        <f t="shared" si="1126"/>
        <v>P</v>
      </c>
      <c r="R1747" s="1" t="str">
        <f t="shared" si="1127"/>
        <v>01</v>
      </c>
      <c r="S1747" s="1" t="str">
        <f t="shared" si="1112"/>
        <v>04</v>
      </c>
      <c r="T1747" s="1" t="str">
        <f t="shared" si="1128"/>
        <v>False</v>
      </c>
      <c r="U1747" s="1" t="str">
        <f t="shared" si="1129"/>
        <v>True</v>
      </c>
      <c r="V1747" s="1" t="str">
        <f>"U0027725"</f>
        <v>U0027725</v>
      </c>
      <c r="W1747" s="1">
        <v>1</v>
      </c>
      <c r="Y1747" s="1">
        <v>0</v>
      </c>
      <c r="Z1747" s="1">
        <v>0</v>
      </c>
      <c r="AB1747" s="1" t="str">
        <f t="shared" si="1116"/>
        <v>SMU</v>
      </c>
      <c r="AI1747" s="1" t="str">
        <f t="shared" si="1137"/>
        <v>F11</v>
      </c>
      <c r="AJ1747" s="1" t="str">
        <f t="shared" si="1117"/>
        <v>MAN</v>
      </c>
      <c r="AK1747" s="1" t="str">
        <f t="shared" si="1130"/>
        <v>PA</v>
      </c>
      <c r="AP1747" s="1" t="str">
        <f t="shared" si="1131"/>
        <v>False</v>
      </c>
      <c r="AR1747" s="1" t="str">
        <f t="shared" si="1138"/>
        <v>SOLAN</v>
      </c>
      <c r="AY1747" s="1" t="str">
        <f t="shared" si="1132"/>
        <v>PF</v>
      </c>
      <c r="AZ1747" s="1">
        <v>0</v>
      </c>
      <c r="BA1747" s="1">
        <v>0</v>
      </c>
      <c r="BB1747" s="1">
        <v>0</v>
      </c>
      <c r="BC1747" s="1">
        <v>0</v>
      </c>
      <c r="BD1747" s="1">
        <v>0</v>
      </c>
      <c r="BE1747" s="1" t="str">
        <f t="shared" si="1139"/>
        <v>S.CADET GOMMA  TWILL CANVAS</v>
      </c>
      <c r="BF1747" s="1" t="str">
        <f t="shared" si="1133"/>
        <v>Bonis SpA</v>
      </c>
    </row>
    <row r="1748" spans="2:58" x14ac:dyDescent="0.25">
      <c r="B1748" s="1">
        <v>2539</v>
      </c>
      <c r="C1748" s="1" t="str">
        <f t="shared" si="1135"/>
        <v>SOLAN4189S7/C1</v>
      </c>
      <c r="E1748" s="1" t="str">
        <f>"40"</f>
        <v>40</v>
      </c>
      <c r="F1748" s="1" t="str">
        <f t="shared" si="1122"/>
        <v>BONIS SPA</v>
      </c>
      <c r="G1748" s="1" t="str">
        <f t="shared" si="1111"/>
        <v>STOCK SCAFFALE MP</v>
      </c>
      <c r="H1748" s="1" t="str">
        <f t="shared" si="1136"/>
        <v>DKBL</v>
      </c>
      <c r="K1748" s="1">
        <v>4</v>
      </c>
      <c r="L1748" s="1" t="str">
        <f t="shared" si="1123"/>
        <v>01</v>
      </c>
      <c r="M1748" s="1" t="str">
        <f t="shared" si="1114"/>
        <v>409</v>
      </c>
      <c r="N1748" s="1" t="str">
        <f t="shared" si="1134"/>
        <v>007</v>
      </c>
      <c r="O1748" s="1" t="str">
        <f t="shared" si="1124"/>
        <v>00</v>
      </c>
      <c r="P1748" s="1" t="str">
        <f t="shared" si="1125"/>
        <v>S</v>
      </c>
      <c r="Q1748" s="1" t="str">
        <f t="shared" si="1126"/>
        <v>P</v>
      </c>
      <c r="R1748" s="1" t="str">
        <f t="shared" si="1127"/>
        <v>01</v>
      </c>
      <c r="S1748" s="1" t="str">
        <f t="shared" si="1112"/>
        <v>04</v>
      </c>
      <c r="T1748" s="1" t="str">
        <f t="shared" si="1128"/>
        <v>False</v>
      </c>
      <c r="U1748" s="1" t="str">
        <f t="shared" si="1129"/>
        <v>True</v>
      </c>
      <c r="V1748" s="1" t="str">
        <f>"U0027720"</f>
        <v>U0027720</v>
      </c>
      <c r="W1748" s="1">
        <v>1</v>
      </c>
      <c r="Y1748" s="1">
        <v>0</v>
      </c>
      <c r="Z1748" s="1">
        <v>0</v>
      </c>
      <c r="AB1748" s="1" t="str">
        <f t="shared" si="1116"/>
        <v>SMU</v>
      </c>
      <c r="AI1748" s="1" t="str">
        <f t="shared" si="1137"/>
        <v>F11</v>
      </c>
      <c r="AJ1748" s="1" t="str">
        <f t="shared" si="1117"/>
        <v>MAN</v>
      </c>
      <c r="AK1748" s="1" t="str">
        <f t="shared" si="1130"/>
        <v>PA</v>
      </c>
      <c r="AP1748" s="1" t="str">
        <f t="shared" si="1131"/>
        <v>False</v>
      </c>
      <c r="AR1748" s="1" t="str">
        <f t="shared" si="1138"/>
        <v>SOLAN</v>
      </c>
      <c r="AY1748" s="1" t="str">
        <f t="shared" si="1132"/>
        <v>PF</v>
      </c>
      <c r="AZ1748" s="1">
        <v>0</v>
      </c>
      <c r="BA1748" s="1">
        <v>0</v>
      </c>
      <c r="BB1748" s="1">
        <v>0</v>
      </c>
      <c r="BC1748" s="1">
        <v>0</v>
      </c>
      <c r="BD1748" s="1">
        <v>0</v>
      </c>
      <c r="BE1748" s="1" t="str">
        <f t="shared" si="1139"/>
        <v>S.CADET GOMMA  TWILL CANVAS</v>
      </c>
      <c r="BF1748" s="1" t="str">
        <f t="shared" si="1133"/>
        <v>Bonis SpA</v>
      </c>
    </row>
    <row r="1749" spans="2:58" x14ac:dyDescent="0.25">
      <c r="B1749" s="1">
        <v>2539</v>
      </c>
      <c r="C1749" s="1" t="str">
        <f t="shared" si="1135"/>
        <v>SOLAN4189S7/C1</v>
      </c>
      <c r="E1749" s="1" t="str">
        <f>"41"</f>
        <v>41</v>
      </c>
      <c r="F1749" s="1" t="str">
        <f t="shared" si="1122"/>
        <v>BONIS SPA</v>
      </c>
      <c r="G1749" s="1" t="str">
        <f t="shared" si="1111"/>
        <v>STOCK SCAFFALE MP</v>
      </c>
      <c r="H1749" s="1" t="str">
        <f t="shared" si="1136"/>
        <v>DKBL</v>
      </c>
      <c r="K1749" s="1">
        <v>6</v>
      </c>
      <c r="L1749" s="1" t="str">
        <f t="shared" si="1123"/>
        <v>01</v>
      </c>
      <c r="M1749" s="1" t="str">
        <f t="shared" si="1114"/>
        <v>409</v>
      </c>
      <c r="N1749" s="1" t="str">
        <f t="shared" si="1134"/>
        <v>007</v>
      </c>
      <c r="O1749" s="1" t="str">
        <f t="shared" si="1124"/>
        <v>00</v>
      </c>
      <c r="P1749" s="1" t="str">
        <f t="shared" si="1125"/>
        <v>S</v>
      </c>
      <c r="Q1749" s="1" t="str">
        <f t="shared" si="1126"/>
        <v>P</v>
      </c>
      <c r="R1749" s="1" t="str">
        <f t="shared" si="1127"/>
        <v>01</v>
      </c>
      <c r="S1749" s="1" t="str">
        <f t="shared" si="1112"/>
        <v>04</v>
      </c>
      <c r="T1749" s="1" t="str">
        <f t="shared" si="1128"/>
        <v>False</v>
      </c>
      <c r="U1749" s="1" t="str">
        <f t="shared" si="1129"/>
        <v>True</v>
      </c>
      <c r="V1749" s="1" t="str">
        <f>"U0027720"</f>
        <v>U0027720</v>
      </c>
      <c r="W1749" s="1">
        <v>1</v>
      </c>
      <c r="Y1749" s="1">
        <v>0</v>
      </c>
      <c r="Z1749" s="1">
        <v>0</v>
      </c>
      <c r="AB1749" s="1" t="str">
        <f t="shared" si="1116"/>
        <v>SMU</v>
      </c>
      <c r="AI1749" s="1" t="str">
        <f t="shared" si="1137"/>
        <v>F11</v>
      </c>
      <c r="AJ1749" s="1" t="str">
        <f t="shared" si="1117"/>
        <v>MAN</v>
      </c>
      <c r="AK1749" s="1" t="str">
        <f t="shared" si="1130"/>
        <v>PA</v>
      </c>
      <c r="AP1749" s="1" t="str">
        <f t="shared" si="1131"/>
        <v>False</v>
      </c>
      <c r="AR1749" s="1" t="str">
        <f t="shared" si="1138"/>
        <v>SOLAN</v>
      </c>
      <c r="AY1749" s="1" t="str">
        <f t="shared" si="1132"/>
        <v>PF</v>
      </c>
      <c r="AZ1749" s="1">
        <v>0</v>
      </c>
      <c r="BA1749" s="1">
        <v>0</v>
      </c>
      <c r="BB1749" s="1">
        <v>0</v>
      </c>
      <c r="BC1749" s="1">
        <v>0</v>
      </c>
      <c r="BD1749" s="1">
        <v>0</v>
      </c>
      <c r="BE1749" s="1" t="str">
        <f t="shared" si="1139"/>
        <v>S.CADET GOMMA  TWILL CANVAS</v>
      </c>
      <c r="BF1749" s="1" t="str">
        <f t="shared" si="1133"/>
        <v>Bonis SpA</v>
      </c>
    </row>
    <row r="1750" spans="2:58" x14ac:dyDescent="0.25">
      <c r="B1750" s="1">
        <v>2539</v>
      </c>
      <c r="C1750" s="1" t="str">
        <f t="shared" si="1135"/>
        <v>SOLAN4189S7/C1</v>
      </c>
      <c r="E1750" s="1" t="str">
        <f>"44"</f>
        <v>44</v>
      </c>
      <c r="F1750" s="1" t="str">
        <f t="shared" si="1122"/>
        <v>BONIS SPA</v>
      </c>
      <c r="G1750" s="1" t="str">
        <f t="shared" si="1111"/>
        <v>STOCK SCAFFALE MP</v>
      </c>
      <c r="H1750" s="1" t="str">
        <f>"BLK"</f>
        <v>BLK</v>
      </c>
      <c r="K1750" s="1">
        <v>7</v>
      </c>
      <c r="L1750" s="1" t="str">
        <f t="shared" si="1123"/>
        <v>01</v>
      </c>
      <c r="M1750" s="1" t="str">
        <f t="shared" si="1114"/>
        <v>409</v>
      </c>
      <c r="N1750" s="1" t="str">
        <f t="shared" si="1134"/>
        <v>007</v>
      </c>
      <c r="O1750" s="1" t="str">
        <f t="shared" si="1124"/>
        <v>00</v>
      </c>
      <c r="P1750" s="1" t="str">
        <f t="shared" si="1125"/>
        <v>S</v>
      </c>
      <c r="Q1750" s="1" t="str">
        <f t="shared" si="1126"/>
        <v>P</v>
      </c>
      <c r="R1750" s="1" t="str">
        <f t="shared" si="1127"/>
        <v>01</v>
      </c>
      <c r="S1750" s="1" t="str">
        <f t="shared" si="1112"/>
        <v>04</v>
      </c>
      <c r="T1750" s="1" t="str">
        <f t="shared" si="1128"/>
        <v>False</v>
      </c>
      <c r="U1750" s="1" t="str">
        <f t="shared" si="1129"/>
        <v>True</v>
      </c>
      <c r="V1750" s="1" t="str">
        <f>"U0027715"</f>
        <v>U0027715</v>
      </c>
      <c r="W1750" s="1">
        <v>1</v>
      </c>
      <c r="Y1750" s="1">
        <v>0</v>
      </c>
      <c r="Z1750" s="1">
        <v>0</v>
      </c>
      <c r="AB1750" s="1" t="str">
        <f t="shared" si="1116"/>
        <v>SMU</v>
      </c>
      <c r="AI1750" s="1" t="str">
        <f t="shared" si="1137"/>
        <v>F11</v>
      </c>
      <c r="AJ1750" s="1" t="str">
        <f t="shared" ref="AJ1750:AJ1779" si="1140">"MAN"</f>
        <v>MAN</v>
      </c>
      <c r="AK1750" s="1" t="str">
        <f t="shared" si="1130"/>
        <v>PA</v>
      </c>
      <c r="AP1750" s="1" t="str">
        <f t="shared" si="1131"/>
        <v>False</v>
      </c>
      <c r="AR1750" s="1" t="str">
        <f t="shared" si="1138"/>
        <v>SOLAN</v>
      </c>
      <c r="AY1750" s="1" t="str">
        <f t="shared" si="1132"/>
        <v>PF</v>
      </c>
      <c r="AZ1750" s="1">
        <v>0</v>
      </c>
      <c r="BA1750" s="1">
        <v>0</v>
      </c>
      <c r="BB1750" s="1">
        <v>0</v>
      </c>
      <c r="BC1750" s="1">
        <v>0</v>
      </c>
      <c r="BD1750" s="1">
        <v>0</v>
      </c>
      <c r="BE1750" s="1" t="str">
        <f t="shared" si="1139"/>
        <v>S.CADET GOMMA  TWILL CANVAS</v>
      </c>
      <c r="BF1750" s="1" t="str">
        <f t="shared" si="1133"/>
        <v>Bonis SpA</v>
      </c>
    </row>
    <row r="1751" spans="2:58" x14ac:dyDescent="0.25">
      <c r="B1751" s="1">
        <v>2539</v>
      </c>
      <c r="C1751" s="1" t="str">
        <f>"RUMBO4186S7/C1"</f>
        <v>RUMBO4186S7/C1</v>
      </c>
      <c r="E1751" s="1" t="str">
        <f>"41"</f>
        <v>41</v>
      </c>
      <c r="F1751" s="1" t="str">
        <f t="shared" si="1122"/>
        <v>BONIS SPA</v>
      </c>
      <c r="G1751" s="1" t="str">
        <f t="shared" si="1111"/>
        <v>STOCK SCAFFALE MP</v>
      </c>
      <c r="H1751" s="1" t="str">
        <f>"WHI"</f>
        <v>WHI</v>
      </c>
      <c r="K1751" s="1">
        <v>3</v>
      </c>
      <c r="L1751" s="1" t="str">
        <f t="shared" si="1123"/>
        <v>01</v>
      </c>
      <c r="M1751" s="1" t="str">
        <f t="shared" si="1114"/>
        <v>409</v>
      </c>
      <c r="N1751" s="1" t="str">
        <f t="shared" si="1134"/>
        <v>007</v>
      </c>
      <c r="O1751" s="1" t="str">
        <f t="shared" si="1124"/>
        <v>00</v>
      </c>
      <c r="P1751" s="1" t="str">
        <f t="shared" si="1125"/>
        <v>S</v>
      </c>
      <c r="Q1751" s="1" t="str">
        <f t="shared" si="1126"/>
        <v>P</v>
      </c>
      <c r="R1751" s="1" t="str">
        <f t="shared" si="1127"/>
        <v>01</v>
      </c>
      <c r="S1751" s="1" t="str">
        <f t="shared" si="1112"/>
        <v>04</v>
      </c>
      <c r="T1751" s="1" t="str">
        <f t="shared" si="1128"/>
        <v>False</v>
      </c>
      <c r="U1751" s="1" t="str">
        <f t="shared" si="1129"/>
        <v>True</v>
      </c>
      <c r="V1751" s="1" t="str">
        <f>"U0027715"</f>
        <v>U0027715</v>
      </c>
      <c r="W1751" s="1">
        <v>1</v>
      </c>
      <c r="Y1751" s="1">
        <v>0</v>
      </c>
      <c r="Z1751" s="1">
        <v>0</v>
      </c>
      <c r="AB1751" s="1" t="str">
        <f t="shared" si="1116"/>
        <v>SMU</v>
      </c>
      <c r="AI1751" s="1" t="str">
        <f t="shared" si="1137"/>
        <v>F11</v>
      </c>
      <c r="AJ1751" s="1" t="str">
        <f t="shared" si="1140"/>
        <v>MAN</v>
      </c>
      <c r="AK1751" s="1" t="str">
        <f t="shared" si="1130"/>
        <v>PA</v>
      </c>
      <c r="AP1751" s="1" t="str">
        <f t="shared" si="1131"/>
        <v>False</v>
      </c>
      <c r="AR1751" s="1" t="str">
        <f>"RUMBO"</f>
        <v>RUMBO</v>
      </c>
      <c r="AY1751" s="1" t="str">
        <f t="shared" si="1132"/>
        <v>PF</v>
      </c>
      <c r="AZ1751" s="1">
        <v>0</v>
      </c>
      <c r="BA1751" s="1">
        <v>0</v>
      </c>
      <c r="BB1751" s="1">
        <v>0</v>
      </c>
      <c r="BC1751" s="1">
        <v>0</v>
      </c>
      <c r="BD1751" s="1">
        <v>0</v>
      </c>
      <c r="BE1751" s="1" t="str">
        <f>"MBO TWILL CANVAS"</f>
        <v>MBO TWILL CANVAS</v>
      </c>
      <c r="BF1751" s="1" t="str">
        <f t="shared" si="1133"/>
        <v>Bonis SpA</v>
      </c>
    </row>
    <row r="1752" spans="2:58" x14ac:dyDescent="0.25">
      <c r="B1752" s="1">
        <v>2539</v>
      </c>
      <c r="C1752" s="1" t="str">
        <f>"RUMBO4186S7/C1"</f>
        <v>RUMBO4186S7/C1</v>
      </c>
      <c r="E1752" s="1" t="str">
        <f>"40"</f>
        <v>40</v>
      </c>
      <c r="F1752" s="1" t="str">
        <f t="shared" si="1122"/>
        <v>BONIS SPA</v>
      </c>
      <c r="G1752" s="1" t="str">
        <f t="shared" si="1111"/>
        <v>STOCK SCAFFALE MP</v>
      </c>
      <c r="H1752" s="1" t="str">
        <f>"WHI"</f>
        <v>WHI</v>
      </c>
      <c r="K1752" s="1">
        <v>1</v>
      </c>
      <c r="L1752" s="1" t="str">
        <f t="shared" si="1123"/>
        <v>01</v>
      </c>
      <c r="M1752" s="1" t="str">
        <f t="shared" si="1114"/>
        <v>409</v>
      </c>
      <c r="N1752" s="1" t="str">
        <f t="shared" si="1134"/>
        <v>007</v>
      </c>
      <c r="O1752" s="1" t="str">
        <f t="shared" si="1124"/>
        <v>00</v>
      </c>
      <c r="P1752" s="1" t="str">
        <f t="shared" si="1125"/>
        <v>S</v>
      </c>
      <c r="Q1752" s="1" t="str">
        <f t="shared" si="1126"/>
        <v>P</v>
      </c>
      <c r="R1752" s="1" t="str">
        <f t="shared" si="1127"/>
        <v>01</v>
      </c>
      <c r="S1752" s="1" t="str">
        <f t="shared" si="1112"/>
        <v>04</v>
      </c>
      <c r="T1752" s="1" t="str">
        <f t="shared" si="1128"/>
        <v>False</v>
      </c>
      <c r="U1752" s="1" t="str">
        <f t="shared" si="1129"/>
        <v>True</v>
      </c>
      <c r="V1752" s="1" t="str">
        <f>"U0027715"</f>
        <v>U0027715</v>
      </c>
      <c r="W1752" s="1">
        <v>1</v>
      </c>
      <c r="Y1752" s="1">
        <v>0</v>
      </c>
      <c r="Z1752" s="1">
        <v>0</v>
      </c>
      <c r="AB1752" s="1" t="str">
        <f t="shared" si="1116"/>
        <v>SMU</v>
      </c>
      <c r="AI1752" s="1" t="str">
        <f t="shared" si="1137"/>
        <v>F11</v>
      </c>
      <c r="AJ1752" s="1" t="str">
        <f t="shared" si="1140"/>
        <v>MAN</v>
      </c>
      <c r="AK1752" s="1" t="str">
        <f t="shared" si="1130"/>
        <v>PA</v>
      </c>
      <c r="AP1752" s="1" t="str">
        <f t="shared" si="1131"/>
        <v>False</v>
      </c>
      <c r="AR1752" s="1" t="str">
        <f>"RUMBO"</f>
        <v>RUMBO</v>
      </c>
      <c r="AY1752" s="1" t="str">
        <f t="shared" si="1132"/>
        <v>PF</v>
      </c>
      <c r="AZ1752" s="1">
        <v>0</v>
      </c>
      <c r="BA1752" s="1">
        <v>0</v>
      </c>
      <c r="BB1752" s="1">
        <v>0</v>
      </c>
      <c r="BC1752" s="1">
        <v>0</v>
      </c>
      <c r="BD1752" s="1">
        <v>0</v>
      </c>
      <c r="BE1752" s="1" t="str">
        <f>"MBO TWILL CANVAS"</f>
        <v>MBO TWILL CANVAS</v>
      </c>
      <c r="BF1752" s="1" t="str">
        <f t="shared" si="1133"/>
        <v>Bonis SpA</v>
      </c>
    </row>
    <row r="1753" spans="2:58" x14ac:dyDescent="0.25">
      <c r="B1753" s="1">
        <v>2539</v>
      </c>
      <c r="C1753" s="1" t="str">
        <f t="shared" ref="C1753:C1778" si="1141">"SOLAN4189S7/C1"</f>
        <v>SOLAN4189S7/C1</v>
      </c>
      <c r="E1753" s="1" t="str">
        <f>"45"</f>
        <v>45</v>
      </c>
      <c r="F1753" s="1" t="str">
        <f t="shared" si="1122"/>
        <v>BONIS SPA</v>
      </c>
      <c r="G1753" s="1" t="str">
        <f t="shared" si="1111"/>
        <v>STOCK SCAFFALE MP</v>
      </c>
      <c r="H1753" s="1" t="str">
        <f t="shared" ref="H1753:H1758" si="1142">"BLK"</f>
        <v>BLK</v>
      </c>
      <c r="K1753" s="1">
        <v>1</v>
      </c>
      <c r="L1753" s="1" t="str">
        <f t="shared" si="1123"/>
        <v>01</v>
      </c>
      <c r="M1753" s="1" t="str">
        <f t="shared" si="1114"/>
        <v>409</v>
      </c>
      <c r="N1753" s="1" t="str">
        <f t="shared" si="1134"/>
        <v>007</v>
      </c>
      <c r="O1753" s="1" t="str">
        <f t="shared" si="1124"/>
        <v>00</v>
      </c>
      <c r="P1753" s="1" t="str">
        <f t="shared" si="1125"/>
        <v>S</v>
      </c>
      <c r="Q1753" s="1" t="str">
        <f t="shared" si="1126"/>
        <v>P</v>
      </c>
      <c r="R1753" s="1" t="str">
        <f t="shared" si="1127"/>
        <v>01</v>
      </c>
      <c r="S1753" s="1" t="str">
        <f t="shared" si="1112"/>
        <v>04</v>
      </c>
      <c r="T1753" s="1" t="str">
        <f t="shared" si="1128"/>
        <v>False</v>
      </c>
      <c r="U1753" s="1" t="str">
        <f t="shared" si="1129"/>
        <v>True</v>
      </c>
      <c r="V1753" s="1" t="str">
        <f>"U0023689"</f>
        <v>U0023689</v>
      </c>
      <c r="W1753" s="1">
        <v>1</v>
      </c>
      <c r="Y1753" s="1">
        <v>0</v>
      </c>
      <c r="Z1753" s="1">
        <v>0</v>
      </c>
      <c r="AB1753" s="1" t="str">
        <f t="shared" si="1116"/>
        <v>SMU</v>
      </c>
      <c r="AI1753" s="1" t="str">
        <f t="shared" si="1137"/>
        <v>F11</v>
      </c>
      <c r="AJ1753" s="1" t="str">
        <f t="shared" si="1140"/>
        <v>MAN</v>
      </c>
      <c r="AK1753" s="1" t="str">
        <f t="shared" si="1130"/>
        <v>PA</v>
      </c>
      <c r="AP1753" s="1" t="str">
        <f t="shared" si="1131"/>
        <v>False</v>
      </c>
      <c r="AR1753" s="1" t="str">
        <f t="shared" ref="AR1753:AR1778" si="1143">"SOLAN"</f>
        <v>SOLAN</v>
      </c>
      <c r="AY1753" s="1" t="str">
        <f t="shared" si="1132"/>
        <v>PF</v>
      </c>
      <c r="AZ1753" s="1">
        <v>0</v>
      </c>
      <c r="BA1753" s="1">
        <v>0</v>
      </c>
      <c r="BB1753" s="1">
        <v>0</v>
      </c>
      <c r="BC1753" s="1">
        <v>0</v>
      </c>
      <c r="BD1753" s="1">
        <v>0</v>
      </c>
      <c r="BE1753" s="1" t="str">
        <f t="shared" ref="BE1753:BE1778" si="1144">"S.CADET GOMMA  TWILL CANVAS"</f>
        <v>S.CADET GOMMA  TWILL CANVAS</v>
      </c>
      <c r="BF1753" s="1" t="str">
        <f t="shared" si="1133"/>
        <v>Bonis SpA</v>
      </c>
    </row>
    <row r="1754" spans="2:58" x14ac:dyDescent="0.25">
      <c r="B1754" s="1">
        <v>2539</v>
      </c>
      <c r="C1754" s="1" t="str">
        <f t="shared" si="1141"/>
        <v>SOLAN4189S7/C1</v>
      </c>
      <c r="E1754" s="1" t="str">
        <f>"41"</f>
        <v>41</v>
      </c>
      <c r="F1754" s="1" t="str">
        <f t="shared" si="1122"/>
        <v>BONIS SPA</v>
      </c>
      <c r="G1754" s="1" t="str">
        <f t="shared" si="1111"/>
        <v>STOCK SCAFFALE MP</v>
      </c>
      <c r="H1754" s="1" t="str">
        <f t="shared" si="1142"/>
        <v>BLK</v>
      </c>
      <c r="K1754" s="1">
        <v>9</v>
      </c>
      <c r="L1754" s="1" t="str">
        <f t="shared" si="1123"/>
        <v>01</v>
      </c>
      <c r="M1754" s="1" t="str">
        <f t="shared" si="1114"/>
        <v>409</v>
      </c>
      <c r="N1754" s="1" t="str">
        <f t="shared" si="1134"/>
        <v>007</v>
      </c>
      <c r="O1754" s="1" t="str">
        <f t="shared" si="1124"/>
        <v>00</v>
      </c>
      <c r="P1754" s="1" t="str">
        <f t="shared" si="1125"/>
        <v>S</v>
      </c>
      <c r="Q1754" s="1" t="str">
        <f t="shared" si="1126"/>
        <v>P</v>
      </c>
      <c r="R1754" s="1" t="str">
        <f t="shared" si="1127"/>
        <v>01</v>
      </c>
      <c r="S1754" s="1" t="str">
        <f t="shared" si="1112"/>
        <v>04</v>
      </c>
      <c r="T1754" s="1" t="str">
        <f t="shared" si="1128"/>
        <v>False</v>
      </c>
      <c r="U1754" s="1" t="str">
        <f t="shared" si="1129"/>
        <v>True</v>
      </c>
      <c r="V1754" s="1" t="str">
        <f>"U0023689"</f>
        <v>U0023689</v>
      </c>
      <c r="W1754" s="1">
        <v>1</v>
      </c>
      <c r="Y1754" s="1">
        <v>0</v>
      </c>
      <c r="Z1754" s="1">
        <v>0</v>
      </c>
      <c r="AB1754" s="1" t="str">
        <f t="shared" si="1116"/>
        <v>SMU</v>
      </c>
      <c r="AI1754" s="1" t="str">
        <f>"F06"</f>
        <v>F06</v>
      </c>
      <c r="AJ1754" s="1" t="str">
        <f t="shared" si="1140"/>
        <v>MAN</v>
      </c>
      <c r="AK1754" s="1" t="str">
        <f t="shared" si="1130"/>
        <v>PA</v>
      </c>
      <c r="AP1754" s="1" t="str">
        <f t="shared" si="1131"/>
        <v>False</v>
      </c>
      <c r="AR1754" s="1" t="str">
        <f t="shared" si="1143"/>
        <v>SOLAN</v>
      </c>
      <c r="AY1754" s="1" t="str">
        <f t="shared" si="1132"/>
        <v>PF</v>
      </c>
      <c r="AZ1754" s="1">
        <v>0</v>
      </c>
      <c r="BA1754" s="1">
        <v>0</v>
      </c>
      <c r="BB1754" s="1">
        <v>0</v>
      </c>
      <c r="BC1754" s="1">
        <v>0</v>
      </c>
      <c r="BD1754" s="1">
        <v>0</v>
      </c>
      <c r="BE1754" s="1" t="str">
        <f t="shared" si="1144"/>
        <v>S.CADET GOMMA  TWILL CANVAS</v>
      </c>
      <c r="BF1754" s="1" t="str">
        <f t="shared" si="1133"/>
        <v>Bonis SpA</v>
      </c>
    </row>
    <row r="1755" spans="2:58" x14ac:dyDescent="0.25">
      <c r="B1755" s="1">
        <v>2539</v>
      </c>
      <c r="C1755" s="1" t="str">
        <f t="shared" si="1141"/>
        <v>SOLAN4189S7/C1</v>
      </c>
      <c r="E1755" s="1" t="str">
        <f>"40"</f>
        <v>40</v>
      </c>
      <c r="F1755" s="1" t="str">
        <f t="shared" si="1122"/>
        <v>BONIS SPA</v>
      </c>
      <c r="G1755" s="1" t="str">
        <f t="shared" si="1111"/>
        <v>STOCK SCAFFALE MP</v>
      </c>
      <c r="H1755" s="1" t="str">
        <f t="shared" si="1142"/>
        <v>BLK</v>
      </c>
      <c r="K1755" s="1">
        <v>2</v>
      </c>
      <c r="L1755" s="1" t="str">
        <f t="shared" si="1123"/>
        <v>01</v>
      </c>
      <c r="M1755" s="1" t="str">
        <f t="shared" si="1114"/>
        <v>409</v>
      </c>
      <c r="N1755" s="1" t="str">
        <f t="shared" si="1134"/>
        <v>007</v>
      </c>
      <c r="O1755" s="1" t="str">
        <f t="shared" si="1124"/>
        <v>00</v>
      </c>
      <c r="P1755" s="1" t="str">
        <f t="shared" si="1125"/>
        <v>S</v>
      </c>
      <c r="Q1755" s="1" t="str">
        <f t="shared" si="1126"/>
        <v>P</v>
      </c>
      <c r="R1755" s="1" t="str">
        <f t="shared" si="1127"/>
        <v>01</v>
      </c>
      <c r="S1755" s="1" t="str">
        <f t="shared" si="1112"/>
        <v>04</v>
      </c>
      <c r="T1755" s="1" t="str">
        <f t="shared" si="1128"/>
        <v>False</v>
      </c>
      <c r="U1755" s="1" t="str">
        <f t="shared" si="1129"/>
        <v>True</v>
      </c>
      <c r="V1755" s="1" t="str">
        <f>"U0023635"</f>
        <v>U0023635</v>
      </c>
      <c r="W1755" s="1">
        <v>1</v>
      </c>
      <c r="Y1755" s="1">
        <v>0</v>
      </c>
      <c r="Z1755" s="1">
        <v>0</v>
      </c>
      <c r="AB1755" s="1" t="str">
        <f t="shared" si="1116"/>
        <v>SMU</v>
      </c>
      <c r="AI1755" s="1" t="str">
        <f t="shared" ref="AI1755:AI1760" si="1145">"106"</f>
        <v>106</v>
      </c>
      <c r="AJ1755" s="1" t="str">
        <f t="shared" si="1140"/>
        <v>MAN</v>
      </c>
      <c r="AK1755" s="1" t="str">
        <f t="shared" si="1130"/>
        <v>PA</v>
      </c>
      <c r="AP1755" s="1" t="str">
        <f t="shared" si="1131"/>
        <v>False</v>
      </c>
      <c r="AR1755" s="1" t="str">
        <f t="shared" si="1143"/>
        <v>SOLAN</v>
      </c>
      <c r="AY1755" s="1" t="str">
        <f t="shared" si="1132"/>
        <v>PF</v>
      </c>
      <c r="AZ1755" s="1">
        <v>0</v>
      </c>
      <c r="BA1755" s="1">
        <v>0</v>
      </c>
      <c r="BB1755" s="1">
        <v>0</v>
      </c>
      <c r="BC1755" s="1">
        <v>0</v>
      </c>
      <c r="BD1755" s="1">
        <v>0</v>
      </c>
      <c r="BE1755" s="1" t="str">
        <f t="shared" si="1144"/>
        <v>S.CADET GOMMA  TWILL CANVAS</v>
      </c>
      <c r="BF1755" s="1" t="str">
        <f t="shared" si="1133"/>
        <v>Bonis SpA</v>
      </c>
    </row>
    <row r="1756" spans="2:58" x14ac:dyDescent="0.25">
      <c r="B1756" s="1">
        <v>2539</v>
      </c>
      <c r="C1756" s="1" t="str">
        <f t="shared" si="1141"/>
        <v>SOLAN4189S7/C1</v>
      </c>
      <c r="E1756" s="1" t="str">
        <f>"42"</f>
        <v>42</v>
      </c>
      <c r="F1756" s="1" t="str">
        <f t="shared" si="1122"/>
        <v>BONIS SPA</v>
      </c>
      <c r="G1756" s="1" t="str">
        <f t="shared" si="1111"/>
        <v>STOCK SCAFFALE MP</v>
      </c>
      <c r="H1756" s="1" t="str">
        <f t="shared" si="1142"/>
        <v>BLK</v>
      </c>
      <c r="K1756" s="1">
        <v>1</v>
      </c>
      <c r="L1756" s="1" t="str">
        <f t="shared" si="1123"/>
        <v>01</v>
      </c>
      <c r="M1756" s="1" t="str">
        <f t="shared" si="1114"/>
        <v>409</v>
      </c>
      <c r="N1756" s="1" t="str">
        <f t="shared" si="1134"/>
        <v>007</v>
      </c>
      <c r="O1756" s="1" t="str">
        <f t="shared" si="1124"/>
        <v>00</v>
      </c>
      <c r="P1756" s="1" t="str">
        <f t="shared" si="1125"/>
        <v>S</v>
      </c>
      <c r="Q1756" s="1" t="str">
        <f t="shared" si="1126"/>
        <v>P</v>
      </c>
      <c r="R1756" s="1" t="str">
        <f t="shared" si="1127"/>
        <v>01</v>
      </c>
      <c r="S1756" s="1" t="str">
        <f t="shared" si="1112"/>
        <v>04</v>
      </c>
      <c r="T1756" s="1" t="str">
        <f t="shared" si="1128"/>
        <v>False</v>
      </c>
      <c r="U1756" s="1" t="str">
        <f t="shared" si="1129"/>
        <v>True</v>
      </c>
      <c r="V1756" s="1" t="str">
        <f>"U0027721"</f>
        <v>U0027721</v>
      </c>
      <c r="W1756" s="1">
        <v>1</v>
      </c>
      <c r="Y1756" s="1">
        <v>0</v>
      </c>
      <c r="Z1756" s="1">
        <v>0</v>
      </c>
      <c r="AB1756" s="1" t="str">
        <f t="shared" si="1116"/>
        <v>SMU</v>
      </c>
      <c r="AI1756" s="1" t="str">
        <f t="shared" si="1145"/>
        <v>106</v>
      </c>
      <c r="AJ1756" s="1" t="str">
        <f t="shared" si="1140"/>
        <v>MAN</v>
      </c>
      <c r="AK1756" s="1" t="str">
        <f t="shared" si="1130"/>
        <v>PA</v>
      </c>
      <c r="AP1756" s="1" t="str">
        <f t="shared" si="1131"/>
        <v>False</v>
      </c>
      <c r="AR1756" s="1" t="str">
        <f t="shared" si="1143"/>
        <v>SOLAN</v>
      </c>
      <c r="AY1756" s="1" t="str">
        <f t="shared" si="1132"/>
        <v>PF</v>
      </c>
      <c r="AZ1756" s="1">
        <v>0</v>
      </c>
      <c r="BA1756" s="1">
        <v>0</v>
      </c>
      <c r="BB1756" s="1">
        <v>0</v>
      </c>
      <c r="BC1756" s="1">
        <v>0</v>
      </c>
      <c r="BD1756" s="1">
        <v>0</v>
      </c>
      <c r="BE1756" s="1" t="str">
        <f t="shared" si="1144"/>
        <v>S.CADET GOMMA  TWILL CANVAS</v>
      </c>
      <c r="BF1756" s="1" t="str">
        <f t="shared" si="1133"/>
        <v>Bonis SpA</v>
      </c>
    </row>
    <row r="1757" spans="2:58" x14ac:dyDescent="0.25">
      <c r="B1757" s="1">
        <v>2539</v>
      </c>
      <c r="C1757" s="1" t="str">
        <f t="shared" si="1141"/>
        <v>SOLAN4189S7/C1</v>
      </c>
      <c r="E1757" s="1" t="str">
        <f>"43"</f>
        <v>43</v>
      </c>
      <c r="F1757" s="1" t="str">
        <f t="shared" si="1122"/>
        <v>BONIS SPA</v>
      </c>
      <c r="G1757" s="1" t="str">
        <f t="shared" si="1111"/>
        <v>STOCK SCAFFALE MP</v>
      </c>
      <c r="H1757" s="1" t="str">
        <f t="shared" si="1142"/>
        <v>BLK</v>
      </c>
      <c r="K1757" s="1">
        <v>1</v>
      </c>
      <c r="L1757" s="1" t="str">
        <f t="shared" si="1123"/>
        <v>01</v>
      </c>
      <c r="M1757" s="1" t="str">
        <f t="shared" si="1114"/>
        <v>409</v>
      </c>
      <c r="N1757" s="1" t="str">
        <f t="shared" si="1134"/>
        <v>007</v>
      </c>
      <c r="O1757" s="1" t="str">
        <f t="shared" si="1124"/>
        <v>00</v>
      </c>
      <c r="P1757" s="1" t="str">
        <f t="shared" si="1125"/>
        <v>S</v>
      </c>
      <c r="Q1757" s="1" t="str">
        <f t="shared" si="1126"/>
        <v>P</v>
      </c>
      <c r="R1757" s="1" t="str">
        <f t="shared" si="1127"/>
        <v>01</v>
      </c>
      <c r="S1757" s="1" t="str">
        <f t="shared" si="1112"/>
        <v>04</v>
      </c>
      <c r="T1757" s="1" t="str">
        <f t="shared" si="1128"/>
        <v>False</v>
      </c>
      <c r="U1757" s="1" t="str">
        <f t="shared" si="1129"/>
        <v>True</v>
      </c>
      <c r="V1757" s="1" t="str">
        <f>"U0027721"</f>
        <v>U0027721</v>
      </c>
      <c r="W1757" s="1">
        <v>1</v>
      </c>
      <c r="Y1757" s="1">
        <v>0</v>
      </c>
      <c r="Z1757" s="1">
        <v>0</v>
      </c>
      <c r="AB1757" s="1" t="str">
        <f t="shared" si="1116"/>
        <v>SMU</v>
      </c>
      <c r="AI1757" s="1" t="str">
        <f t="shared" si="1145"/>
        <v>106</v>
      </c>
      <c r="AJ1757" s="1" t="str">
        <f t="shared" si="1140"/>
        <v>MAN</v>
      </c>
      <c r="AK1757" s="1" t="str">
        <f t="shared" si="1130"/>
        <v>PA</v>
      </c>
      <c r="AP1757" s="1" t="str">
        <f t="shared" si="1131"/>
        <v>False</v>
      </c>
      <c r="AR1757" s="1" t="str">
        <f t="shared" si="1143"/>
        <v>SOLAN</v>
      </c>
      <c r="AY1757" s="1" t="str">
        <f t="shared" si="1132"/>
        <v>PF</v>
      </c>
      <c r="AZ1757" s="1">
        <v>0</v>
      </c>
      <c r="BA1757" s="1">
        <v>0</v>
      </c>
      <c r="BB1757" s="1">
        <v>0</v>
      </c>
      <c r="BC1757" s="1">
        <v>0</v>
      </c>
      <c r="BD1757" s="1">
        <v>0</v>
      </c>
      <c r="BE1757" s="1" t="str">
        <f t="shared" si="1144"/>
        <v>S.CADET GOMMA  TWILL CANVAS</v>
      </c>
      <c r="BF1757" s="1" t="str">
        <f t="shared" si="1133"/>
        <v>Bonis SpA</v>
      </c>
    </row>
    <row r="1758" spans="2:58" x14ac:dyDescent="0.25">
      <c r="B1758" s="1">
        <v>2539</v>
      </c>
      <c r="C1758" s="1" t="str">
        <f t="shared" si="1141"/>
        <v>SOLAN4189S7/C1</v>
      </c>
      <c r="E1758" s="1" t="str">
        <f>"45"</f>
        <v>45</v>
      </c>
      <c r="F1758" s="1" t="str">
        <f t="shared" si="1122"/>
        <v>BONIS SPA</v>
      </c>
      <c r="G1758" s="1" t="str">
        <f t="shared" si="1111"/>
        <v>STOCK SCAFFALE MP</v>
      </c>
      <c r="H1758" s="1" t="str">
        <f t="shared" si="1142"/>
        <v>BLK</v>
      </c>
      <c r="K1758" s="1">
        <v>2</v>
      </c>
      <c r="L1758" s="1" t="str">
        <f t="shared" si="1123"/>
        <v>01</v>
      </c>
      <c r="M1758" s="1" t="str">
        <f t="shared" si="1114"/>
        <v>409</v>
      </c>
      <c r="N1758" s="1" t="str">
        <f t="shared" si="1134"/>
        <v>007</v>
      </c>
      <c r="O1758" s="1" t="str">
        <f t="shared" si="1124"/>
        <v>00</v>
      </c>
      <c r="P1758" s="1" t="str">
        <f t="shared" si="1125"/>
        <v>S</v>
      </c>
      <c r="Q1758" s="1" t="str">
        <f t="shared" si="1126"/>
        <v>P</v>
      </c>
      <c r="R1758" s="1" t="str">
        <f t="shared" si="1127"/>
        <v>01</v>
      </c>
      <c r="S1758" s="1" t="str">
        <f t="shared" si="1112"/>
        <v>04</v>
      </c>
      <c r="T1758" s="1" t="str">
        <f t="shared" si="1128"/>
        <v>False</v>
      </c>
      <c r="U1758" s="1" t="str">
        <f t="shared" si="1129"/>
        <v>True</v>
      </c>
      <c r="V1758" s="1" t="str">
        <f>"U0023635"</f>
        <v>U0023635</v>
      </c>
      <c r="W1758" s="1">
        <v>1</v>
      </c>
      <c r="Y1758" s="1">
        <v>0</v>
      </c>
      <c r="Z1758" s="1">
        <v>0</v>
      </c>
      <c r="AB1758" s="1" t="str">
        <f t="shared" si="1116"/>
        <v>SMU</v>
      </c>
      <c r="AI1758" s="1" t="str">
        <f t="shared" si="1145"/>
        <v>106</v>
      </c>
      <c r="AJ1758" s="1" t="str">
        <f t="shared" si="1140"/>
        <v>MAN</v>
      </c>
      <c r="AK1758" s="1" t="str">
        <f t="shared" si="1130"/>
        <v>PA</v>
      </c>
      <c r="AP1758" s="1" t="str">
        <f t="shared" si="1131"/>
        <v>False</v>
      </c>
      <c r="AR1758" s="1" t="str">
        <f t="shared" si="1143"/>
        <v>SOLAN</v>
      </c>
      <c r="AY1758" s="1" t="str">
        <f t="shared" si="1132"/>
        <v>PF</v>
      </c>
      <c r="AZ1758" s="1">
        <v>0</v>
      </c>
      <c r="BA1758" s="1">
        <v>0</v>
      </c>
      <c r="BB1758" s="1">
        <v>0</v>
      </c>
      <c r="BC1758" s="1">
        <v>0</v>
      </c>
      <c r="BD1758" s="1">
        <v>0</v>
      </c>
      <c r="BE1758" s="1" t="str">
        <f t="shared" si="1144"/>
        <v>S.CADET GOMMA  TWILL CANVAS</v>
      </c>
      <c r="BF1758" s="1" t="str">
        <f t="shared" si="1133"/>
        <v>Bonis SpA</v>
      </c>
    </row>
    <row r="1759" spans="2:58" x14ac:dyDescent="0.25">
      <c r="B1759" s="1">
        <v>2539</v>
      </c>
      <c r="C1759" s="1" t="str">
        <f t="shared" si="1141"/>
        <v>SOLAN4189S7/C1</v>
      </c>
      <c r="E1759" s="1" t="str">
        <f>"44"</f>
        <v>44</v>
      </c>
      <c r="F1759" s="1" t="str">
        <f t="shared" si="1122"/>
        <v>BONIS SPA</v>
      </c>
      <c r="G1759" s="1" t="str">
        <f t="shared" si="1111"/>
        <v>STOCK SCAFFALE MP</v>
      </c>
      <c r="H1759" s="1" t="str">
        <f>"WHI"</f>
        <v>WHI</v>
      </c>
      <c r="K1759" s="1">
        <v>1</v>
      </c>
      <c r="L1759" s="1" t="str">
        <f t="shared" si="1123"/>
        <v>01</v>
      </c>
      <c r="M1759" s="1" t="str">
        <f t="shared" si="1114"/>
        <v>409</v>
      </c>
      <c r="N1759" s="1" t="str">
        <f t="shared" si="1134"/>
        <v>007</v>
      </c>
      <c r="O1759" s="1" t="str">
        <f t="shared" si="1124"/>
        <v>00</v>
      </c>
      <c r="P1759" s="1" t="str">
        <f t="shared" si="1125"/>
        <v>S</v>
      </c>
      <c r="Q1759" s="1" t="str">
        <f t="shared" si="1126"/>
        <v>P</v>
      </c>
      <c r="R1759" s="1" t="str">
        <f t="shared" si="1127"/>
        <v>01</v>
      </c>
      <c r="S1759" s="1" t="str">
        <f t="shared" si="1112"/>
        <v>04</v>
      </c>
      <c r="T1759" s="1" t="str">
        <f t="shared" si="1128"/>
        <v>False</v>
      </c>
      <c r="U1759" s="1" t="str">
        <f t="shared" si="1129"/>
        <v>True</v>
      </c>
      <c r="V1759" s="1" t="str">
        <f>"U0027721"</f>
        <v>U0027721</v>
      </c>
      <c r="W1759" s="1">
        <v>1</v>
      </c>
      <c r="Y1759" s="1">
        <v>0</v>
      </c>
      <c r="Z1759" s="1">
        <v>0</v>
      </c>
      <c r="AB1759" s="1" t="str">
        <f t="shared" si="1116"/>
        <v>SMU</v>
      </c>
      <c r="AI1759" s="1" t="str">
        <f t="shared" si="1145"/>
        <v>106</v>
      </c>
      <c r="AJ1759" s="1" t="str">
        <f t="shared" si="1140"/>
        <v>MAN</v>
      </c>
      <c r="AK1759" s="1" t="str">
        <f t="shared" si="1130"/>
        <v>PA</v>
      </c>
      <c r="AP1759" s="1" t="str">
        <f t="shared" si="1131"/>
        <v>False</v>
      </c>
      <c r="AR1759" s="1" t="str">
        <f t="shared" si="1143"/>
        <v>SOLAN</v>
      </c>
      <c r="AY1759" s="1" t="str">
        <f t="shared" si="1132"/>
        <v>PF</v>
      </c>
      <c r="AZ1759" s="1">
        <v>0</v>
      </c>
      <c r="BA1759" s="1">
        <v>0</v>
      </c>
      <c r="BB1759" s="1">
        <v>0</v>
      </c>
      <c r="BC1759" s="1">
        <v>0</v>
      </c>
      <c r="BD1759" s="1">
        <v>0</v>
      </c>
      <c r="BE1759" s="1" t="str">
        <f t="shared" si="1144"/>
        <v>S.CADET GOMMA  TWILL CANVAS</v>
      </c>
      <c r="BF1759" s="1" t="str">
        <f t="shared" si="1133"/>
        <v>Bonis SpA</v>
      </c>
    </row>
    <row r="1760" spans="2:58" x14ac:dyDescent="0.25">
      <c r="B1760" s="1">
        <v>2539</v>
      </c>
      <c r="C1760" s="1" t="str">
        <f t="shared" si="1141"/>
        <v>SOLAN4189S7/C1</v>
      </c>
      <c r="E1760" s="1" t="str">
        <f>"44"</f>
        <v>44</v>
      </c>
      <c r="F1760" s="1" t="str">
        <f t="shared" si="1122"/>
        <v>BONIS SPA</v>
      </c>
      <c r="G1760" s="1" t="str">
        <f t="shared" si="1111"/>
        <v>STOCK SCAFFALE MP</v>
      </c>
      <c r="H1760" s="1" t="str">
        <f>"WHI"</f>
        <v>WHI</v>
      </c>
      <c r="K1760" s="1">
        <v>1</v>
      </c>
      <c r="L1760" s="1" t="str">
        <f t="shared" si="1123"/>
        <v>01</v>
      </c>
      <c r="M1760" s="1" t="str">
        <f t="shared" si="1114"/>
        <v>409</v>
      </c>
      <c r="N1760" s="1" t="str">
        <f t="shared" si="1134"/>
        <v>007</v>
      </c>
      <c r="O1760" s="1" t="str">
        <f t="shared" si="1124"/>
        <v>00</v>
      </c>
      <c r="P1760" s="1" t="str">
        <f t="shared" si="1125"/>
        <v>S</v>
      </c>
      <c r="Q1760" s="1" t="str">
        <f t="shared" si="1126"/>
        <v>P</v>
      </c>
      <c r="R1760" s="1" t="str">
        <f t="shared" si="1127"/>
        <v>01</v>
      </c>
      <c r="S1760" s="1" t="str">
        <f t="shared" si="1112"/>
        <v>04</v>
      </c>
      <c r="T1760" s="1" t="str">
        <f t="shared" si="1128"/>
        <v>False</v>
      </c>
      <c r="U1760" s="1" t="str">
        <f t="shared" si="1129"/>
        <v>True</v>
      </c>
      <c r="V1760" s="1" t="str">
        <f>"U0027728"</f>
        <v>U0027728</v>
      </c>
      <c r="W1760" s="1">
        <v>1</v>
      </c>
      <c r="Y1760" s="1">
        <v>0</v>
      </c>
      <c r="Z1760" s="1">
        <v>0</v>
      </c>
      <c r="AB1760" s="1" t="str">
        <f t="shared" si="1116"/>
        <v>SMU</v>
      </c>
      <c r="AI1760" s="1" t="str">
        <f t="shared" si="1145"/>
        <v>106</v>
      </c>
      <c r="AJ1760" s="1" t="str">
        <f t="shared" si="1140"/>
        <v>MAN</v>
      </c>
      <c r="AK1760" s="1" t="str">
        <f t="shared" si="1130"/>
        <v>PA</v>
      </c>
      <c r="AP1760" s="1" t="str">
        <f t="shared" si="1131"/>
        <v>False</v>
      </c>
      <c r="AR1760" s="1" t="str">
        <f t="shared" si="1143"/>
        <v>SOLAN</v>
      </c>
      <c r="AY1760" s="1" t="str">
        <f t="shared" si="1132"/>
        <v>PF</v>
      </c>
      <c r="AZ1760" s="1">
        <v>0</v>
      </c>
      <c r="BA1760" s="1">
        <v>0</v>
      </c>
      <c r="BB1760" s="1">
        <v>0</v>
      </c>
      <c r="BC1760" s="1">
        <v>0</v>
      </c>
      <c r="BD1760" s="1">
        <v>0</v>
      </c>
      <c r="BE1760" s="1" t="str">
        <f t="shared" si="1144"/>
        <v>S.CADET GOMMA  TWILL CANVAS</v>
      </c>
      <c r="BF1760" s="1" t="str">
        <f t="shared" si="1133"/>
        <v>Bonis SpA</v>
      </c>
    </row>
    <row r="1761" spans="2:58" x14ac:dyDescent="0.25">
      <c r="B1761" s="1">
        <v>2539</v>
      </c>
      <c r="C1761" s="1" t="str">
        <f t="shared" si="1141"/>
        <v>SOLAN4189S7/C1</v>
      </c>
      <c r="E1761" s="1" t="str">
        <f>"42"</f>
        <v>42</v>
      </c>
      <c r="F1761" s="1" t="str">
        <f t="shared" si="1122"/>
        <v>BONIS SPA</v>
      </c>
      <c r="G1761" s="1" t="str">
        <f t="shared" si="1111"/>
        <v>STOCK SCAFFALE MP</v>
      </c>
      <c r="H1761" s="1" t="str">
        <f>"WHI"</f>
        <v>WHI</v>
      </c>
      <c r="K1761" s="1">
        <v>4</v>
      </c>
      <c r="L1761" s="1" t="str">
        <f t="shared" si="1123"/>
        <v>01</v>
      </c>
      <c r="M1761" s="1" t="str">
        <f t="shared" si="1114"/>
        <v>409</v>
      </c>
      <c r="N1761" s="1" t="str">
        <f t="shared" si="1134"/>
        <v>007</v>
      </c>
      <c r="O1761" s="1" t="str">
        <f t="shared" si="1124"/>
        <v>00</v>
      </c>
      <c r="P1761" s="1" t="str">
        <f t="shared" si="1125"/>
        <v>S</v>
      </c>
      <c r="Q1761" s="1" t="str">
        <f t="shared" si="1126"/>
        <v>P</v>
      </c>
      <c r="R1761" s="1" t="str">
        <f t="shared" si="1127"/>
        <v>01</v>
      </c>
      <c r="S1761" s="1" t="str">
        <f t="shared" si="1112"/>
        <v>04</v>
      </c>
      <c r="T1761" s="1" t="str">
        <f t="shared" si="1128"/>
        <v>False</v>
      </c>
      <c r="U1761" s="1" t="str">
        <f t="shared" si="1129"/>
        <v>True</v>
      </c>
      <c r="V1761" s="1" t="str">
        <f>"U0027753"</f>
        <v>U0027753</v>
      </c>
      <c r="W1761" s="1">
        <v>1</v>
      </c>
      <c r="Y1761" s="1">
        <v>0</v>
      </c>
      <c r="Z1761" s="1">
        <v>0</v>
      </c>
      <c r="AB1761" s="1" t="str">
        <f t="shared" si="1116"/>
        <v>SMU</v>
      </c>
      <c r="AI1761" s="1" t="str">
        <f>"F11"</f>
        <v>F11</v>
      </c>
      <c r="AJ1761" s="1" t="str">
        <f t="shared" si="1140"/>
        <v>MAN</v>
      </c>
      <c r="AK1761" s="1" t="str">
        <f t="shared" si="1130"/>
        <v>PA</v>
      </c>
      <c r="AP1761" s="1" t="str">
        <f t="shared" si="1131"/>
        <v>False</v>
      </c>
      <c r="AR1761" s="1" t="str">
        <f t="shared" si="1143"/>
        <v>SOLAN</v>
      </c>
      <c r="AY1761" s="1" t="str">
        <f t="shared" si="1132"/>
        <v>PF</v>
      </c>
      <c r="AZ1761" s="1">
        <v>0</v>
      </c>
      <c r="BA1761" s="1">
        <v>0</v>
      </c>
      <c r="BB1761" s="1">
        <v>0</v>
      </c>
      <c r="BC1761" s="1">
        <v>0</v>
      </c>
      <c r="BD1761" s="1">
        <v>0</v>
      </c>
      <c r="BE1761" s="1" t="str">
        <f t="shared" si="1144"/>
        <v>S.CADET GOMMA  TWILL CANVAS</v>
      </c>
      <c r="BF1761" s="1" t="str">
        <f t="shared" si="1133"/>
        <v>Bonis SpA</v>
      </c>
    </row>
    <row r="1762" spans="2:58" x14ac:dyDescent="0.25">
      <c r="B1762" s="1">
        <v>2539</v>
      </c>
      <c r="C1762" s="1" t="str">
        <f t="shared" si="1141"/>
        <v>SOLAN4189S7/C1</v>
      </c>
      <c r="E1762" s="1" t="str">
        <f>"40"</f>
        <v>40</v>
      </c>
      <c r="F1762" s="1" t="str">
        <f t="shared" si="1122"/>
        <v>BONIS SPA</v>
      </c>
      <c r="G1762" s="1" t="str">
        <f t="shared" si="1111"/>
        <v>STOCK SCAFFALE MP</v>
      </c>
      <c r="H1762" s="1" t="str">
        <f>"WHI"</f>
        <v>WHI</v>
      </c>
      <c r="K1762" s="1">
        <v>7</v>
      </c>
      <c r="L1762" s="1" t="str">
        <f t="shared" si="1123"/>
        <v>01</v>
      </c>
      <c r="M1762" s="1" t="str">
        <f t="shared" si="1114"/>
        <v>409</v>
      </c>
      <c r="N1762" s="1" t="str">
        <f t="shared" si="1134"/>
        <v>007</v>
      </c>
      <c r="O1762" s="1" t="str">
        <f t="shared" si="1124"/>
        <v>00</v>
      </c>
      <c r="P1762" s="1" t="str">
        <f t="shared" si="1125"/>
        <v>S</v>
      </c>
      <c r="Q1762" s="1" t="str">
        <f t="shared" si="1126"/>
        <v>P</v>
      </c>
      <c r="R1762" s="1" t="str">
        <f t="shared" si="1127"/>
        <v>01</v>
      </c>
      <c r="S1762" s="1" t="str">
        <f t="shared" si="1112"/>
        <v>04</v>
      </c>
      <c r="T1762" s="1" t="str">
        <f t="shared" si="1128"/>
        <v>False</v>
      </c>
      <c r="U1762" s="1" t="str">
        <f t="shared" si="1129"/>
        <v>True</v>
      </c>
      <c r="V1762" s="1" t="str">
        <f>"U0027753"</f>
        <v>U0027753</v>
      </c>
      <c r="W1762" s="1">
        <v>1</v>
      </c>
      <c r="Y1762" s="1">
        <v>0</v>
      </c>
      <c r="Z1762" s="1">
        <v>0</v>
      </c>
      <c r="AB1762" s="1" t="str">
        <f t="shared" si="1116"/>
        <v>SMU</v>
      </c>
      <c r="AI1762" s="1" t="str">
        <f>"F11"</f>
        <v>F11</v>
      </c>
      <c r="AJ1762" s="1" t="str">
        <f t="shared" si="1140"/>
        <v>MAN</v>
      </c>
      <c r="AK1762" s="1" t="str">
        <f t="shared" si="1130"/>
        <v>PA</v>
      </c>
      <c r="AP1762" s="1" t="str">
        <f t="shared" si="1131"/>
        <v>False</v>
      </c>
      <c r="AR1762" s="1" t="str">
        <f t="shared" si="1143"/>
        <v>SOLAN</v>
      </c>
      <c r="AY1762" s="1" t="str">
        <f t="shared" si="1132"/>
        <v>PF</v>
      </c>
      <c r="AZ1762" s="1">
        <v>0</v>
      </c>
      <c r="BA1762" s="1">
        <v>0</v>
      </c>
      <c r="BB1762" s="1">
        <v>0</v>
      </c>
      <c r="BC1762" s="1">
        <v>0</v>
      </c>
      <c r="BD1762" s="1">
        <v>0</v>
      </c>
      <c r="BE1762" s="1" t="str">
        <f t="shared" si="1144"/>
        <v>S.CADET GOMMA  TWILL CANVAS</v>
      </c>
      <c r="BF1762" s="1" t="str">
        <f t="shared" si="1133"/>
        <v>Bonis SpA</v>
      </c>
    </row>
    <row r="1763" spans="2:58" x14ac:dyDescent="0.25">
      <c r="B1763" s="1">
        <v>2539</v>
      </c>
      <c r="C1763" s="1" t="str">
        <f t="shared" si="1141"/>
        <v>SOLAN4189S7/C1</v>
      </c>
      <c r="E1763" s="1" t="str">
        <f>"43"</f>
        <v>43</v>
      </c>
      <c r="F1763" s="1" t="str">
        <f t="shared" si="1122"/>
        <v>BONIS SPA</v>
      </c>
      <c r="G1763" s="1" t="str">
        <f t="shared" si="1111"/>
        <v>STOCK SCAFFALE MP</v>
      </c>
      <c r="H1763" s="1" t="str">
        <f>"WHI"</f>
        <v>WHI</v>
      </c>
      <c r="K1763" s="1">
        <v>1</v>
      </c>
      <c r="L1763" s="1" t="str">
        <f t="shared" si="1123"/>
        <v>01</v>
      </c>
      <c r="M1763" s="1" t="str">
        <f t="shared" si="1114"/>
        <v>409</v>
      </c>
      <c r="N1763" s="1" t="str">
        <f t="shared" si="1134"/>
        <v>007</v>
      </c>
      <c r="O1763" s="1" t="str">
        <f t="shared" si="1124"/>
        <v>00</v>
      </c>
      <c r="P1763" s="1" t="str">
        <f t="shared" si="1125"/>
        <v>S</v>
      </c>
      <c r="Q1763" s="1" t="str">
        <f t="shared" si="1126"/>
        <v>P</v>
      </c>
      <c r="R1763" s="1" t="str">
        <f t="shared" si="1127"/>
        <v>01</v>
      </c>
      <c r="S1763" s="1" t="str">
        <f t="shared" si="1112"/>
        <v>04</v>
      </c>
      <c r="T1763" s="1" t="str">
        <f t="shared" si="1128"/>
        <v>False</v>
      </c>
      <c r="U1763" s="1" t="str">
        <f t="shared" si="1129"/>
        <v>True</v>
      </c>
      <c r="V1763" s="1" t="str">
        <f>"U0027753"</f>
        <v>U0027753</v>
      </c>
      <c r="W1763" s="1">
        <v>1</v>
      </c>
      <c r="Y1763" s="1">
        <v>0</v>
      </c>
      <c r="Z1763" s="1">
        <v>0</v>
      </c>
      <c r="AB1763" s="1" t="str">
        <f t="shared" si="1116"/>
        <v>SMU</v>
      </c>
      <c r="AI1763" s="1" t="str">
        <f>"F11"</f>
        <v>F11</v>
      </c>
      <c r="AJ1763" s="1" t="str">
        <f t="shared" si="1140"/>
        <v>MAN</v>
      </c>
      <c r="AK1763" s="1" t="str">
        <f t="shared" si="1130"/>
        <v>PA</v>
      </c>
      <c r="AP1763" s="1" t="str">
        <f t="shared" si="1131"/>
        <v>False</v>
      </c>
      <c r="AR1763" s="1" t="str">
        <f t="shared" si="1143"/>
        <v>SOLAN</v>
      </c>
      <c r="AY1763" s="1" t="str">
        <f t="shared" si="1132"/>
        <v>PF</v>
      </c>
      <c r="AZ1763" s="1">
        <v>0</v>
      </c>
      <c r="BA1763" s="1">
        <v>0</v>
      </c>
      <c r="BB1763" s="1">
        <v>0</v>
      </c>
      <c r="BC1763" s="1">
        <v>0</v>
      </c>
      <c r="BD1763" s="1">
        <v>0</v>
      </c>
      <c r="BE1763" s="1" t="str">
        <f t="shared" si="1144"/>
        <v>S.CADET GOMMA  TWILL CANVAS</v>
      </c>
      <c r="BF1763" s="1" t="str">
        <f t="shared" si="1133"/>
        <v>Bonis SpA</v>
      </c>
    </row>
    <row r="1764" spans="2:58" x14ac:dyDescent="0.25">
      <c r="B1764" s="1">
        <v>2539</v>
      </c>
      <c r="C1764" s="1" t="str">
        <f t="shared" si="1141"/>
        <v>SOLAN4189S7/C1</v>
      </c>
      <c r="E1764" s="1" t="str">
        <f>"43"</f>
        <v>43</v>
      </c>
      <c r="F1764" s="1" t="str">
        <f t="shared" si="1122"/>
        <v>BONIS SPA</v>
      </c>
      <c r="G1764" s="1" t="str">
        <f t="shared" si="1111"/>
        <v>STOCK SCAFFALE MP</v>
      </c>
      <c r="H1764" s="1" t="str">
        <f>"BLK"</f>
        <v>BLK</v>
      </c>
      <c r="K1764" s="1">
        <v>4</v>
      </c>
      <c r="L1764" s="1" t="str">
        <f t="shared" si="1123"/>
        <v>01</v>
      </c>
      <c r="M1764" s="1" t="str">
        <f t="shared" si="1114"/>
        <v>409</v>
      </c>
      <c r="N1764" s="1" t="str">
        <f t="shared" si="1134"/>
        <v>007</v>
      </c>
      <c r="O1764" s="1" t="str">
        <f t="shared" si="1124"/>
        <v>00</v>
      </c>
      <c r="P1764" s="1" t="str">
        <f t="shared" si="1125"/>
        <v>S</v>
      </c>
      <c r="Q1764" s="1" t="str">
        <f t="shared" si="1126"/>
        <v>P</v>
      </c>
      <c r="R1764" s="1" t="str">
        <f t="shared" si="1127"/>
        <v>01</v>
      </c>
      <c r="S1764" s="1" t="str">
        <f t="shared" si="1112"/>
        <v>04</v>
      </c>
      <c r="T1764" s="1" t="str">
        <f t="shared" si="1128"/>
        <v>False</v>
      </c>
      <c r="U1764" s="1" t="str">
        <f t="shared" si="1129"/>
        <v>True</v>
      </c>
      <c r="V1764" s="1" t="str">
        <f>"U0027730"</f>
        <v>U0027730</v>
      </c>
      <c r="W1764" s="1">
        <v>1</v>
      </c>
      <c r="Y1764" s="1">
        <v>0</v>
      </c>
      <c r="Z1764" s="1">
        <v>0</v>
      </c>
      <c r="AB1764" s="1" t="str">
        <f t="shared" si="1116"/>
        <v>SMU</v>
      </c>
      <c r="AI1764" s="1" t="str">
        <f>"106"</f>
        <v>106</v>
      </c>
      <c r="AJ1764" s="1" t="str">
        <f t="shared" si="1140"/>
        <v>MAN</v>
      </c>
      <c r="AK1764" s="1" t="str">
        <f t="shared" si="1130"/>
        <v>PA</v>
      </c>
      <c r="AP1764" s="1" t="str">
        <f t="shared" si="1131"/>
        <v>False</v>
      </c>
      <c r="AR1764" s="1" t="str">
        <f t="shared" si="1143"/>
        <v>SOLAN</v>
      </c>
      <c r="AY1764" s="1" t="str">
        <f t="shared" si="1132"/>
        <v>PF</v>
      </c>
      <c r="AZ1764" s="1">
        <v>0</v>
      </c>
      <c r="BA1764" s="1">
        <v>0</v>
      </c>
      <c r="BB1764" s="1">
        <v>0</v>
      </c>
      <c r="BC1764" s="1">
        <v>0</v>
      </c>
      <c r="BD1764" s="1">
        <v>0</v>
      </c>
      <c r="BE1764" s="1" t="str">
        <f t="shared" si="1144"/>
        <v>S.CADET GOMMA  TWILL CANVAS</v>
      </c>
      <c r="BF1764" s="1" t="str">
        <f t="shared" si="1133"/>
        <v>Bonis SpA</v>
      </c>
    </row>
    <row r="1765" spans="2:58" x14ac:dyDescent="0.25">
      <c r="B1765" s="1">
        <v>2539</v>
      </c>
      <c r="C1765" s="1" t="str">
        <f t="shared" si="1141"/>
        <v>SOLAN4189S7/C1</v>
      </c>
      <c r="E1765" s="1" t="str">
        <f>"43"</f>
        <v>43</v>
      </c>
      <c r="F1765" s="1" t="str">
        <f t="shared" si="1122"/>
        <v>BONIS SPA</v>
      </c>
      <c r="G1765" s="1" t="str">
        <f t="shared" si="1111"/>
        <v>STOCK SCAFFALE MP</v>
      </c>
      <c r="H1765" s="1" t="str">
        <f>"BLK"</f>
        <v>BLK</v>
      </c>
      <c r="K1765" s="1">
        <v>1</v>
      </c>
      <c r="L1765" s="1" t="str">
        <f t="shared" si="1123"/>
        <v>01</v>
      </c>
      <c r="M1765" s="1" t="str">
        <f t="shared" si="1114"/>
        <v>409</v>
      </c>
      <c r="N1765" s="1" t="str">
        <f t="shared" si="1134"/>
        <v>007</v>
      </c>
      <c r="O1765" s="1" t="str">
        <f t="shared" si="1124"/>
        <v>00</v>
      </c>
      <c r="P1765" s="1" t="str">
        <f t="shared" si="1125"/>
        <v>S</v>
      </c>
      <c r="Q1765" s="1" t="str">
        <f t="shared" si="1126"/>
        <v>P</v>
      </c>
      <c r="R1765" s="1" t="str">
        <f t="shared" si="1127"/>
        <v>01</v>
      </c>
      <c r="S1765" s="1" t="str">
        <f t="shared" si="1112"/>
        <v>04</v>
      </c>
      <c r="T1765" s="1" t="str">
        <f t="shared" si="1128"/>
        <v>False</v>
      </c>
      <c r="U1765" s="1" t="str">
        <f t="shared" si="1129"/>
        <v>True</v>
      </c>
      <c r="V1765" s="1" t="str">
        <f>"U0027715"</f>
        <v>U0027715</v>
      </c>
      <c r="W1765" s="1">
        <v>1</v>
      </c>
      <c r="Y1765" s="1">
        <v>0</v>
      </c>
      <c r="Z1765" s="1">
        <v>0</v>
      </c>
      <c r="AB1765" s="1" t="str">
        <f t="shared" si="1116"/>
        <v>SMU</v>
      </c>
      <c r="AI1765" s="1" t="str">
        <f>"106"</f>
        <v>106</v>
      </c>
      <c r="AJ1765" s="1" t="str">
        <f t="shared" si="1140"/>
        <v>MAN</v>
      </c>
      <c r="AK1765" s="1" t="str">
        <f t="shared" si="1130"/>
        <v>PA</v>
      </c>
      <c r="AP1765" s="1" t="str">
        <f t="shared" si="1131"/>
        <v>False</v>
      </c>
      <c r="AR1765" s="1" t="str">
        <f t="shared" si="1143"/>
        <v>SOLAN</v>
      </c>
      <c r="AY1765" s="1" t="str">
        <f t="shared" si="1132"/>
        <v>PF</v>
      </c>
      <c r="AZ1765" s="1">
        <v>0</v>
      </c>
      <c r="BA1765" s="1">
        <v>0</v>
      </c>
      <c r="BB1765" s="1">
        <v>0</v>
      </c>
      <c r="BC1765" s="1">
        <v>0</v>
      </c>
      <c r="BD1765" s="1">
        <v>0</v>
      </c>
      <c r="BE1765" s="1" t="str">
        <f t="shared" si="1144"/>
        <v>S.CADET GOMMA  TWILL CANVAS</v>
      </c>
      <c r="BF1765" s="1" t="str">
        <f t="shared" si="1133"/>
        <v>Bonis SpA</v>
      </c>
    </row>
    <row r="1766" spans="2:58" x14ac:dyDescent="0.25">
      <c r="B1766" s="1">
        <v>2539</v>
      </c>
      <c r="C1766" s="1" t="str">
        <f t="shared" si="1141"/>
        <v>SOLAN4189S7/C1</v>
      </c>
      <c r="E1766" s="1" t="str">
        <f>"43"</f>
        <v>43</v>
      </c>
      <c r="F1766" s="1" t="str">
        <f t="shared" si="1122"/>
        <v>BONIS SPA</v>
      </c>
      <c r="G1766" s="1" t="str">
        <f t="shared" si="1111"/>
        <v>STOCK SCAFFALE MP</v>
      </c>
      <c r="H1766" s="1" t="str">
        <f>"BLK"</f>
        <v>BLK</v>
      </c>
      <c r="K1766" s="1">
        <v>2</v>
      </c>
      <c r="L1766" s="1" t="str">
        <f t="shared" si="1123"/>
        <v>01</v>
      </c>
      <c r="M1766" s="1" t="str">
        <f t="shared" si="1114"/>
        <v>409</v>
      </c>
      <c r="N1766" s="1" t="str">
        <f t="shared" si="1134"/>
        <v>007</v>
      </c>
      <c r="O1766" s="1" t="str">
        <f t="shared" si="1124"/>
        <v>00</v>
      </c>
      <c r="P1766" s="1" t="str">
        <f t="shared" si="1125"/>
        <v>S</v>
      </c>
      <c r="Q1766" s="1" t="str">
        <f t="shared" si="1126"/>
        <v>P</v>
      </c>
      <c r="R1766" s="1" t="str">
        <f t="shared" si="1127"/>
        <v>01</v>
      </c>
      <c r="S1766" s="1" t="str">
        <f t="shared" si="1112"/>
        <v>04</v>
      </c>
      <c r="T1766" s="1" t="str">
        <f t="shared" si="1128"/>
        <v>False</v>
      </c>
      <c r="U1766" s="1" t="str">
        <f t="shared" si="1129"/>
        <v>True</v>
      </c>
      <c r="V1766" s="1" t="str">
        <f>"U0023689"</f>
        <v>U0023689</v>
      </c>
      <c r="W1766" s="1">
        <v>1</v>
      </c>
      <c r="Y1766" s="1">
        <v>0</v>
      </c>
      <c r="Z1766" s="1">
        <v>0</v>
      </c>
      <c r="AB1766" s="1" t="str">
        <f t="shared" si="1116"/>
        <v>SMU</v>
      </c>
      <c r="AI1766" s="1" t="str">
        <f>"106"</f>
        <v>106</v>
      </c>
      <c r="AJ1766" s="1" t="str">
        <f t="shared" si="1140"/>
        <v>MAN</v>
      </c>
      <c r="AK1766" s="1" t="str">
        <f t="shared" si="1130"/>
        <v>PA</v>
      </c>
      <c r="AP1766" s="1" t="str">
        <f t="shared" si="1131"/>
        <v>False</v>
      </c>
      <c r="AR1766" s="1" t="str">
        <f t="shared" si="1143"/>
        <v>SOLAN</v>
      </c>
      <c r="AY1766" s="1" t="str">
        <f t="shared" si="1132"/>
        <v>PF</v>
      </c>
      <c r="AZ1766" s="1">
        <v>0</v>
      </c>
      <c r="BA1766" s="1">
        <v>0</v>
      </c>
      <c r="BB1766" s="1">
        <v>0</v>
      </c>
      <c r="BC1766" s="1">
        <v>0</v>
      </c>
      <c r="BD1766" s="1">
        <v>0</v>
      </c>
      <c r="BE1766" s="1" t="str">
        <f t="shared" si="1144"/>
        <v>S.CADET GOMMA  TWILL CANVAS</v>
      </c>
      <c r="BF1766" s="1" t="str">
        <f t="shared" si="1133"/>
        <v>Bonis SpA</v>
      </c>
    </row>
    <row r="1767" spans="2:58" x14ac:dyDescent="0.25">
      <c r="B1767" s="1">
        <v>2539</v>
      </c>
      <c r="C1767" s="1" t="str">
        <f t="shared" si="1141"/>
        <v>SOLAN4189S7/C1</v>
      </c>
      <c r="E1767" s="1" t="str">
        <f>"42"</f>
        <v>42</v>
      </c>
      <c r="F1767" s="1" t="str">
        <f t="shared" si="1122"/>
        <v>BONIS SPA</v>
      </c>
      <c r="G1767" s="1" t="str">
        <f t="shared" si="1111"/>
        <v>STOCK SCAFFALE MP</v>
      </c>
      <c r="H1767" s="1" t="str">
        <f>"GREY"</f>
        <v>GREY</v>
      </c>
      <c r="K1767" s="1">
        <v>2</v>
      </c>
      <c r="L1767" s="1" t="str">
        <f t="shared" si="1123"/>
        <v>01</v>
      </c>
      <c r="M1767" s="1" t="str">
        <f t="shared" si="1114"/>
        <v>409</v>
      </c>
      <c r="N1767" s="1" t="str">
        <f t="shared" si="1134"/>
        <v>007</v>
      </c>
      <c r="O1767" s="1" t="str">
        <f t="shared" si="1124"/>
        <v>00</v>
      </c>
      <c r="P1767" s="1" t="str">
        <f t="shared" si="1125"/>
        <v>S</v>
      </c>
      <c r="Q1767" s="1" t="str">
        <f t="shared" si="1126"/>
        <v>P</v>
      </c>
      <c r="R1767" s="1" t="str">
        <f t="shared" si="1127"/>
        <v>01</v>
      </c>
      <c r="S1767" s="1" t="str">
        <f t="shared" si="1112"/>
        <v>04</v>
      </c>
      <c r="T1767" s="1" t="str">
        <f t="shared" si="1128"/>
        <v>False</v>
      </c>
      <c r="U1767" s="1" t="str">
        <f t="shared" si="1129"/>
        <v>True</v>
      </c>
      <c r="V1767" s="1" t="str">
        <f>"U0027720"</f>
        <v>U0027720</v>
      </c>
      <c r="W1767" s="1">
        <v>1</v>
      </c>
      <c r="Y1767" s="1">
        <v>0</v>
      </c>
      <c r="Z1767" s="1">
        <v>0</v>
      </c>
      <c r="AB1767" s="1" t="str">
        <f t="shared" si="1116"/>
        <v>SMU</v>
      </c>
      <c r="AI1767" s="1" t="str">
        <f>"106"</f>
        <v>106</v>
      </c>
      <c r="AJ1767" s="1" t="str">
        <f t="shared" si="1140"/>
        <v>MAN</v>
      </c>
      <c r="AK1767" s="1" t="str">
        <f t="shared" si="1130"/>
        <v>PA</v>
      </c>
      <c r="AP1767" s="1" t="str">
        <f t="shared" si="1131"/>
        <v>False</v>
      </c>
      <c r="AR1767" s="1" t="str">
        <f t="shared" si="1143"/>
        <v>SOLAN</v>
      </c>
      <c r="AY1767" s="1" t="str">
        <f t="shared" si="1132"/>
        <v>PF</v>
      </c>
      <c r="AZ1767" s="1">
        <v>0</v>
      </c>
      <c r="BA1767" s="1">
        <v>0</v>
      </c>
      <c r="BB1767" s="1">
        <v>0</v>
      </c>
      <c r="BC1767" s="1">
        <v>0</v>
      </c>
      <c r="BD1767" s="1">
        <v>0</v>
      </c>
      <c r="BE1767" s="1" t="str">
        <f t="shared" si="1144"/>
        <v>S.CADET GOMMA  TWILL CANVAS</v>
      </c>
      <c r="BF1767" s="1" t="str">
        <f t="shared" si="1133"/>
        <v>Bonis SpA</v>
      </c>
    </row>
    <row r="1768" spans="2:58" x14ac:dyDescent="0.25">
      <c r="B1768" s="1">
        <v>2539</v>
      </c>
      <c r="C1768" s="1" t="str">
        <f t="shared" si="1141"/>
        <v>SOLAN4189S7/C1</v>
      </c>
      <c r="E1768" s="1" t="str">
        <f>"44"</f>
        <v>44</v>
      </c>
      <c r="F1768" s="1" t="str">
        <f t="shared" si="1122"/>
        <v>BONIS SPA</v>
      </c>
      <c r="G1768" s="1" t="str">
        <f t="shared" si="1111"/>
        <v>STOCK SCAFFALE MP</v>
      </c>
      <c r="H1768" s="1" t="str">
        <f>"BEI"</f>
        <v>BEI</v>
      </c>
      <c r="K1768" s="1">
        <v>7</v>
      </c>
      <c r="L1768" s="1" t="str">
        <f t="shared" si="1123"/>
        <v>01</v>
      </c>
      <c r="M1768" s="1" t="str">
        <f t="shared" si="1114"/>
        <v>409</v>
      </c>
      <c r="N1768" s="1" t="str">
        <f t="shared" si="1134"/>
        <v>007</v>
      </c>
      <c r="O1768" s="1" t="str">
        <f t="shared" si="1124"/>
        <v>00</v>
      </c>
      <c r="P1768" s="1" t="str">
        <f t="shared" si="1125"/>
        <v>S</v>
      </c>
      <c r="Q1768" s="1" t="str">
        <f t="shared" si="1126"/>
        <v>P</v>
      </c>
      <c r="R1768" s="1" t="str">
        <f t="shared" si="1127"/>
        <v>01</v>
      </c>
      <c r="S1768" s="1" t="str">
        <f t="shared" si="1112"/>
        <v>04</v>
      </c>
      <c r="T1768" s="1" t="str">
        <f t="shared" si="1128"/>
        <v>False</v>
      </c>
      <c r="U1768" s="1" t="str">
        <f t="shared" si="1129"/>
        <v>True</v>
      </c>
      <c r="V1768" s="1" t="str">
        <f>"U0027721"</f>
        <v>U0027721</v>
      </c>
      <c r="W1768" s="1">
        <v>1</v>
      </c>
      <c r="Y1768" s="1">
        <v>0</v>
      </c>
      <c r="Z1768" s="1">
        <v>0</v>
      </c>
      <c r="AB1768" s="1" t="str">
        <f t="shared" si="1116"/>
        <v>SMU</v>
      </c>
      <c r="AI1768" s="1" t="str">
        <f t="shared" ref="AI1768:AI1779" si="1146">"F11"</f>
        <v>F11</v>
      </c>
      <c r="AJ1768" s="1" t="str">
        <f t="shared" si="1140"/>
        <v>MAN</v>
      </c>
      <c r="AK1768" s="1" t="str">
        <f t="shared" si="1130"/>
        <v>PA</v>
      </c>
      <c r="AP1768" s="1" t="str">
        <f t="shared" si="1131"/>
        <v>False</v>
      </c>
      <c r="AR1768" s="1" t="str">
        <f t="shared" si="1143"/>
        <v>SOLAN</v>
      </c>
      <c r="AY1768" s="1" t="str">
        <f t="shared" si="1132"/>
        <v>PF</v>
      </c>
      <c r="AZ1768" s="1">
        <v>0</v>
      </c>
      <c r="BA1768" s="1">
        <v>0</v>
      </c>
      <c r="BB1768" s="1">
        <v>0</v>
      </c>
      <c r="BC1768" s="1">
        <v>0</v>
      </c>
      <c r="BD1768" s="1">
        <v>0</v>
      </c>
      <c r="BE1768" s="1" t="str">
        <f t="shared" si="1144"/>
        <v>S.CADET GOMMA  TWILL CANVAS</v>
      </c>
      <c r="BF1768" s="1" t="str">
        <f t="shared" si="1133"/>
        <v>Bonis SpA</v>
      </c>
    </row>
    <row r="1769" spans="2:58" x14ac:dyDescent="0.25">
      <c r="B1769" s="1">
        <v>2539</v>
      </c>
      <c r="C1769" s="1" t="str">
        <f t="shared" si="1141"/>
        <v>SOLAN4189S7/C1</v>
      </c>
      <c r="E1769" s="1" t="str">
        <f>"43"</f>
        <v>43</v>
      </c>
      <c r="F1769" s="1" t="str">
        <f t="shared" si="1122"/>
        <v>BONIS SPA</v>
      </c>
      <c r="G1769" s="1" t="str">
        <f t="shared" si="1111"/>
        <v>STOCK SCAFFALE MP</v>
      </c>
      <c r="H1769" s="1" t="str">
        <f>"GREY"</f>
        <v>GREY</v>
      </c>
      <c r="K1769" s="1">
        <v>2</v>
      </c>
      <c r="L1769" s="1" t="str">
        <f t="shared" si="1123"/>
        <v>01</v>
      </c>
      <c r="M1769" s="1" t="str">
        <f t="shared" si="1114"/>
        <v>409</v>
      </c>
      <c r="N1769" s="1" t="str">
        <f t="shared" si="1134"/>
        <v>007</v>
      </c>
      <c r="O1769" s="1" t="str">
        <f t="shared" si="1124"/>
        <v>00</v>
      </c>
      <c r="P1769" s="1" t="str">
        <f t="shared" si="1125"/>
        <v>S</v>
      </c>
      <c r="Q1769" s="1" t="str">
        <f t="shared" si="1126"/>
        <v>P</v>
      </c>
      <c r="R1769" s="1" t="str">
        <f t="shared" si="1127"/>
        <v>01</v>
      </c>
      <c r="S1769" s="1" t="str">
        <f t="shared" si="1112"/>
        <v>04</v>
      </c>
      <c r="T1769" s="1" t="str">
        <f t="shared" si="1128"/>
        <v>False</v>
      </c>
      <c r="U1769" s="1" t="str">
        <f t="shared" si="1129"/>
        <v>True</v>
      </c>
      <c r="V1769" s="1" t="str">
        <f>"U0027721"</f>
        <v>U0027721</v>
      </c>
      <c r="W1769" s="1">
        <v>1</v>
      </c>
      <c r="Y1769" s="1">
        <v>0</v>
      </c>
      <c r="Z1769" s="1">
        <v>0</v>
      </c>
      <c r="AB1769" s="1" t="str">
        <f t="shared" si="1116"/>
        <v>SMU</v>
      </c>
      <c r="AI1769" s="1" t="str">
        <f t="shared" si="1146"/>
        <v>F11</v>
      </c>
      <c r="AJ1769" s="1" t="str">
        <f t="shared" si="1140"/>
        <v>MAN</v>
      </c>
      <c r="AK1769" s="1" t="str">
        <f t="shared" si="1130"/>
        <v>PA</v>
      </c>
      <c r="AP1769" s="1" t="str">
        <f t="shared" si="1131"/>
        <v>False</v>
      </c>
      <c r="AR1769" s="1" t="str">
        <f t="shared" si="1143"/>
        <v>SOLAN</v>
      </c>
      <c r="AY1769" s="1" t="str">
        <f t="shared" si="1132"/>
        <v>PF</v>
      </c>
      <c r="AZ1769" s="1">
        <v>0</v>
      </c>
      <c r="BA1769" s="1">
        <v>0</v>
      </c>
      <c r="BB1769" s="1">
        <v>0</v>
      </c>
      <c r="BC1769" s="1">
        <v>0</v>
      </c>
      <c r="BD1769" s="1">
        <v>0</v>
      </c>
      <c r="BE1769" s="1" t="str">
        <f t="shared" si="1144"/>
        <v>S.CADET GOMMA  TWILL CANVAS</v>
      </c>
      <c r="BF1769" s="1" t="str">
        <f t="shared" si="1133"/>
        <v>Bonis SpA</v>
      </c>
    </row>
    <row r="1770" spans="2:58" x14ac:dyDescent="0.25">
      <c r="B1770" s="1">
        <v>2539</v>
      </c>
      <c r="C1770" s="1" t="str">
        <f t="shared" si="1141"/>
        <v>SOLAN4189S7/C1</v>
      </c>
      <c r="E1770" s="1" t="str">
        <f>"41"</f>
        <v>41</v>
      </c>
      <c r="F1770" s="1" t="str">
        <f t="shared" si="1122"/>
        <v>BONIS SPA</v>
      </c>
      <c r="G1770" s="1" t="str">
        <f t="shared" si="1111"/>
        <v>STOCK SCAFFALE MP</v>
      </c>
      <c r="H1770" s="1" t="str">
        <f>"BEI"</f>
        <v>BEI</v>
      </c>
      <c r="K1770" s="1">
        <v>8</v>
      </c>
      <c r="L1770" s="1" t="str">
        <f t="shared" si="1123"/>
        <v>01</v>
      </c>
      <c r="M1770" s="1" t="str">
        <f t="shared" si="1114"/>
        <v>409</v>
      </c>
      <c r="N1770" s="1" t="str">
        <f t="shared" si="1134"/>
        <v>007</v>
      </c>
      <c r="O1770" s="1" t="str">
        <f t="shared" si="1124"/>
        <v>00</v>
      </c>
      <c r="P1770" s="1" t="str">
        <f t="shared" si="1125"/>
        <v>S</v>
      </c>
      <c r="Q1770" s="1" t="str">
        <f t="shared" si="1126"/>
        <v>P</v>
      </c>
      <c r="R1770" s="1" t="str">
        <f t="shared" si="1127"/>
        <v>01</v>
      </c>
      <c r="S1770" s="1" t="str">
        <f t="shared" si="1112"/>
        <v>04</v>
      </c>
      <c r="T1770" s="1" t="str">
        <f t="shared" si="1128"/>
        <v>False</v>
      </c>
      <c r="U1770" s="1" t="str">
        <f t="shared" si="1129"/>
        <v>True</v>
      </c>
      <c r="V1770" s="1" t="str">
        <f>"U0027730"</f>
        <v>U0027730</v>
      </c>
      <c r="W1770" s="1">
        <v>1</v>
      </c>
      <c r="Y1770" s="1">
        <v>0</v>
      </c>
      <c r="Z1770" s="1">
        <v>0</v>
      </c>
      <c r="AB1770" s="1" t="str">
        <f t="shared" si="1116"/>
        <v>SMU</v>
      </c>
      <c r="AI1770" s="1" t="str">
        <f t="shared" si="1146"/>
        <v>F11</v>
      </c>
      <c r="AJ1770" s="1" t="str">
        <f t="shared" si="1140"/>
        <v>MAN</v>
      </c>
      <c r="AK1770" s="1" t="str">
        <f t="shared" si="1130"/>
        <v>PA</v>
      </c>
      <c r="AP1770" s="1" t="str">
        <f t="shared" si="1131"/>
        <v>False</v>
      </c>
      <c r="AR1770" s="1" t="str">
        <f t="shared" si="1143"/>
        <v>SOLAN</v>
      </c>
      <c r="AY1770" s="1" t="str">
        <f t="shared" si="1132"/>
        <v>PF</v>
      </c>
      <c r="AZ1770" s="1">
        <v>0</v>
      </c>
      <c r="BA1770" s="1">
        <v>0</v>
      </c>
      <c r="BB1770" s="1">
        <v>0</v>
      </c>
      <c r="BC1770" s="1">
        <v>0</v>
      </c>
      <c r="BD1770" s="1">
        <v>0</v>
      </c>
      <c r="BE1770" s="1" t="str">
        <f t="shared" si="1144"/>
        <v>S.CADET GOMMA  TWILL CANVAS</v>
      </c>
      <c r="BF1770" s="1" t="str">
        <f t="shared" si="1133"/>
        <v>Bonis SpA</v>
      </c>
    </row>
    <row r="1771" spans="2:58" x14ac:dyDescent="0.25">
      <c r="B1771" s="1">
        <v>2539</v>
      </c>
      <c r="C1771" s="1" t="str">
        <f t="shared" si="1141"/>
        <v>SOLAN4189S7/C1</v>
      </c>
      <c r="E1771" s="1" t="str">
        <f>"41"</f>
        <v>41</v>
      </c>
      <c r="F1771" s="1" t="str">
        <f t="shared" si="1122"/>
        <v>BONIS SPA</v>
      </c>
      <c r="G1771" s="1" t="str">
        <f t="shared" si="1111"/>
        <v>STOCK SCAFFALE MP</v>
      </c>
      <c r="H1771" s="1" t="str">
        <f t="shared" ref="H1771:H1778" si="1147">"GREY"</f>
        <v>GREY</v>
      </c>
      <c r="K1771" s="1">
        <v>1</v>
      </c>
      <c r="L1771" s="1" t="str">
        <f t="shared" si="1123"/>
        <v>01</v>
      </c>
      <c r="M1771" s="1" t="str">
        <f t="shared" si="1114"/>
        <v>409</v>
      </c>
      <c r="N1771" s="1" t="str">
        <f t="shared" si="1134"/>
        <v>007</v>
      </c>
      <c r="O1771" s="1" t="str">
        <f t="shared" si="1124"/>
        <v>00</v>
      </c>
      <c r="P1771" s="1" t="str">
        <f t="shared" si="1125"/>
        <v>S</v>
      </c>
      <c r="Q1771" s="1" t="str">
        <f t="shared" si="1126"/>
        <v>P</v>
      </c>
      <c r="R1771" s="1" t="str">
        <f t="shared" si="1127"/>
        <v>01</v>
      </c>
      <c r="S1771" s="1" t="str">
        <f t="shared" si="1112"/>
        <v>04</v>
      </c>
      <c r="T1771" s="1" t="str">
        <f t="shared" si="1128"/>
        <v>False</v>
      </c>
      <c r="U1771" s="1" t="str">
        <f t="shared" si="1129"/>
        <v>True</v>
      </c>
      <c r="V1771" s="1" t="str">
        <f>"U0032608"</f>
        <v>U0032608</v>
      </c>
      <c r="W1771" s="1">
        <v>1</v>
      </c>
      <c r="Y1771" s="1">
        <v>0</v>
      </c>
      <c r="Z1771" s="1">
        <v>0</v>
      </c>
      <c r="AB1771" s="1" t="str">
        <f t="shared" si="1116"/>
        <v>SMU</v>
      </c>
      <c r="AI1771" s="1" t="str">
        <f t="shared" si="1146"/>
        <v>F11</v>
      </c>
      <c r="AJ1771" s="1" t="str">
        <f t="shared" si="1140"/>
        <v>MAN</v>
      </c>
      <c r="AK1771" s="1" t="str">
        <f t="shared" si="1130"/>
        <v>PA</v>
      </c>
      <c r="AP1771" s="1" t="str">
        <f t="shared" si="1131"/>
        <v>False</v>
      </c>
      <c r="AR1771" s="1" t="str">
        <f t="shared" si="1143"/>
        <v>SOLAN</v>
      </c>
      <c r="AY1771" s="1" t="str">
        <f t="shared" si="1132"/>
        <v>PF</v>
      </c>
      <c r="AZ1771" s="1">
        <v>0</v>
      </c>
      <c r="BA1771" s="1">
        <v>0</v>
      </c>
      <c r="BB1771" s="1">
        <v>0</v>
      </c>
      <c r="BC1771" s="1">
        <v>0</v>
      </c>
      <c r="BD1771" s="1">
        <v>0</v>
      </c>
      <c r="BE1771" s="1" t="str">
        <f t="shared" si="1144"/>
        <v>S.CADET GOMMA  TWILL CANVAS</v>
      </c>
      <c r="BF1771" s="1" t="str">
        <f t="shared" si="1133"/>
        <v>Bonis SpA</v>
      </c>
    </row>
    <row r="1772" spans="2:58" x14ac:dyDescent="0.25">
      <c r="B1772" s="1">
        <v>2539</v>
      </c>
      <c r="C1772" s="1" t="str">
        <f t="shared" si="1141"/>
        <v>SOLAN4189S7/C1</v>
      </c>
      <c r="E1772" s="1" t="str">
        <f>"42"</f>
        <v>42</v>
      </c>
      <c r="F1772" s="1" t="str">
        <f t="shared" si="1122"/>
        <v>BONIS SPA</v>
      </c>
      <c r="G1772" s="1" t="str">
        <f t="shared" si="1111"/>
        <v>STOCK SCAFFALE MP</v>
      </c>
      <c r="H1772" s="1" t="str">
        <f t="shared" si="1147"/>
        <v>GREY</v>
      </c>
      <c r="K1772" s="1">
        <v>5</v>
      </c>
      <c r="L1772" s="1" t="str">
        <f t="shared" si="1123"/>
        <v>01</v>
      </c>
      <c r="M1772" s="1" t="str">
        <f t="shared" si="1114"/>
        <v>409</v>
      </c>
      <c r="N1772" s="1" t="str">
        <f t="shared" si="1134"/>
        <v>007</v>
      </c>
      <c r="O1772" s="1" t="str">
        <f t="shared" si="1124"/>
        <v>00</v>
      </c>
      <c r="P1772" s="1" t="str">
        <f t="shared" si="1125"/>
        <v>S</v>
      </c>
      <c r="Q1772" s="1" t="str">
        <f t="shared" si="1126"/>
        <v>P</v>
      </c>
      <c r="R1772" s="1" t="str">
        <f t="shared" si="1127"/>
        <v>01</v>
      </c>
      <c r="S1772" s="1" t="str">
        <f t="shared" si="1112"/>
        <v>04</v>
      </c>
      <c r="T1772" s="1" t="str">
        <f t="shared" si="1128"/>
        <v>False</v>
      </c>
      <c r="U1772" s="1" t="str">
        <f t="shared" si="1129"/>
        <v>True</v>
      </c>
      <c r="V1772" s="1" t="str">
        <f>"U0032608"</f>
        <v>U0032608</v>
      </c>
      <c r="W1772" s="1">
        <v>1</v>
      </c>
      <c r="Y1772" s="1">
        <v>0</v>
      </c>
      <c r="Z1772" s="1">
        <v>0</v>
      </c>
      <c r="AB1772" s="1" t="str">
        <f t="shared" si="1116"/>
        <v>SMU</v>
      </c>
      <c r="AI1772" s="1" t="str">
        <f t="shared" si="1146"/>
        <v>F11</v>
      </c>
      <c r="AJ1772" s="1" t="str">
        <f t="shared" si="1140"/>
        <v>MAN</v>
      </c>
      <c r="AK1772" s="1" t="str">
        <f t="shared" si="1130"/>
        <v>PA</v>
      </c>
      <c r="AP1772" s="1" t="str">
        <f t="shared" si="1131"/>
        <v>False</v>
      </c>
      <c r="AR1772" s="1" t="str">
        <f t="shared" si="1143"/>
        <v>SOLAN</v>
      </c>
      <c r="AY1772" s="1" t="str">
        <f t="shared" si="1132"/>
        <v>PF</v>
      </c>
      <c r="AZ1772" s="1">
        <v>0</v>
      </c>
      <c r="BA1772" s="1">
        <v>0</v>
      </c>
      <c r="BB1772" s="1">
        <v>0</v>
      </c>
      <c r="BC1772" s="1">
        <v>0</v>
      </c>
      <c r="BD1772" s="1">
        <v>0</v>
      </c>
      <c r="BE1772" s="1" t="str">
        <f t="shared" si="1144"/>
        <v>S.CADET GOMMA  TWILL CANVAS</v>
      </c>
      <c r="BF1772" s="1" t="str">
        <f t="shared" si="1133"/>
        <v>Bonis SpA</v>
      </c>
    </row>
    <row r="1773" spans="2:58" x14ac:dyDescent="0.25">
      <c r="B1773" s="1">
        <v>2539</v>
      </c>
      <c r="C1773" s="1" t="str">
        <f t="shared" si="1141"/>
        <v>SOLAN4189S7/C1</v>
      </c>
      <c r="E1773" s="1" t="str">
        <f>"43"</f>
        <v>43</v>
      </c>
      <c r="F1773" s="1" t="str">
        <f t="shared" si="1122"/>
        <v>BONIS SPA</v>
      </c>
      <c r="G1773" s="1" t="str">
        <f t="shared" si="1111"/>
        <v>STOCK SCAFFALE MP</v>
      </c>
      <c r="H1773" s="1" t="str">
        <f t="shared" si="1147"/>
        <v>GREY</v>
      </c>
      <c r="K1773" s="1">
        <v>6</v>
      </c>
      <c r="L1773" s="1" t="str">
        <f t="shared" si="1123"/>
        <v>01</v>
      </c>
      <c r="M1773" s="1" t="str">
        <f t="shared" si="1114"/>
        <v>409</v>
      </c>
      <c r="N1773" s="1" t="str">
        <f t="shared" si="1134"/>
        <v>007</v>
      </c>
      <c r="O1773" s="1" t="str">
        <f t="shared" si="1124"/>
        <v>00</v>
      </c>
      <c r="P1773" s="1" t="str">
        <f t="shared" si="1125"/>
        <v>S</v>
      </c>
      <c r="Q1773" s="1" t="str">
        <f t="shared" si="1126"/>
        <v>P</v>
      </c>
      <c r="R1773" s="1" t="str">
        <f t="shared" si="1127"/>
        <v>01</v>
      </c>
      <c r="S1773" s="1" t="str">
        <f t="shared" si="1112"/>
        <v>04</v>
      </c>
      <c r="T1773" s="1" t="str">
        <f t="shared" si="1128"/>
        <v>False</v>
      </c>
      <c r="U1773" s="1" t="str">
        <f t="shared" si="1129"/>
        <v>True</v>
      </c>
      <c r="V1773" s="1" t="str">
        <f>"U0032608"</f>
        <v>U0032608</v>
      </c>
      <c r="W1773" s="1">
        <v>1</v>
      </c>
      <c r="Y1773" s="1">
        <v>0</v>
      </c>
      <c r="Z1773" s="1">
        <v>0</v>
      </c>
      <c r="AB1773" s="1" t="str">
        <f t="shared" si="1116"/>
        <v>SMU</v>
      </c>
      <c r="AI1773" s="1" t="str">
        <f t="shared" si="1146"/>
        <v>F11</v>
      </c>
      <c r="AJ1773" s="1" t="str">
        <f t="shared" si="1140"/>
        <v>MAN</v>
      </c>
      <c r="AK1773" s="1" t="str">
        <f t="shared" si="1130"/>
        <v>PA</v>
      </c>
      <c r="AP1773" s="1" t="str">
        <f t="shared" si="1131"/>
        <v>False</v>
      </c>
      <c r="AR1773" s="1" t="str">
        <f t="shared" si="1143"/>
        <v>SOLAN</v>
      </c>
      <c r="AY1773" s="1" t="str">
        <f t="shared" si="1132"/>
        <v>PF</v>
      </c>
      <c r="AZ1773" s="1">
        <v>0</v>
      </c>
      <c r="BA1773" s="1">
        <v>0</v>
      </c>
      <c r="BB1773" s="1">
        <v>0</v>
      </c>
      <c r="BC1773" s="1">
        <v>0</v>
      </c>
      <c r="BD1773" s="1">
        <v>0</v>
      </c>
      <c r="BE1773" s="1" t="str">
        <f t="shared" si="1144"/>
        <v>S.CADET GOMMA  TWILL CANVAS</v>
      </c>
      <c r="BF1773" s="1" t="str">
        <f t="shared" si="1133"/>
        <v>Bonis SpA</v>
      </c>
    </row>
    <row r="1774" spans="2:58" x14ac:dyDescent="0.25">
      <c r="B1774" s="1">
        <v>2539</v>
      </c>
      <c r="C1774" s="1" t="str">
        <f t="shared" si="1141"/>
        <v>SOLAN4189S7/C1</v>
      </c>
      <c r="E1774" s="1" t="str">
        <f>"43"</f>
        <v>43</v>
      </c>
      <c r="F1774" s="1" t="str">
        <f t="shared" si="1122"/>
        <v>BONIS SPA</v>
      </c>
      <c r="G1774" s="1" t="str">
        <f t="shared" si="1111"/>
        <v>STOCK SCAFFALE MP</v>
      </c>
      <c r="H1774" s="1" t="str">
        <f t="shared" si="1147"/>
        <v>GREY</v>
      </c>
      <c r="K1774" s="1">
        <v>3</v>
      </c>
      <c r="L1774" s="1" t="str">
        <f t="shared" si="1123"/>
        <v>01</v>
      </c>
      <c r="M1774" s="1" t="str">
        <f t="shared" si="1114"/>
        <v>409</v>
      </c>
      <c r="N1774" s="1" t="str">
        <f t="shared" si="1134"/>
        <v>007</v>
      </c>
      <c r="O1774" s="1" t="str">
        <f t="shared" si="1124"/>
        <v>00</v>
      </c>
      <c r="P1774" s="1" t="str">
        <f t="shared" si="1125"/>
        <v>S</v>
      </c>
      <c r="Q1774" s="1" t="str">
        <f t="shared" si="1126"/>
        <v>P</v>
      </c>
      <c r="R1774" s="1" t="str">
        <f t="shared" si="1127"/>
        <v>01</v>
      </c>
      <c r="S1774" s="1" t="str">
        <f t="shared" si="1112"/>
        <v>04</v>
      </c>
      <c r="T1774" s="1" t="str">
        <f t="shared" si="1128"/>
        <v>False</v>
      </c>
      <c r="U1774" s="1" t="str">
        <f t="shared" si="1129"/>
        <v>True</v>
      </c>
      <c r="V1774" s="1" t="str">
        <f>"U0027735"</f>
        <v>U0027735</v>
      </c>
      <c r="W1774" s="1">
        <v>1</v>
      </c>
      <c r="Y1774" s="1">
        <v>0</v>
      </c>
      <c r="Z1774" s="1">
        <v>0</v>
      </c>
      <c r="AB1774" s="1" t="str">
        <f t="shared" si="1116"/>
        <v>SMU</v>
      </c>
      <c r="AI1774" s="1" t="str">
        <f t="shared" si="1146"/>
        <v>F11</v>
      </c>
      <c r="AJ1774" s="1" t="str">
        <f t="shared" si="1140"/>
        <v>MAN</v>
      </c>
      <c r="AK1774" s="1" t="str">
        <f t="shared" si="1130"/>
        <v>PA</v>
      </c>
      <c r="AP1774" s="1" t="str">
        <f t="shared" si="1131"/>
        <v>False</v>
      </c>
      <c r="AR1774" s="1" t="str">
        <f t="shared" si="1143"/>
        <v>SOLAN</v>
      </c>
      <c r="AY1774" s="1" t="str">
        <f t="shared" si="1132"/>
        <v>PF</v>
      </c>
      <c r="AZ1774" s="1">
        <v>0</v>
      </c>
      <c r="BA1774" s="1">
        <v>0</v>
      </c>
      <c r="BB1774" s="1">
        <v>0</v>
      </c>
      <c r="BC1774" s="1">
        <v>0</v>
      </c>
      <c r="BD1774" s="1">
        <v>0</v>
      </c>
      <c r="BE1774" s="1" t="str">
        <f t="shared" si="1144"/>
        <v>S.CADET GOMMA  TWILL CANVAS</v>
      </c>
      <c r="BF1774" s="1" t="str">
        <f t="shared" si="1133"/>
        <v>Bonis SpA</v>
      </c>
    </row>
    <row r="1775" spans="2:58" x14ac:dyDescent="0.25">
      <c r="B1775" s="1">
        <v>2539</v>
      </c>
      <c r="C1775" s="1" t="str">
        <f t="shared" si="1141"/>
        <v>SOLAN4189S7/C1</v>
      </c>
      <c r="E1775" s="1" t="str">
        <f>"44"</f>
        <v>44</v>
      </c>
      <c r="F1775" s="1" t="str">
        <f t="shared" si="1122"/>
        <v>BONIS SPA</v>
      </c>
      <c r="G1775" s="1" t="str">
        <f t="shared" si="1111"/>
        <v>STOCK SCAFFALE MP</v>
      </c>
      <c r="H1775" s="1" t="str">
        <f t="shared" si="1147"/>
        <v>GREY</v>
      </c>
      <c r="K1775" s="1">
        <v>9</v>
      </c>
      <c r="L1775" s="1" t="str">
        <f t="shared" si="1123"/>
        <v>01</v>
      </c>
      <c r="M1775" s="1" t="str">
        <f t="shared" si="1114"/>
        <v>409</v>
      </c>
      <c r="N1775" s="1" t="str">
        <f t="shared" si="1134"/>
        <v>007</v>
      </c>
      <c r="O1775" s="1" t="str">
        <f t="shared" si="1124"/>
        <v>00</v>
      </c>
      <c r="P1775" s="1" t="str">
        <f t="shared" si="1125"/>
        <v>S</v>
      </c>
      <c r="Q1775" s="1" t="str">
        <f t="shared" si="1126"/>
        <v>P</v>
      </c>
      <c r="R1775" s="1" t="str">
        <f t="shared" si="1127"/>
        <v>01</v>
      </c>
      <c r="S1775" s="1" t="str">
        <f t="shared" si="1112"/>
        <v>04</v>
      </c>
      <c r="T1775" s="1" t="str">
        <f t="shared" si="1128"/>
        <v>False</v>
      </c>
      <c r="U1775" s="1" t="str">
        <f t="shared" si="1129"/>
        <v>True</v>
      </c>
      <c r="V1775" s="1" t="str">
        <f>"U0027735"</f>
        <v>U0027735</v>
      </c>
      <c r="W1775" s="1">
        <v>1</v>
      </c>
      <c r="Y1775" s="1">
        <v>0</v>
      </c>
      <c r="Z1775" s="1">
        <v>0</v>
      </c>
      <c r="AB1775" s="1" t="str">
        <f t="shared" si="1116"/>
        <v>SMU</v>
      </c>
      <c r="AI1775" s="1" t="str">
        <f t="shared" si="1146"/>
        <v>F11</v>
      </c>
      <c r="AJ1775" s="1" t="str">
        <f t="shared" si="1140"/>
        <v>MAN</v>
      </c>
      <c r="AK1775" s="1" t="str">
        <f t="shared" si="1130"/>
        <v>PA</v>
      </c>
      <c r="AP1775" s="1" t="str">
        <f t="shared" si="1131"/>
        <v>False</v>
      </c>
      <c r="AR1775" s="1" t="str">
        <f t="shared" si="1143"/>
        <v>SOLAN</v>
      </c>
      <c r="AY1775" s="1" t="str">
        <f t="shared" si="1132"/>
        <v>PF</v>
      </c>
      <c r="AZ1775" s="1">
        <v>0</v>
      </c>
      <c r="BA1775" s="1">
        <v>0</v>
      </c>
      <c r="BB1775" s="1">
        <v>0</v>
      </c>
      <c r="BC1775" s="1">
        <v>0</v>
      </c>
      <c r="BD1775" s="1">
        <v>0</v>
      </c>
      <c r="BE1775" s="1" t="str">
        <f t="shared" si="1144"/>
        <v>S.CADET GOMMA  TWILL CANVAS</v>
      </c>
      <c r="BF1775" s="1" t="str">
        <f t="shared" si="1133"/>
        <v>Bonis SpA</v>
      </c>
    </row>
    <row r="1776" spans="2:58" x14ac:dyDescent="0.25">
      <c r="B1776" s="1">
        <v>2539</v>
      </c>
      <c r="C1776" s="1" t="str">
        <f t="shared" si="1141"/>
        <v>SOLAN4189S7/C1</v>
      </c>
      <c r="E1776" s="1" t="str">
        <f>"41"</f>
        <v>41</v>
      </c>
      <c r="F1776" s="1" t="str">
        <f t="shared" si="1122"/>
        <v>BONIS SPA</v>
      </c>
      <c r="G1776" s="1" t="str">
        <f t="shared" ref="G1776:G1839" si="1148">"STOCK SCAFFALE MP"</f>
        <v>STOCK SCAFFALE MP</v>
      </c>
      <c r="H1776" s="1" t="str">
        <f t="shared" si="1147"/>
        <v>GREY</v>
      </c>
      <c r="K1776" s="1">
        <v>12</v>
      </c>
      <c r="L1776" s="1" t="str">
        <f t="shared" si="1123"/>
        <v>01</v>
      </c>
      <c r="M1776" s="1" t="str">
        <f t="shared" si="1114"/>
        <v>409</v>
      </c>
      <c r="N1776" s="1" t="str">
        <f t="shared" si="1134"/>
        <v>007</v>
      </c>
      <c r="O1776" s="1" t="str">
        <f t="shared" si="1124"/>
        <v>00</v>
      </c>
      <c r="P1776" s="1" t="str">
        <f t="shared" si="1125"/>
        <v>S</v>
      </c>
      <c r="Q1776" s="1" t="str">
        <f t="shared" si="1126"/>
        <v>P</v>
      </c>
      <c r="R1776" s="1" t="str">
        <f t="shared" si="1127"/>
        <v>01</v>
      </c>
      <c r="S1776" s="1" t="str">
        <f t="shared" ref="S1776:S1839" si="1149">"04"</f>
        <v>04</v>
      </c>
      <c r="T1776" s="1" t="str">
        <f t="shared" si="1128"/>
        <v>False</v>
      </c>
      <c r="U1776" s="1" t="str">
        <f t="shared" si="1129"/>
        <v>True</v>
      </c>
      <c r="V1776" s="1" t="str">
        <f>"U0027733"</f>
        <v>U0027733</v>
      </c>
      <c r="W1776" s="1">
        <v>1</v>
      </c>
      <c r="Y1776" s="1">
        <v>0</v>
      </c>
      <c r="Z1776" s="1">
        <v>0</v>
      </c>
      <c r="AB1776" s="1" t="str">
        <f t="shared" si="1116"/>
        <v>SMU</v>
      </c>
      <c r="AI1776" s="1" t="str">
        <f t="shared" si="1146"/>
        <v>F11</v>
      </c>
      <c r="AJ1776" s="1" t="str">
        <f t="shared" si="1140"/>
        <v>MAN</v>
      </c>
      <c r="AK1776" s="1" t="str">
        <f t="shared" si="1130"/>
        <v>PA</v>
      </c>
      <c r="AP1776" s="1" t="str">
        <f t="shared" si="1131"/>
        <v>False</v>
      </c>
      <c r="AR1776" s="1" t="str">
        <f t="shared" si="1143"/>
        <v>SOLAN</v>
      </c>
      <c r="AY1776" s="1" t="str">
        <f t="shared" si="1132"/>
        <v>PF</v>
      </c>
      <c r="AZ1776" s="1">
        <v>0</v>
      </c>
      <c r="BA1776" s="1">
        <v>0</v>
      </c>
      <c r="BB1776" s="1">
        <v>0</v>
      </c>
      <c r="BC1776" s="1">
        <v>0</v>
      </c>
      <c r="BD1776" s="1">
        <v>0</v>
      </c>
      <c r="BE1776" s="1" t="str">
        <f t="shared" si="1144"/>
        <v>S.CADET GOMMA  TWILL CANVAS</v>
      </c>
      <c r="BF1776" s="1" t="str">
        <f t="shared" si="1133"/>
        <v>Bonis SpA</v>
      </c>
    </row>
    <row r="1777" spans="2:58" x14ac:dyDescent="0.25">
      <c r="B1777" s="1">
        <v>2539</v>
      </c>
      <c r="C1777" s="1" t="str">
        <f t="shared" si="1141"/>
        <v>SOLAN4189S7/C1</v>
      </c>
      <c r="E1777" s="1" t="str">
        <f>"40"</f>
        <v>40</v>
      </c>
      <c r="F1777" s="1" t="str">
        <f t="shared" si="1122"/>
        <v>BONIS SPA</v>
      </c>
      <c r="G1777" s="1" t="str">
        <f t="shared" si="1148"/>
        <v>STOCK SCAFFALE MP</v>
      </c>
      <c r="H1777" s="1" t="str">
        <f t="shared" si="1147"/>
        <v>GREY</v>
      </c>
      <c r="K1777" s="1">
        <v>10</v>
      </c>
      <c r="L1777" s="1" t="str">
        <f t="shared" si="1123"/>
        <v>01</v>
      </c>
      <c r="M1777" s="1" t="str">
        <f t="shared" si="1114"/>
        <v>409</v>
      </c>
      <c r="N1777" s="1" t="str">
        <f t="shared" si="1134"/>
        <v>007</v>
      </c>
      <c r="O1777" s="1" t="str">
        <f t="shared" si="1124"/>
        <v>00</v>
      </c>
      <c r="P1777" s="1" t="str">
        <f t="shared" si="1125"/>
        <v>S</v>
      </c>
      <c r="Q1777" s="1" t="str">
        <f t="shared" si="1126"/>
        <v>P</v>
      </c>
      <c r="R1777" s="1" t="str">
        <f t="shared" si="1127"/>
        <v>01</v>
      </c>
      <c r="S1777" s="1" t="str">
        <f t="shared" si="1149"/>
        <v>04</v>
      </c>
      <c r="T1777" s="1" t="str">
        <f t="shared" si="1128"/>
        <v>False</v>
      </c>
      <c r="U1777" s="1" t="str">
        <f t="shared" si="1129"/>
        <v>True</v>
      </c>
      <c r="V1777" s="1" t="str">
        <f>"U0027732"</f>
        <v>U0027732</v>
      </c>
      <c r="W1777" s="1">
        <v>1</v>
      </c>
      <c r="Y1777" s="1">
        <v>0</v>
      </c>
      <c r="Z1777" s="1">
        <v>0</v>
      </c>
      <c r="AB1777" s="1" t="str">
        <f t="shared" si="1116"/>
        <v>SMU</v>
      </c>
      <c r="AI1777" s="1" t="str">
        <f t="shared" si="1146"/>
        <v>F11</v>
      </c>
      <c r="AJ1777" s="1" t="str">
        <f t="shared" si="1140"/>
        <v>MAN</v>
      </c>
      <c r="AK1777" s="1" t="str">
        <f t="shared" si="1130"/>
        <v>PA</v>
      </c>
      <c r="AP1777" s="1" t="str">
        <f t="shared" si="1131"/>
        <v>False</v>
      </c>
      <c r="AR1777" s="1" t="str">
        <f t="shared" si="1143"/>
        <v>SOLAN</v>
      </c>
      <c r="AY1777" s="1" t="str">
        <f t="shared" si="1132"/>
        <v>PF</v>
      </c>
      <c r="AZ1777" s="1">
        <v>0</v>
      </c>
      <c r="BA1777" s="1">
        <v>0</v>
      </c>
      <c r="BB1777" s="1">
        <v>0</v>
      </c>
      <c r="BC1777" s="1">
        <v>0</v>
      </c>
      <c r="BD1777" s="1">
        <v>0</v>
      </c>
      <c r="BE1777" s="1" t="str">
        <f t="shared" si="1144"/>
        <v>S.CADET GOMMA  TWILL CANVAS</v>
      </c>
      <c r="BF1777" s="1" t="str">
        <f t="shared" si="1133"/>
        <v>Bonis SpA</v>
      </c>
    </row>
    <row r="1778" spans="2:58" x14ac:dyDescent="0.25">
      <c r="B1778" s="1">
        <v>2539</v>
      </c>
      <c r="C1778" s="1" t="str">
        <f t="shared" si="1141"/>
        <v>SOLAN4189S7/C1</v>
      </c>
      <c r="E1778" s="1" t="str">
        <f>"44"</f>
        <v>44</v>
      </c>
      <c r="F1778" s="1" t="str">
        <f t="shared" si="1122"/>
        <v>BONIS SPA</v>
      </c>
      <c r="G1778" s="1" t="str">
        <f t="shared" si="1148"/>
        <v>STOCK SCAFFALE MP</v>
      </c>
      <c r="H1778" s="1" t="str">
        <f t="shared" si="1147"/>
        <v>GREY</v>
      </c>
      <c r="K1778" s="1">
        <v>2</v>
      </c>
      <c r="L1778" s="1" t="str">
        <f t="shared" si="1123"/>
        <v>01</v>
      </c>
      <c r="M1778" s="1" t="str">
        <f t="shared" si="1114"/>
        <v>409</v>
      </c>
      <c r="N1778" s="1" t="str">
        <f t="shared" si="1134"/>
        <v>007</v>
      </c>
      <c r="O1778" s="1" t="str">
        <f t="shared" si="1124"/>
        <v>00</v>
      </c>
      <c r="P1778" s="1" t="str">
        <f t="shared" si="1125"/>
        <v>S</v>
      </c>
      <c r="Q1778" s="1" t="str">
        <f t="shared" si="1126"/>
        <v>P</v>
      </c>
      <c r="R1778" s="1" t="str">
        <f t="shared" si="1127"/>
        <v>01</v>
      </c>
      <c r="S1778" s="1" t="str">
        <f t="shared" si="1149"/>
        <v>04</v>
      </c>
      <c r="T1778" s="1" t="str">
        <f t="shared" si="1128"/>
        <v>False</v>
      </c>
      <c r="U1778" s="1" t="str">
        <f t="shared" si="1129"/>
        <v>True</v>
      </c>
      <c r="V1778" s="1" t="str">
        <f>"U0027732"</f>
        <v>U0027732</v>
      </c>
      <c r="W1778" s="1">
        <v>1</v>
      </c>
      <c r="Y1778" s="1">
        <v>0</v>
      </c>
      <c r="Z1778" s="1">
        <v>0</v>
      </c>
      <c r="AB1778" s="1" t="str">
        <f t="shared" si="1116"/>
        <v>SMU</v>
      </c>
      <c r="AI1778" s="1" t="str">
        <f t="shared" si="1146"/>
        <v>F11</v>
      </c>
      <c r="AJ1778" s="1" t="str">
        <f t="shared" si="1140"/>
        <v>MAN</v>
      </c>
      <c r="AK1778" s="1" t="str">
        <f t="shared" si="1130"/>
        <v>PA</v>
      </c>
      <c r="AP1778" s="1" t="str">
        <f t="shared" si="1131"/>
        <v>False</v>
      </c>
      <c r="AR1778" s="1" t="str">
        <f t="shared" si="1143"/>
        <v>SOLAN</v>
      </c>
      <c r="AY1778" s="1" t="str">
        <f t="shared" si="1132"/>
        <v>PF</v>
      </c>
      <c r="AZ1778" s="1">
        <v>0</v>
      </c>
      <c r="BA1778" s="1">
        <v>0</v>
      </c>
      <c r="BB1778" s="1">
        <v>0</v>
      </c>
      <c r="BC1778" s="1">
        <v>0</v>
      </c>
      <c r="BD1778" s="1">
        <v>0</v>
      </c>
      <c r="BE1778" s="1" t="str">
        <f t="shared" si="1144"/>
        <v>S.CADET GOMMA  TWILL CANVAS</v>
      </c>
      <c r="BF1778" s="1" t="str">
        <f t="shared" si="1133"/>
        <v>Bonis SpA</v>
      </c>
    </row>
    <row r="1779" spans="2:58" x14ac:dyDescent="0.25">
      <c r="B1779" s="1">
        <v>2539</v>
      </c>
      <c r="C1779" s="1" t="str">
        <f>"GALAN4182S7/CY1"</f>
        <v>GALAN4182S7/CY1</v>
      </c>
      <c r="E1779" s="1" t="str">
        <f>"43"</f>
        <v>43</v>
      </c>
      <c r="F1779" s="1" t="str">
        <f t="shared" si="1122"/>
        <v>BONIS SPA</v>
      </c>
      <c r="G1779" s="1" t="str">
        <f t="shared" si="1148"/>
        <v>STOCK SCAFFALE MP</v>
      </c>
      <c r="H1779" s="1" t="str">
        <f>"DKBL"</f>
        <v>DKBL</v>
      </c>
      <c r="K1779" s="1">
        <v>8</v>
      </c>
      <c r="L1779" s="1" t="str">
        <f t="shared" si="1123"/>
        <v>01</v>
      </c>
      <c r="M1779" s="1" t="str">
        <f t="shared" si="1114"/>
        <v>409</v>
      </c>
      <c r="N1779" s="1" t="str">
        <f t="shared" si="1134"/>
        <v>007</v>
      </c>
      <c r="O1779" s="1" t="str">
        <f t="shared" si="1124"/>
        <v>00</v>
      </c>
      <c r="P1779" s="1" t="str">
        <f t="shared" si="1125"/>
        <v>S</v>
      </c>
      <c r="Q1779" s="1" t="str">
        <f t="shared" si="1126"/>
        <v>P</v>
      </c>
      <c r="R1779" s="1" t="str">
        <f t="shared" si="1127"/>
        <v>01</v>
      </c>
      <c r="S1779" s="1" t="str">
        <f t="shared" si="1149"/>
        <v>04</v>
      </c>
      <c r="T1779" s="1" t="str">
        <f t="shared" si="1128"/>
        <v>False</v>
      </c>
      <c r="U1779" s="1" t="str">
        <f t="shared" si="1129"/>
        <v>True</v>
      </c>
      <c r="V1779" s="1" t="str">
        <f>"U0023635"</f>
        <v>U0023635</v>
      </c>
      <c r="W1779" s="1">
        <v>1</v>
      </c>
      <c r="Y1779" s="1">
        <v>0</v>
      </c>
      <c r="Z1779" s="1">
        <v>0</v>
      </c>
      <c r="AB1779" s="1" t="str">
        <f t="shared" si="1116"/>
        <v>SMU</v>
      </c>
      <c r="AI1779" s="1" t="str">
        <f t="shared" si="1146"/>
        <v>F11</v>
      </c>
      <c r="AJ1779" s="1" t="str">
        <f t="shared" si="1140"/>
        <v>MAN</v>
      </c>
      <c r="AK1779" s="1" t="str">
        <f t="shared" si="1130"/>
        <v>PA</v>
      </c>
      <c r="AP1779" s="1" t="str">
        <f t="shared" si="1131"/>
        <v>False</v>
      </c>
      <c r="AR1779" s="1" t="str">
        <f>"GALAN"</f>
        <v>GALAN</v>
      </c>
      <c r="AY1779" s="1" t="str">
        <f t="shared" si="1132"/>
        <v>PF</v>
      </c>
      <c r="AZ1779" s="1">
        <v>0</v>
      </c>
      <c r="BA1779" s="1">
        <v>0</v>
      </c>
      <c r="BB1779" s="1">
        <v>0</v>
      </c>
      <c r="BC1779" s="1">
        <v>0</v>
      </c>
      <c r="BD1779" s="1">
        <v>0</v>
      </c>
      <c r="BE1779" s="1" t="str">
        <f>"LAN+TWILL CANVAS + SIN.LEATHER"</f>
        <v>LAN+TWILL CANVAS + SIN.LEATHER</v>
      </c>
      <c r="BF1779" s="1" t="str">
        <f t="shared" si="1133"/>
        <v>Bonis SpA</v>
      </c>
    </row>
    <row r="1780" spans="2:58" x14ac:dyDescent="0.25">
      <c r="B1780" s="1">
        <v>2557</v>
      </c>
      <c r="C1780" s="1" t="str">
        <f t="shared" ref="C1780:C1814" si="1150">"RUMBA4187S7/C1"</f>
        <v>RUMBA4187S7/C1</v>
      </c>
      <c r="E1780" s="1" t="str">
        <f>"41"</f>
        <v>41</v>
      </c>
      <c r="F1780" s="1" t="str">
        <f t="shared" si="1122"/>
        <v>BONIS SPA</v>
      </c>
      <c r="G1780" s="1" t="str">
        <f t="shared" si="1148"/>
        <v>STOCK SCAFFALE MP</v>
      </c>
      <c r="H1780" s="1" t="str">
        <f t="shared" ref="H1780:H1789" si="1151">"BLK"</f>
        <v>BLK</v>
      </c>
      <c r="K1780" s="1">
        <v>2</v>
      </c>
      <c r="L1780" s="1" t="str">
        <f t="shared" si="1123"/>
        <v>01</v>
      </c>
      <c r="M1780" s="1" t="str">
        <f t="shared" si="1114"/>
        <v>409</v>
      </c>
      <c r="N1780" s="1" t="str">
        <f t="shared" ref="N1780:N1811" si="1152">"013"</f>
        <v>013</v>
      </c>
      <c r="O1780" s="1" t="str">
        <f t="shared" si="1124"/>
        <v>00</v>
      </c>
      <c r="P1780" s="1" t="str">
        <f t="shared" si="1125"/>
        <v>S</v>
      </c>
      <c r="Q1780" s="1" t="str">
        <f t="shared" si="1126"/>
        <v>P</v>
      </c>
      <c r="R1780" s="1" t="str">
        <f t="shared" si="1127"/>
        <v>01</v>
      </c>
      <c r="S1780" s="1" t="str">
        <f t="shared" si="1149"/>
        <v>04</v>
      </c>
      <c r="T1780" s="1" t="str">
        <f t="shared" si="1128"/>
        <v>False</v>
      </c>
      <c r="U1780" s="1" t="str">
        <f t="shared" si="1129"/>
        <v>True</v>
      </c>
      <c r="V1780" s="1" t="str">
        <f>"U0023713"</f>
        <v>U0023713</v>
      </c>
      <c r="W1780" s="1">
        <v>1</v>
      </c>
      <c r="Y1780" s="1">
        <v>0</v>
      </c>
      <c r="Z1780" s="1">
        <v>0</v>
      </c>
      <c r="AB1780" s="1" t="str">
        <f t="shared" si="1116"/>
        <v>SMU</v>
      </c>
      <c r="AI1780" s="1" t="str">
        <f>"106"</f>
        <v>106</v>
      </c>
      <c r="AJ1780" s="1" t="str">
        <f t="shared" ref="AJ1780:AJ1811" si="1153">"WOMAN"</f>
        <v>WOMAN</v>
      </c>
      <c r="AK1780" s="1" t="str">
        <f t="shared" si="1130"/>
        <v>PA</v>
      </c>
      <c r="AP1780" s="1" t="str">
        <f t="shared" si="1131"/>
        <v>False</v>
      </c>
      <c r="AR1780" s="1" t="str">
        <f t="shared" ref="AR1780:AR1814" si="1154">"RUMBA"</f>
        <v>RUMBA</v>
      </c>
      <c r="AY1780" s="1" t="str">
        <f t="shared" si="1132"/>
        <v>PF</v>
      </c>
      <c r="AZ1780" s="1">
        <v>0</v>
      </c>
      <c r="BA1780" s="1">
        <v>0</v>
      </c>
      <c r="BB1780" s="1">
        <v>0</v>
      </c>
      <c r="BC1780" s="1">
        <v>0</v>
      </c>
      <c r="BD1780" s="1">
        <v>0</v>
      </c>
      <c r="BE1780" s="1" t="str">
        <f t="shared" ref="BE1780:BE1814" si="1155">"SUOLA RUMBA TWILL CANVAS"</f>
        <v>SUOLA RUMBA TWILL CANVAS</v>
      </c>
      <c r="BF1780" s="1" t="str">
        <f t="shared" si="1133"/>
        <v>Bonis SpA</v>
      </c>
    </row>
    <row r="1781" spans="2:58" x14ac:dyDescent="0.25">
      <c r="B1781" s="1">
        <v>2557</v>
      </c>
      <c r="C1781" s="1" t="str">
        <f t="shared" si="1150"/>
        <v>RUMBA4187S7/C1</v>
      </c>
      <c r="E1781" s="1" t="str">
        <f>"41"</f>
        <v>41</v>
      </c>
      <c r="F1781" s="1" t="str">
        <f t="shared" si="1122"/>
        <v>BONIS SPA</v>
      </c>
      <c r="G1781" s="1" t="str">
        <f t="shared" si="1148"/>
        <v>STOCK SCAFFALE MP</v>
      </c>
      <c r="H1781" s="1" t="str">
        <f t="shared" si="1151"/>
        <v>BLK</v>
      </c>
      <c r="K1781" s="1">
        <v>2</v>
      </c>
      <c r="L1781" s="1" t="str">
        <f t="shared" si="1123"/>
        <v>01</v>
      </c>
      <c r="M1781" s="1" t="str">
        <f t="shared" si="1114"/>
        <v>409</v>
      </c>
      <c r="N1781" s="1" t="str">
        <f t="shared" si="1152"/>
        <v>013</v>
      </c>
      <c r="O1781" s="1" t="str">
        <f t="shared" si="1124"/>
        <v>00</v>
      </c>
      <c r="P1781" s="1" t="str">
        <f t="shared" si="1125"/>
        <v>S</v>
      </c>
      <c r="Q1781" s="1" t="str">
        <f t="shared" si="1126"/>
        <v>P</v>
      </c>
      <c r="R1781" s="1" t="str">
        <f t="shared" si="1127"/>
        <v>01</v>
      </c>
      <c r="S1781" s="1" t="str">
        <f t="shared" si="1149"/>
        <v>04</v>
      </c>
      <c r="T1781" s="1" t="str">
        <f t="shared" si="1128"/>
        <v>False</v>
      </c>
      <c r="U1781" s="1" t="str">
        <f t="shared" si="1129"/>
        <v>True</v>
      </c>
      <c r="V1781" s="1" t="str">
        <f>"U0028170"</f>
        <v>U0028170</v>
      </c>
      <c r="W1781" s="1">
        <v>1</v>
      </c>
      <c r="Y1781" s="1">
        <v>0</v>
      </c>
      <c r="Z1781" s="1">
        <v>0</v>
      </c>
      <c r="AB1781" s="1" t="str">
        <f t="shared" si="1116"/>
        <v>SMU</v>
      </c>
      <c r="AI1781" s="1" t="str">
        <f>"106"</f>
        <v>106</v>
      </c>
      <c r="AJ1781" s="1" t="str">
        <f t="shared" si="1153"/>
        <v>WOMAN</v>
      </c>
      <c r="AK1781" s="1" t="str">
        <f t="shared" si="1130"/>
        <v>PA</v>
      </c>
      <c r="AP1781" s="1" t="str">
        <f t="shared" si="1131"/>
        <v>False</v>
      </c>
      <c r="AR1781" s="1" t="str">
        <f t="shared" si="1154"/>
        <v>RUMBA</v>
      </c>
      <c r="AY1781" s="1" t="str">
        <f t="shared" si="1132"/>
        <v>PF</v>
      </c>
      <c r="AZ1781" s="1">
        <v>0</v>
      </c>
      <c r="BA1781" s="1">
        <v>0</v>
      </c>
      <c r="BB1781" s="1">
        <v>0</v>
      </c>
      <c r="BC1781" s="1">
        <v>0</v>
      </c>
      <c r="BD1781" s="1">
        <v>0</v>
      </c>
      <c r="BE1781" s="1" t="str">
        <f t="shared" si="1155"/>
        <v>SUOLA RUMBA TWILL CANVAS</v>
      </c>
      <c r="BF1781" s="1" t="str">
        <f t="shared" si="1133"/>
        <v>Bonis SpA</v>
      </c>
    </row>
    <row r="1782" spans="2:58" x14ac:dyDescent="0.25">
      <c r="B1782" s="1">
        <v>2557</v>
      </c>
      <c r="C1782" s="1" t="str">
        <f t="shared" si="1150"/>
        <v>RUMBA4187S7/C1</v>
      </c>
      <c r="E1782" s="1" t="str">
        <f>"40"</f>
        <v>40</v>
      </c>
      <c r="F1782" s="1" t="str">
        <f t="shared" si="1122"/>
        <v>BONIS SPA</v>
      </c>
      <c r="G1782" s="1" t="str">
        <f t="shared" si="1148"/>
        <v>STOCK SCAFFALE MP</v>
      </c>
      <c r="H1782" s="1" t="str">
        <f t="shared" si="1151"/>
        <v>BLK</v>
      </c>
      <c r="K1782" s="1">
        <v>1</v>
      </c>
      <c r="L1782" s="1" t="str">
        <f t="shared" si="1123"/>
        <v>01</v>
      </c>
      <c r="M1782" s="1" t="str">
        <f t="shared" ref="M1782:M1845" si="1156">"409"</f>
        <v>409</v>
      </c>
      <c r="N1782" s="1" t="str">
        <f t="shared" si="1152"/>
        <v>013</v>
      </c>
      <c r="O1782" s="1" t="str">
        <f t="shared" si="1124"/>
        <v>00</v>
      </c>
      <c r="P1782" s="1" t="str">
        <f t="shared" si="1125"/>
        <v>S</v>
      </c>
      <c r="Q1782" s="1" t="str">
        <f t="shared" si="1126"/>
        <v>P</v>
      </c>
      <c r="R1782" s="1" t="str">
        <f t="shared" si="1127"/>
        <v>01</v>
      </c>
      <c r="S1782" s="1" t="str">
        <f t="shared" si="1149"/>
        <v>04</v>
      </c>
      <c r="T1782" s="1" t="str">
        <f t="shared" si="1128"/>
        <v>False</v>
      </c>
      <c r="U1782" s="1" t="str">
        <f t="shared" si="1129"/>
        <v>True</v>
      </c>
      <c r="V1782" s="1" t="str">
        <f>"U0028165"</f>
        <v>U0028165</v>
      </c>
      <c r="W1782" s="1">
        <v>1</v>
      </c>
      <c r="Y1782" s="1">
        <v>0</v>
      </c>
      <c r="Z1782" s="1">
        <v>0</v>
      </c>
      <c r="AB1782" s="1" t="str">
        <f t="shared" ref="AB1782:AB1845" si="1157">"SMU"</f>
        <v>SMU</v>
      </c>
      <c r="AI1782" s="1" t="str">
        <f>"106"</f>
        <v>106</v>
      </c>
      <c r="AJ1782" s="1" t="str">
        <f t="shared" si="1153"/>
        <v>WOMAN</v>
      </c>
      <c r="AK1782" s="1" t="str">
        <f t="shared" si="1130"/>
        <v>PA</v>
      </c>
      <c r="AP1782" s="1" t="str">
        <f t="shared" si="1131"/>
        <v>False</v>
      </c>
      <c r="AR1782" s="1" t="str">
        <f t="shared" si="1154"/>
        <v>RUMBA</v>
      </c>
      <c r="AY1782" s="1" t="str">
        <f t="shared" si="1132"/>
        <v>PF</v>
      </c>
      <c r="AZ1782" s="1">
        <v>0</v>
      </c>
      <c r="BA1782" s="1">
        <v>0</v>
      </c>
      <c r="BB1782" s="1">
        <v>0</v>
      </c>
      <c r="BC1782" s="1">
        <v>0</v>
      </c>
      <c r="BD1782" s="1">
        <v>0</v>
      </c>
      <c r="BE1782" s="1" t="str">
        <f t="shared" si="1155"/>
        <v>SUOLA RUMBA TWILL CANVAS</v>
      </c>
      <c r="BF1782" s="1" t="str">
        <f t="shared" si="1133"/>
        <v>Bonis SpA</v>
      </c>
    </row>
    <row r="1783" spans="2:58" x14ac:dyDescent="0.25">
      <c r="B1783" s="1">
        <v>2557</v>
      </c>
      <c r="C1783" s="1" t="str">
        <f t="shared" si="1150"/>
        <v>RUMBA4187S7/C1</v>
      </c>
      <c r="E1783" s="1" t="str">
        <f>"36"</f>
        <v>36</v>
      </c>
      <c r="F1783" s="1" t="str">
        <f t="shared" si="1122"/>
        <v>BONIS SPA</v>
      </c>
      <c r="G1783" s="1" t="str">
        <f t="shared" si="1148"/>
        <v>STOCK SCAFFALE MP</v>
      </c>
      <c r="H1783" s="1" t="str">
        <f t="shared" si="1151"/>
        <v>BLK</v>
      </c>
      <c r="K1783" s="1">
        <v>4</v>
      </c>
      <c r="L1783" s="1" t="str">
        <f t="shared" si="1123"/>
        <v>01</v>
      </c>
      <c r="M1783" s="1" t="str">
        <f t="shared" si="1156"/>
        <v>409</v>
      </c>
      <c r="N1783" s="1" t="str">
        <f t="shared" si="1152"/>
        <v>013</v>
      </c>
      <c r="O1783" s="1" t="str">
        <f t="shared" si="1124"/>
        <v>00</v>
      </c>
      <c r="P1783" s="1" t="str">
        <f t="shared" si="1125"/>
        <v>S</v>
      </c>
      <c r="Q1783" s="1" t="str">
        <f t="shared" si="1126"/>
        <v>P</v>
      </c>
      <c r="R1783" s="1" t="str">
        <f t="shared" si="1127"/>
        <v>01</v>
      </c>
      <c r="S1783" s="1" t="str">
        <f t="shared" si="1149"/>
        <v>04</v>
      </c>
      <c r="T1783" s="1" t="str">
        <f t="shared" si="1128"/>
        <v>False</v>
      </c>
      <c r="U1783" s="1" t="str">
        <f t="shared" si="1129"/>
        <v>True</v>
      </c>
      <c r="V1783" s="1" t="str">
        <f>"U0028170"</f>
        <v>U0028170</v>
      </c>
      <c r="W1783" s="1">
        <v>1</v>
      </c>
      <c r="Y1783" s="1">
        <v>0</v>
      </c>
      <c r="Z1783" s="1">
        <v>0</v>
      </c>
      <c r="AB1783" s="1" t="str">
        <f t="shared" si="1157"/>
        <v>SMU</v>
      </c>
      <c r="AI1783" s="1" t="str">
        <f>"F11"</f>
        <v>F11</v>
      </c>
      <c r="AJ1783" s="1" t="str">
        <f t="shared" si="1153"/>
        <v>WOMAN</v>
      </c>
      <c r="AK1783" s="1" t="str">
        <f t="shared" si="1130"/>
        <v>PA</v>
      </c>
      <c r="AP1783" s="1" t="str">
        <f t="shared" si="1131"/>
        <v>False</v>
      </c>
      <c r="AR1783" s="1" t="str">
        <f t="shared" si="1154"/>
        <v>RUMBA</v>
      </c>
      <c r="AY1783" s="1" t="str">
        <f t="shared" si="1132"/>
        <v>PF</v>
      </c>
      <c r="AZ1783" s="1">
        <v>0</v>
      </c>
      <c r="BA1783" s="1">
        <v>0</v>
      </c>
      <c r="BB1783" s="1">
        <v>0</v>
      </c>
      <c r="BC1783" s="1">
        <v>0</v>
      </c>
      <c r="BD1783" s="1">
        <v>0</v>
      </c>
      <c r="BE1783" s="1" t="str">
        <f t="shared" si="1155"/>
        <v>SUOLA RUMBA TWILL CANVAS</v>
      </c>
      <c r="BF1783" s="1" t="str">
        <f t="shared" si="1133"/>
        <v>Bonis SpA</v>
      </c>
    </row>
    <row r="1784" spans="2:58" x14ac:dyDescent="0.25">
      <c r="B1784" s="1">
        <v>2557</v>
      </c>
      <c r="C1784" s="1" t="str">
        <f t="shared" si="1150"/>
        <v>RUMBA4187S7/C1</v>
      </c>
      <c r="E1784" s="1" t="str">
        <f>"40"</f>
        <v>40</v>
      </c>
      <c r="F1784" s="1" t="str">
        <f t="shared" si="1122"/>
        <v>BONIS SPA</v>
      </c>
      <c r="G1784" s="1" t="str">
        <f t="shared" si="1148"/>
        <v>STOCK SCAFFALE MP</v>
      </c>
      <c r="H1784" s="1" t="str">
        <f t="shared" si="1151"/>
        <v>BLK</v>
      </c>
      <c r="K1784" s="1">
        <v>2</v>
      </c>
      <c r="L1784" s="1" t="str">
        <f t="shared" si="1123"/>
        <v>01</v>
      </c>
      <c r="M1784" s="1" t="str">
        <f t="shared" si="1156"/>
        <v>409</v>
      </c>
      <c r="N1784" s="1" t="str">
        <f t="shared" si="1152"/>
        <v>013</v>
      </c>
      <c r="O1784" s="1" t="str">
        <f t="shared" si="1124"/>
        <v>00</v>
      </c>
      <c r="P1784" s="1" t="str">
        <f t="shared" si="1125"/>
        <v>S</v>
      </c>
      <c r="Q1784" s="1" t="str">
        <f t="shared" si="1126"/>
        <v>P</v>
      </c>
      <c r="R1784" s="1" t="str">
        <f t="shared" si="1127"/>
        <v>01</v>
      </c>
      <c r="S1784" s="1" t="str">
        <f t="shared" si="1149"/>
        <v>04</v>
      </c>
      <c r="T1784" s="1" t="str">
        <f t="shared" si="1128"/>
        <v>False</v>
      </c>
      <c r="U1784" s="1" t="str">
        <f t="shared" si="1129"/>
        <v>True</v>
      </c>
      <c r="V1784" s="1" t="str">
        <f>"U0028170"</f>
        <v>U0028170</v>
      </c>
      <c r="W1784" s="1">
        <v>1</v>
      </c>
      <c r="Y1784" s="1">
        <v>0</v>
      </c>
      <c r="Z1784" s="1">
        <v>0</v>
      </c>
      <c r="AB1784" s="1" t="str">
        <f t="shared" si="1157"/>
        <v>SMU</v>
      </c>
      <c r="AI1784" s="1" t="str">
        <f>"F11"</f>
        <v>F11</v>
      </c>
      <c r="AJ1784" s="1" t="str">
        <f t="shared" si="1153"/>
        <v>WOMAN</v>
      </c>
      <c r="AK1784" s="1" t="str">
        <f t="shared" si="1130"/>
        <v>PA</v>
      </c>
      <c r="AP1784" s="1" t="str">
        <f t="shared" si="1131"/>
        <v>False</v>
      </c>
      <c r="AR1784" s="1" t="str">
        <f t="shared" si="1154"/>
        <v>RUMBA</v>
      </c>
      <c r="AY1784" s="1" t="str">
        <f t="shared" si="1132"/>
        <v>PF</v>
      </c>
      <c r="AZ1784" s="1">
        <v>0</v>
      </c>
      <c r="BA1784" s="1">
        <v>0</v>
      </c>
      <c r="BB1784" s="1">
        <v>0</v>
      </c>
      <c r="BC1784" s="1">
        <v>0</v>
      </c>
      <c r="BD1784" s="1">
        <v>0</v>
      </c>
      <c r="BE1784" s="1" t="str">
        <f t="shared" si="1155"/>
        <v>SUOLA RUMBA TWILL CANVAS</v>
      </c>
      <c r="BF1784" s="1" t="str">
        <f t="shared" si="1133"/>
        <v>Bonis SpA</v>
      </c>
    </row>
    <row r="1785" spans="2:58" x14ac:dyDescent="0.25">
      <c r="B1785" s="1">
        <v>2557</v>
      </c>
      <c r="C1785" s="1" t="str">
        <f t="shared" si="1150"/>
        <v>RUMBA4187S7/C1</v>
      </c>
      <c r="E1785" s="1" t="str">
        <f>"37"</f>
        <v>37</v>
      </c>
      <c r="F1785" s="1" t="str">
        <f t="shared" si="1122"/>
        <v>BONIS SPA</v>
      </c>
      <c r="G1785" s="1" t="str">
        <f t="shared" si="1148"/>
        <v>STOCK SCAFFALE MP</v>
      </c>
      <c r="H1785" s="1" t="str">
        <f t="shared" si="1151"/>
        <v>BLK</v>
      </c>
      <c r="K1785" s="1">
        <v>3</v>
      </c>
      <c r="L1785" s="1" t="str">
        <f t="shared" si="1123"/>
        <v>01</v>
      </c>
      <c r="M1785" s="1" t="str">
        <f t="shared" si="1156"/>
        <v>409</v>
      </c>
      <c r="N1785" s="1" t="str">
        <f t="shared" si="1152"/>
        <v>013</v>
      </c>
      <c r="O1785" s="1" t="str">
        <f t="shared" si="1124"/>
        <v>00</v>
      </c>
      <c r="P1785" s="1" t="str">
        <f t="shared" si="1125"/>
        <v>S</v>
      </c>
      <c r="Q1785" s="1" t="str">
        <f t="shared" si="1126"/>
        <v>P</v>
      </c>
      <c r="R1785" s="1" t="str">
        <f t="shared" si="1127"/>
        <v>01</v>
      </c>
      <c r="S1785" s="1" t="str">
        <f t="shared" si="1149"/>
        <v>04</v>
      </c>
      <c r="T1785" s="1" t="str">
        <f t="shared" si="1128"/>
        <v>False</v>
      </c>
      <c r="U1785" s="1" t="str">
        <f t="shared" si="1129"/>
        <v>True</v>
      </c>
      <c r="V1785" s="1" t="str">
        <f>"U0028170"</f>
        <v>U0028170</v>
      </c>
      <c r="W1785" s="1">
        <v>1</v>
      </c>
      <c r="Y1785" s="1">
        <v>0</v>
      </c>
      <c r="Z1785" s="1">
        <v>0</v>
      </c>
      <c r="AB1785" s="1" t="str">
        <f t="shared" si="1157"/>
        <v>SMU</v>
      </c>
      <c r="AI1785" s="1" t="str">
        <f>"F11"</f>
        <v>F11</v>
      </c>
      <c r="AJ1785" s="1" t="str">
        <f t="shared" si="1153"/>
        <v>WOMAN</v>
      </c>
      <c r="AK1785" s="1" t="str">
        <f t="shared" si="1130"/>
        <v>PA</v>
      </c>
      <c r="AP1785" s="1" t="str">
        <f t="shared" si="1131"/>
        <v>False</v>
      </c>
      <c r="AR1785" s="1" t="str">
        <f t="shared" si="1154"/>
        <v>RUMBA</v>
      </c>
      <c r="AY1785" s="1" t="str">
        <f t="shared" si="1132"/>
        <v>PF</v>
      </c>
      <c r="AZ1785" s="1">
        <v>0</v>
      </c>
      <c r="BA1785" s="1">
        <v>0</v>
      </c>
      <c r="BB1785" s="1">
        <v>0</v>
      </c>
      <c r="BC1785" s="1">
        <v>0</v>
      </c>
      <c r="BD1785" s="1">
        <v>0</v>
      </c>
      <c r="BE1785" s="1" t="str">
        <f t="shared" si="1155"/>
        <v>SUOLA RUMBA TWILL CANVAS</v>
      </c>
      <c r="BF1785" s="1" t="str">
        <f t="shared" si="1133"/>
        <v>Bonis SpA</v>
      </c>
    </row>
    <row r="1786" spans="2:58" x14ac:dyDescent="0.25">
      <c r="B1786" s="1">
        <v>2557</v>
      </c>
      <c r="C1786" s="1" t="str">
        <f t="shared" si="1150"/>
        <v>RUMBA4187S7/C1</v>
      </c>
      <c r="E1786" s="1" t="str">
        <f>"39"</f>
        <v>39</v>
      </c>
      <c r="F1786" s="1" t="str">
        <f t="shared" si="1122"/>
        <v>BONIS SPA</v>
      </c>
      <c r="G1786" s="1" t="str">
        <f t="shared" si="1148"/>
        <v>STOCK SCAFFALE MP</v>
      </c>
      <c r="H1786" s="1" t="str">
        <f t="shared" si="1151"/>
        <v>BLK</v>
      </c>
      <c r="K1786" s="1">
        <v>2</v>
      </c>
      <c r="L1786" s="1" t="str">
        <f t="shared" si="1123"/>
        <v>01</v>
      </c>
      <c r="M1786" s="1" t="str">
        <f t="shared" si="1156"/>
        <v>409</v>
      </c>
      <c r="N1786" s="1" t="str">
        <f t="shared" si="1152"/>
        <v>013</v>
      </c>
      <c r="O1786" s="1" t="str">
        <f t="shared" si="1124"/>
        <v>00</v>
      </c>
      <c r="P1786" s="1" t="str">
        <f t="shared" si="1125"/>
        <v>S</v>
      </c>
      <c r="Q1786" s="1" t="str">
        <f t="shared" si="1126"/>
        <v>P</v>
      </c>
      <c r="R1786" s="1" t="str">
        <f t="shared" si="1127"/>
        <v>01</v>
      </c>
      <c r="S1786" s="1" t="str">
        <f t="shared" si="1149"/>
        <v>04</v>
      </c>
      <c r="T1786" s="1" t="str">
        <f t="shared" si="1128"/>
        <v>False</v>
      </c>
      <c r="U1786" s="1" t="str">
        <f t="shared" si="1129"/>
        <v>True</v>
      </c>
      <c r="V1786" s="1" t="str">
        <f>"U0022773"</f>
        <v>U0022773</v>
      </c>
      <c r="W1786" s="1">
        <v>1</v>
      </c>
      <c r="Y1786" s="1">
        <v>0</v>
      </c>
      <c r="Z1786" s="1">
        <v>0</v>
      </c>
      <c r="AB1786" s="1" t="str">
        <f t="shared" si="1157"/>
        <v>SMU</v>
      </c>
      <c r="AI1786" s="1" t="str">
        <f>"106"</f>
        <v>106</v>
      </c>
      <c r="AJ1786" s="1" t="str">
        <f t="shared" si="1153"/>
        <v>WOMAN</v>
      </c>
      <c r="AK1786" s="1" t="str">
        <f t="shared" si="1130"/>
        <v>PA</v>
      </c>
      <c r="AP1786" s="1" t="str">
        <f t="shared" si="1131"/>
        <v>False</v>
      </c>
      <c r="AR1786" s="1" t="str">
        <f t="shared" si="1154"/>
        <v>RUMBA</v>
      </c>
      <c r="AY1786" s="1" t="str">
        <f t="shared" si="1132"/>
        <v>PF</v>
      </c>
      <c r="AZ1786" s="1">
        <v>0</v>
      </c>
      <c r="BA1786" s="1">
        <v>0</v>
      </c>
      <c r="BB1786" s="1">
        <v>0</v>
      </c>
      <c r="BC1786" s="1">
        <v>0</v>
      </c>
      <c r="BD1786" s="1">
        <v>0</v>
      </c>
      <c r="BE1786" s="1" t="str">
        <f t="shared" si="1155"/>
        <v>SUOLA RUMBA TWILL CANVAS</v>
      </c>
      <c r="BF1786" s="1" t="str">
        <f t="shared" si="1133"/>
        <v>Bonis SpA</v>
      </c>
    </row>
    <row r="1787" spans="2:58" x14ac:dyDescent="0.25">
      <c r="B1787" s="1">
        <v>2557</v>
      </c>
      <c r="C1787" s="1" t="str">
        <f t="shared" si="1150"/>
        <v>RUMBA4187S7/C1</v>
      </c>
      <c r="E1787" s="1" t="str">
        <f t="shared" ref="E1787:E1792" si="1158">"40"</f>
        <v>40</v>
      </c>
      <c r="F1787" s="1" t="str">
        <f t="shared" si="1122"/>
        <v>BONIS SPA</v>
      </c>
      <c r="G1787" s="1" t="str">
        <f t="shared" si="1148"/>
        <v>STOCK SCAFFALE MP</v>
      </c>
      <c r="H1787" s="1" t="str">
        <f t="shared" si="1151"/>
        <v>BLK</v>
      </c>
      <c r="K1787" s="1">
        <v>2</v>
      </c>
      <c r="L1787" s="1" t="str">
        <f t="shared" si="1123"/>
        <v>01</v>
      </c>
      <c r="M1787" s="1" t="str">
        <f t="shared" si="1156"/>
        <v>409</v>
      </c>
      <c r="N1787" s="1" t="str">
        <f t="shared" si="1152"/>
        <v>013</v>
      </c>
      <c r="O1787" s="1" t="str">
        <f t="shared" si="1124"/>
        <v>00</v>
      </c>
      <c r="P1787" s="1" t="str">
        <f t="shared" si="1125"/>
        <v>S</v>
      </c>
      <c r="Q1787" s="1" t="str">
        <f t="shared" si="1126"/>
        <v>P</v>
      </c>
      <c r="R1787" s="1" t="str">
        <f t="shared" si="1127"/>
        <v>01</v>
      </c>
      <c r="S1787" s="1" t="str">
        <f t="shared" si="1149"/>
        <v>04</v>
      </c>
      <c r="T1787" s="1" t="str">
        <f t="shared" si="1128"/>
        <v>False</v>
      </c>
      <c r="U1787" s="1" t="str">
        <f t="shared" si="1129"/>
        <v>True</v>
      </c>
      <c r="V1787" s="1" t="str">
        <f>"U0022773"</f>
        <v>U0022773</v>
      </c>
      <c r="W1787" s="1">
        <v>1</v>
      </c>
      <c r="Y1787" s="1">
        <v>0</v>
      </c>
      <c r="Z1787" s="1">
        <v>0</v>
      </c>
      <c r="AB1787" s="1" t="str">
        <f t="shared" si="1157"/>
        <v>SMU</v>
      </c>
      <c r="AI1787" s="1" t="str">
        <f>"106"</f>
        <v>106</v>
      </c>
      <c r="AJ1787" s="1" t="str">
        <f t="shared" si="1153"/>
        <v>WOMAN</v>
      </c>
      <c r="AK1787" s="1" t="str">
        <f t="shared" si="1130"/>
        <v>PA</v>
      </c>
      <c r="AP1787" s="1" t="str">
        <f t="shared" si="1131"/>
        <v>False</v>
      </c>
      <c r="AR1787" s="1" t="str">
        <f t="shared" si="1154"/>
        <v>RUMBA</v>
      </c>
      <c r="AY1787" s="1" t="str">
        <f t="shared" si="1132"/>
        <v>PF</v>
      </c>
      <c r="AZ1787" s="1">
        <v>0</v>
      </c>
      <c r="BA1787" s="1">
        <v>0</v>
      </c>
      <c r="BB1787" s="1">
        <v>0</v>
      </c>
      <c r="BC1787" s="1">
        <v>0</v>
      </c>
      <c r="BD1787" s="1">
        <v>0</v>
      </c>
      <c r="BE1787" s="1" t="str">
        <f t="shared" si="1155"/>
        <v>SUOLA RUMBA TWILL CANVAS</v>
      </c>
      <c r="BF1787" s="1" t="str">
        <f t="shared" si="1133"/>
        <v>Bonis SpA</v>
      </c>
    </row>
    <row r="1788" spans="2:58" x14ac:dyDescent="0.25">
      <c r="B1788" s="1">
        <v>2557</v>
      </c>
      <c r="C1788" s="1" t="str">
        <f t="shared" si="1150"/>
        <v>RUMBA4187S7/C1</v>
      </c>
      <c r="E1788" s="1" t="str">
        <f t="shared" si="1158"/>
        <v>40</v>
      </c>
      <c r="F1788" s="1" t="str">
        <f t="shared" si="1122"/>
        <v>BONIS SPA</v>
      </c>
      <c r="G1788" s="1" t="str">
        <f t="shared" si="1148"/>
        <v>STOCK SCAFFALE MP</v>
      </c>
      <c r="H1788" s="1" t="str">
        <f t="shared" si="1151"/>
        <v>BLK</v>
      </c>
      <c r="K1788" s="1">
        <v>1</v>
      </c>
      <c r="L1788" s="1" t="str">
        <f t="shared" si="1123"/>
        <v>01</v>
      </c>
      <c r="M1788" s="1" t="str">
        <f t="shared" si="1156"/>
        <v>409</v>
      </c>
      <c r="N1788" s="1" t="str">
        <f t="shared" si="1152"/>
        <v>013</v>
      </c>
      <c r="O1788" s="1" t="str">
        <f t="shared" si="1124"/>
        <v>00</v>
      </c>
      <c r="P1788" s="1" t="str">
        <f t="shared" si="1125"/>
        <v>S</v>
      </c>
      <c r="Q1788" s="1" t="str">
        <f t="shared" si="1126"/>
        <v>P</v>
      </c>
      <c r="R1788" s="1" t="str">
        <f t="shared" si="1127"/>
        <v>01</v>
      </c>
      <c r="S1788" s="1" t="str">
        <f t="shared" si="1149"/>
        <v>04</v>
      </c>
      <c r="T1788" s="1" t="str">
        <f t="shared" si="1128"/>
        <v>False</v>
      </c>
      <c r="U1788" s="1" t="str">
        <f t="shared" si="1129"/>
        <v>True</v>
      </c>
      <c r="V1788" s="1" t="str">
        <f>"U0032197"</f>
        <v>U0032197</v>
      </c>
      <c r="W1788" s="1">
        <v>1</v>
      </c>
      <c r="Y1788" s="1">
        <v>0</v>
      </c>
      <c r="Z1788" s="1">
        <v>0</v>
      </c>
      <c r="AB1788" s="1" t="str">
        <f t="shared" si="1157"/>
        <v>SMU</v>
      </c>
      <c r="AI1788" s="1" t="str">
        <f>"106"</f>
        <v>106</v>
      </c>
      <c r="AJ1788" s="1" t="str">
        <f t="shared" si="1153"/>
        <v>WOMAN</v>
      </c>
      <c r="AK1788" s="1" t="str">
        <f t="shared" si="1130"/>
        <v>PA</v>
      </c>
      <c r="AP1788" s="1" t="str">
        <f t="shared" si="1131"/>
        <v>False</v>
      </c>
      <c r="AR1788" s="1" t="str">
        <f t="shared" si="1154"/>
        <v>RUMBA</v>
      </c>
      <c r="AY1788" s="1" t="str">
        <f t="shared" si="1132"/>
        <v>PF</v>
      </c>
      <c r="AZ1788" s="1">
        <v>0</v>
      </c>
      <c r="BA1788" s="1">
        <v>0</v>
      </c>
      <c r="BB1788" s="1">
        <v>0</v>
      </c>
      <c r="BC1788" s="1">
        <v>0</v>
      </c>
      <c r="BD1788" s="1">
        <v>0</v>
      </c>
      <c r="BE1788" s="1" t="str">
        <f t="shared" si="1155"/>
        <v>SUOLA RUMBA TWILL CANVAS</v>
      </c>
      <c r="BF1788" s="1" t="str">
        <f t="shared" si="1133"/>
        <v>Bonis SpA</v>
      </c>
    </row>
    <row r="1789" spans="2:58" x14ac:dyDescent="0.25">
      <c r="B1789" s="1">
        <v>2557</v>
      </c>
      <c r="C1789" s="1" t="str">
        <f t="shared" si="1150"/>
        <v>RUMBA4187S7/C1</v>
      </c>
      <c r="E1789" s="1" t="str">
        <f t="shared" si="1158"/>
        <v>40</v>
      </c>
      <c r="F1789" s="1" t="str">
        <f t="shared" si="1122"/>
        <v>BONIS SPA</v>
      </c>
      <c r="G1789" s="1" t="str">
        <f t="shared" si="1148"/>
        <v>STOCK SCAFFALE MP</v>
      </c>
      <c r="H1789" s="1" t="str">
        <f t="shared" si="1151"/>
        <v>BLK</v>
      </c>
      <c r="K1789" s="1">
        <v>12</v>
      </c>
      <c r="L1789" s="1" t="str">
        <f t="shared" si="1123"/>
        <v>01</v>
      </c>
      <c r="M1789" s="1" t="str">
        <f t="shared" si="1156"/>
        <v>409</v>
      </c>
      <c r="N1789" s="1" t="str">
        <f t="shared" si="1152"/>
        <v>013</v>
      </c>
      <c r="O1789" s="1" t="str">
        <f t="shared" si="1124"/>
        <v>00</v>
      </c>
      <c r="P1789" s="1" t="str">
        <f t="shared" si="1125"/>
        <v>S</v>
      </c>
      <c r="Q1789" s="1" t="str">
        <f t="shared" si="1126"/>
        <v>P</v>
      </c>
      <c r="R1789" s="1" t="str">
        <f t="shared" si="1127"/>
        <v>01</v>
      </c>
      <c r="S1789" s="1" t="str">
        <f t="shared" si="1149"/>
        <v>04</v>
      </c>
      <c r="T1789" s="1" t="str">
        <f t="shared" si="1128"/>
        <v>False</v>
      </c>
      <c r="U1789" s="1" t="str">
        <f t="shared" si="1129"/>
        <v>True</v>
      </c>
      <c r="V1789" s="1" t="str">
        <f>"U0032606"</f>
        <v>U0032606</v>
      </c>
      <c r="W1789" s="1">
        <v>1</v>
      </c>
      <c r="Y1789" s="1">
        <v>0</v>
      </c>
      <c r="Z1789" s="1">
        <v>0</v>
      </c>
      <c r="AB1789" s="1" t="str">
        <f t="shared" si="1157"/>
        <v>SMU</v>
      </c>
      <c r="AI1789" s="1" t="str">
        <f>"F11"</f>
        <v>F11</v>
      </c>
      <c r="AJ1789" s="1" t="str">
        <f t="shared" si="1153"/>
        <v>WOMAN</v>
      </c>
      <c r="AK1789" s="1" t="str">
        <f t="shared" si="1130"/>
        <v>PA</v>
      </c>
      <c r="AP1789" s="1" t="str">
        <f t="shared" si="1131"/>
        <v>False</v>
      </c>
      <c r="AR1789" s="1" t="str">
        <f t="shared" si="1154"/>
        <v>RUMBA</v>
      </c>
      <c r="AY1789" s="1" t="str">
        <f t="shared" si="1132"/>
        <v>PF</v>
      </c>
      <c r="AZ1789" s="1">
        <v>0</v>
      </c>
      <c r="BA1789" s="1">
        <v>0</v>
      </c>
      <c r="BB1789" s="1">
        <v>0</v>
      </c>
      <c r="BC1789" s="1">
        <v>0</v>
      </c>
      <c r="BD1789" s="1">
        <v>0</v>
      </c>
      <c r="BE1789" s="1" t="str">
        <f t="shared" si="1155"/>
        <v>SUOLA RUMBA TWILL CANVAS</v>
      </c>
      <c r="BF1789" s="1" t="str">
        <f t="shared" si="1133"/>
        <v>Bonis SpA</v>
      </c>
    </row>
    <row r="1790" spans="2:58" x14ac:dyDescent="0.25">
      <c r="B1790" s="1">
        <v>2557</v>
      </c>
      <c r="C1790" s="1" t="str">
        <f t="shared" si="1150"/>
        <v>RUMBA4187S7/C1</v>
      </c>
      <c r="E1790" s="1" t="str">
        <f t="shared" si="1158"/>
        <v>40</v>
      </c>
      <c r="F1790" s="1" t="str">
        <f t="shared" si="1122"/>
        <v>BONIS SPA</v>
      </c>
      <c r="G1790" s="1" t="str">
        <f t="shared" si="1148"/>
        <v>STOCK SCAFFALE MP</v>
      </c>
      <c r="H1790" s="1" t="str">
        <f>"DKBL"</f>
        <v>DKBL</v>
      </c>
      <c r="K1790" s="1">
        <v>1</v>
      </c>
      <c r="L1790" s="1" t="str">
        <f t="shared" si="1123"/>
        <v>01</v>
      </c>
      <c r="M1790" s="1" t="str">
        <f t="shared" si="1156"/>
        <v>409</v>
      </c>
      <c r="N1790" s="1" t="str">
        <f t="shared" si="1152"/>
        <v>013</v>
      </c>
      <c r="O1790" s="1" t="str">
        <f t="shared" si="1124"/>
        <v>00</v>
      </c>
      <c r="P1790" s="1" t="str">
        <f t="shared" si="1125"/>
        <v>S</v>
      </c>
      <c r="Q1790" s="1" t="str">
        <f t="shared" si="1126"/>
        <v>P</v>
      </c>
      <c r="R1790" s="1" t="str">
        <f t="shared" si="1127"/>
        <v>01</v>
      </c>
      <c r="S1790" s="1" t="str">
        <f t="shared" si="1149"/>
        <v>04</v>
      </c>
      <c r="T1790" s="1" t="str">
        <f t="shared" si="1128"/>
        <v>False</v>
      </c>
      <c r="U1790" s="1" t="str">
        <f t="shared" si="1129"/>
        <v>True</v>
      </c>
      <c r="V1790" s="1" t="str">
        <f>"U0028170"</f>
        <v>U0028170</v>
      </c>
      <c r="W1790" s="1">
        <v>1</v>
      </c>
      <c r="Y1790" s="1">
        <v>0</v>
      </c>
      <c r="Z1790" s="1">
        <v>0</v>
      </c>
      <c r="AB1790" s="1" t="str">
        <f t="shared" si="1157"/>
        <v>SMU</v>
      </c>
      <c r="AI1790" s="1" t="str">
        <f>"106"</f>
        <v>106</v>
      </c>
      <c r="AJ1790" s="1" t="str">
        <f t="shared" si="1153"/>
        <v>WOMAN</v>
      </c>
      <c r="AK1790" s="1" t="str">
        <f t="shared" si="1130"/>
        <v>PA</v>
      </c>
      <c r="AP1790" s="1" t="str">
        <f t="shared" si="1131"/>
        <v>False</v>
      </c>
      <c r="AR1790" s="1" t="str">
        <f t="shared" si="1154"/>
        <v>RUMBA</v>
      </c>
      <c r="AY1790" s="1" t="str">
        <f t="shared" si="1132"/>
        <v>PF</v>
      </c>
      <c r="AZ1790" s="1">
        <v>0</v>
      </c>
      <c r="BA1790" s="1">
        <v>0</v>
      </c>
      <c r="BB1790" s="1">
        <v>0</v>
      </c>
      <c r="BC1790" s="1">
        <v>0</v>
      </c>
      <c r="BD1790" s="1">
        <v>0</v>
      </c>
      <c r="BE1790" s="1" t="str">
        <f t="shared" si="1155"/>
        <v>SUOLA RUMBA TWILL CANVAS</v>
      </c>
      <c r="BF1790" s="1" t="str">
        <f t="shared" si="1133"/>
        <v>Bonis SpA</v>
      </c>
    </row>
    <row r="1791" spans="2:58" x14ac:dyDescent="0.25">
      <c r="B1791" s="1">
        <v>2557</v>
      </c>
      <c r="C1791" s="1" t="str">
        <f t="shared" si="1150"/>
        <v>RUMBA4187S7/C1</v>
      </c>
      <c r="E1791" s="1" t="str">
        <f t="shared" si="1158"/>
        <v>40</v>
      </c>
      <c r="F1791" s="1" t="str">
        <f t="shared" si="1122"/>
        <v>BONIS SPA</v>
      </c>
      <c r="G1791" s="1" t="str">
        <f t="shared" si="1148"/>
        <v>STOCK SCAFFALE MP</v>
      </c>
      <c r="H1791" s="1" t="str">
        <f>"DKBL"</f>
        <v>DKBL</v>
      </c>
      <c r="K1791" s="1">
        <v>1</v>
      </c>
      <c r="L1791" s="1" t="str">
        <f t="shared" si="1123"/>
        <v>01</v>
      </c>
      <c r="M1791" s="1" t="str">
        <f t="shared" si="1156"/>
        <v>409</v>
      </c>
      <c r="N1791" s="1" t="str">
        <f t="shared" si="1152"/>
        <v>013</v>
      </c>
      <c r="O1791" s="1" t="str">
        <f t="shared" si="1124"/>
        <v>00</v>
      </c>
      <c r="P1791" s="1" t="str">
        <f t="shared" si="1125"/>
        <v>S</v>
      </c>
      <c r="Q1791" s="1" t="str">
        <f t="shared" si="1126"/>
        <v>P</v>
      </c>
      <c r="R1791" s="1" t="str">
        <f t="shared" si="1127"/>
        <v>01</v>
      </c>
      <c r="S1791" s="1" t="str">
        <f t="shared" si="1149"/>
        <v>04</v>
      </c>
      <c r="T1791" s="1" t="str">
        <f t="shared" si="1128"/>
        <v>False</v>
      </c>
      <c r="U1791" s="1" t="str">
        <f t="shared" si="1129"/>
        <v>True</v>
      </c>
      <c r="V1791" s="1" t="str">
        <f>"U0023119"</f>
        <v>U0023119</v>
      </c>
      <c r="W1791" s="1">
        <v>1</v>
      </c>
      <c r="Y1791" s="1">
        <v>0</v>
      </c>
      <c r="Z1791" s="1">
        <v>0</v>
      </c>
      <c r="AB1791" s="1" t="str">
        <f t="shared" si="1157"/>
        <v>SMU</v>
      </c>
      <c r="AI1791" s="1" t="str">
        <f>"106"</f>
        <v>106</v>
      </c>
      <c r="AJ1791" s="1" t="str">
        <f t="shared" si="1153"/>
        <v>WOMAN</v>
      </c>
      <c r="AK1791" s="1" t="str">
        <f t="shared" si="1130"/>
        <v>PA</v>
      </c>
      <c r="AP1791" s="1" t="str">
        <f t="shared" si="1131"/>
        <v>False</v>
      </c>
      <c r="AR1791" s="1" t="str">
        <f t="shared" si="1154"/>
        <v>RUMBA</v>
      </c>
      <c r="AY1791" s="1" t="str">
        <f t="shared" si="1132"/>
        <v>PF</v>
      </c>
      <c r="AZ1791" s="1">
        <v>0</v>
      </c>
      <c r="BA1791" s="1">
        <v>0</v>
      </c>
      <c r="BB1791" s="1">
        <v>0</v>
      </c>
      <c r="BC1791" s="1">
        <v>0</v>
      </c>
      <c r="BD1791" s="1">
        <v>0</v>
      </c>
      <c r="BE1791" s="1" t="str">
        <f t="shared" si="1155"/>
        <v>SUOLA RUMBA TWILL CANVAS</v>
      </c>
      <c r="BF1791" s="1" t="str">
        <f t="shared" si="1133"/>
        <v>Bonis SpA</v>
      </c>
    </row>
    <row r="1792" spans="2:58" x14ac:dyDescent="0.25">
      <c r="B1792" s="1">
        <v>2557</v>
      </c>
      <c r="C1792" s="1" t="str">
        <f t="shared" si="1150"/>
        <v>RUMBA4187S7/C1</v>
      </c>
      <c r="E1792" s="1" t="str">
        <f t="shared" si="1158"/>
        <v>40</v>
      </c>
      <c r="F1792" s="1" t="str">
        <f t="shared" si="1122"/>
        <v>BONIS SPA</v>
      </c>
      <c r="G1792" s="1" t="str">
        <f t="shared" si="1148"/>
        <v>STOCK SCAFFALE MP</v>
      </c>
      <c r="H1792" s="1" t="str">
        <f>"DKBL"</f>
        <v>DKBL</v>
      </c>
      <c r="K1792" s="1">
        <v>3</v>
      </c>
      <c r="L1792" s="1" t="str">
        <f t="shared" si="1123"/>
        <v>01</v>
      </c>
      <c r="M1792" s="1" t="str">
        <f t="shared" si="1156"/>
        <v>409</v>
      </c>
      <c r="N1792" s="1" t="str">
        <f t="shared" si="1152"/>
        <v>013</v>
      </c>
      <c r="O1792" s="1" t="str">
        <f t="shared" si="1124"/>
        <v>00</v>
      </c>
      <c r="P1792" s="1" t="str">
        <f t="shared" si="1125"/>
        <v>S</v>
      </c>
      <c r="Q1792" s="1" t="str">
        <f t="shared" si="1126"/>
        <v>P</v>
      </c>
      <c r="R1792" s="1" t="str">
        <f t="shared" si="1127"/>
        <v>01</v>
      </c>
      <c r="S1792" s="1" t="str">
        <f t="shared" si="1149"/>
        <v>04</v>
      </c>
      <c r="T1792" s="1" t="str">
        <f t="shared" si="1128"/>
        <v>False</v>
      </c>
      <c r="U1792" s="1" t="str">
        <f t="shared" si="1129"/>
        <v>True</v>
      </c>
      <c r="V1792" s="1" t="str">
        <f>"U0022773"</f>
        <v>U0022773</v>
      </c>
      <c r="W1792" s="1">
        <v>1</v>
      </c>
      <c r="Y1792" s="1">
        <v>0</v>
      </c>
      <c r="Z1792" s="1">
        <v>0</v>
      </c>
      <c r="AB1792" s="1" t="str">
        <f t="shared" si="1157"/>
        <v>SMU</v>
      </c>
      <c r="AI1792" s="1" t="str">
        <f>"106"</f>
        <v>106</v>
      </c>
      <c r="AJ1792" s="1" t="str">
        <f t="shared" si="1153"/>
        <v>WOMAN</v>
      </c>
      <c r="AK1792" s="1" t="str">
        <f t="shared" si="1130"/>
        <v>PA</v>
      </c>
      <c r="AP1792" s="1" t="str">
        <f t="shared" si="1131"/>
        <v>False</v>
      </c>
      <c r="AR1792" s="1" t="str">
        <f t="shared" si="1154"/>
        <v>RUMBA</v>
      </c>
      <c r="AY1792" s="1" t="str">
        <f t="shared" si="1132"/>
        <v>PF</v>
      </c>
      <c r="AZ1792" s="1">
        <v>0</v>
      </c>
      <c r="BA1792" s="1">
        <v>0</v>
      </c>
      <c r="BB1792" s="1">
        <v>0</v>
      </c>
      <c r="BC1792" s="1">
        <v>0</v>
      </c>
      <c r="BD1792" s="1">
        <v>0</v>
      </c>
      <c r="BE1792" s="1" t="str">
        <f t="shared" si="1155"/>
        <v>SUOLA RUMBA TWILL CANVAS</v>
      </c>
      <c r="BF1792" s="1" t="str">
        <f t="shared" si="1133"/>
        <v>Bonis SpA</v>
      </c>
    </row>
    <row r="1793" spans="2:58" x14ac:dyDescent="0.25">
      <c r="B1793" s="1">
        <v>2557</v>
      </c>
      <c r="C1793" s="1" t="str">
        <f t="shared" si="1150"/>
        <v>RUMBA4187S7/C1</v>
      </c>
      <c r="E1793" s="1" t="str">
        <f>"39"</f>
        <v>39</v>
      </c>
      <c r="F1793" s="1" t="str">
        <f t="shared" si="1122"/>
        <v>BONIS SPA</v>
      </c>
      <c r="G1793" s="1" t="str">
        <f t="shared" si="1148"/>
        <v>STOCK SCAFFALE MP</v>
      </c>
      <c r="H1793" s="1" t="str">
        <f>"DKBL"</f>
        <v>DKBL</v>
      </c>
      <c r="K1793" s="1">
        <v>4</v>
      </c>
      <c r="L1793" s="1" t="str">
        <f t="shared" si="1123"/>
        <v>01</v>
      </c>
      <c r="M1793" s="1" t="str">
        <f t="shared" si="1156"/>
        <v>409</v>
      </c>
      <c r="N1793" s="1" t="str">
        <f t="shared" si="1152"/>
        <v>013</v>
      </c>
      <c r="O1793" s="1" t="str">
        <f t="shared" si="1124"/>
        <v>00</v>
      </c>
      <c r="P1793" s="1" t="str">
        <f t="shared" si="1125"/>
        <v>S</v>
      </c>
      <c r="Q1793" s="1" t="str">
        <f t="shared" si="1126"/>
        <v>P</v>
      </c>
      <c r="R1793" s="1" t="str">
        <f t="shared" si="1127"/>
        <v>01</v>
      </c>
      <c r="S1793" s="1" t="str">
        <f t="shared" si="1149"/>
        <v>04</v>
      </c>
      <c r="T1793" s="1" t="str">
        <f t="shared" si="1128"/>
        <v>False</v>
      </c>
      <c r="U1793" s="1" t="str">
        <f t="shared" si="1129"/>
        <v>True</v>
      </c>
      <c r="V1793" s="1" t="str">
        <f>"U0022773"</f>
        <v>U0022773</v>
      </c>
      <c r="W1793" s="1">
        <v>1</v>
      </c>
      <c r="Y1793" s="1">
        <v>0</v>
      </c>
      <c r="Z1793" s="1">
        <v>0</v>
      </c>
      <c r="AB1793" s="1" t="str">
        <f t="shared" si="1157"/>
        <v>SMU</v>
      </c>
      <c r="AI1793" s="1" t="str">
        <f>"F11"</f>
        <v>F11</v>
      </c>
      <c r="AJ1793" s="1" t="str">
        <f t="shared" si="1153"/>
        <v>WOMAN</v>
      </c>
      <c r="AK1793" s="1" t="str">
        <f t="shared" si="1130"/>
        <v>PA</v>
      </c>
      <c r="AP1793" s="1" t="str">
        <f t="shared" si="1131"/>
        <v>False</v>
      </c>
      <c r="AR1793" s="1" t="str">
        <f t="shared" si="1154"/>
        <v>RUMBA</v>
      </c>
      <c r="AY1793" s="1" t="str">
        <f t="shared" si="1132"/>
        <v>PF</v>
      </c>
      <c r="AZ1793" s="1">
        <v>0</v>
      </c>
      <c r="BA1793" s="1">
        <v>0</v>
      </c>
      <c r="BB1793" s="1">
        <v>0</v>
      </c>
      <c r="BC1793" s="1">
        <v>0</v>
      </c>
      <c r="BD1793" s="1">
        <v>0</v>
      </c>
      <c r="BE1793" s="1" t="str">
        <f t="shared" si="1155"/>
        <v>SUOLA RUMBA TWILL CANVAS</v>
      </c>
      <c r="BF1793" s="1" t="str">
        <f t="shared" si="1133"/>
        <v>Bonis SpA</v>
      </c>
    </row>
    <row r="1794" spans="2:58" x14ac:dyDescent="0.25">
      <c r="B1794" s="1">
        <v>2557</v>
      </c>
      <c r="C1794" s="1" t="str">
        <f t="shared" si="1150"/>
        <v>RUMBA4187S7/C1</v>
      </c>
      <c r="E1794" s="1" t="str">
        <f>"37"</f>
        <v>37</v>
      </c>
      <c r="F1794" s="1" t="str">
        <f t="shared" ref="F1794:F1857" si="1159">"BONIS SPA"</f>
        <v>BONIS SPA</v>
      </c>
      <c r="G1794" s="1" t="str">
        <f t="shared" si="1148"/>
        <v>STOCK SCAFFALE MP</v>
      </c>
      <c r="H1794" s="1" t="str">
        <f>"DKBL"</f>
        <v>DKBL</v>
      </c>
      <c r="K1794" s="1">
        <v>1</v>
      </c>
      <c r="L1794" s="1" t="str">
        <f t="shared" ref="L1794:L1857" si="1160">"01"</f>
        <v>01</v>
      </c>
      <c r="M1794" s="1" t="str">
        <f t="shared" si="1156"/>
        <v>409</v>
      </c>
      <c r="N1794" s="1" t="str">
        <f t="shared" si="1152"/>
        <v>013</v>
      </c>
      <c r="O1794" s="1" t="str">
        <f t="shared" ref="O1794:O1857" si="1161">"00"</f>
        <v>00</v>
      </c>
      <c r="P1794" s="1" t="str">
        <f t="shared" ref="P1794:P1857" si="1162">"S"</f>
        <v>S</v>
      </c>
      <c r="Q1794" s="1" t="str">
        <f t="shared" ref="Q1794:Q1857" si="1163">"P"</f>
        <v>P</v>
      </c>
      <c r="R1794" s="1" t="str">
        <f t="shared" ref="R1794:R1857" si="1164">"01"</f>
        <v>01</v>
      </c>
      <c r="S1794" s="1" t="str">
        <f t="shared" si="1149"/>
        <v>04</v>
      </c>
      <c r="T1794" s="1" t="str">
        <f t="shared" ref="T1794:T1857" si="1165">"False"</f>
        <v>False</v>
      </c>
      <c r="U1794" s="1" t="str">
        <f t="shared" ref="U1794:U1857" si="1166">"True"</f>
        <v>True</v>
      </c>
      <c r="V1794" s="1" t="str">
        <f>"U0022773"</f>
        <v>U0022773</v>
      </c>
      <c r="W1794" s="1">
        <v>1</v>
      </c>
      <c r="Y1794" s="1">
        <v>0</v>
      </c>
      <c r="Z1794" s="1">
        <v>0</v>
      </c>
      <c r="AB1794" s="1" t="str">
        <f t="shared" si="1157"/>
        <v>SMU</v>
      </c>
      <c r="AI1794" s="1" t="str">
        <f>"F11"</f>
        <v>F11</v>
      </c>
      <c r="AJ1794" s="1" t="str">
        <f t="shared" si="1153"/>
        <v>WOMAN</v>
      </c>
      <c r="AK1794" s="1" t="str">
        <f t="shared" ref="AK1794:AK1857" si="1167">"PA"</f>
        <v>PA</v>
      </c>
      <c r="AP1794" s="1" t="str">
        <f t="shared" ref="AP1794:AP1857" si="1168">"False"</f>
        <v>False</v>
      </c>
      <c r="AR1794" s="1" t="str">
        <f t="shared" si="1154"/>
        <v>RUMBA</v>
      </c>
      <c r="AY1794" s="1" t="str">
        <f t="shared" ref="AY1794:AY1857" si="1169">"PF"</f>
        <v>PF</v>
      </c>
      <c r="AZ1794" s="1">
        <v>0</v>
      </c>
      <c r="BA1794" s="1">
        <v>0</v>
      </c>
      <c r="BB1794" s="1">
        <v>0</v>
      </c>
      <c r="BC1794" s="1">
        <v>0</v>
      </c>
      <c r="BD1794" s="1">
        <v>0</v>
      </c>
      <c r="BE1794" s="1" t="str">
        <f t="shared" si="1155"/>
        <v>SUOLA RUMBA TWILL CANVAS</v>
      </c>
      <c r="BF1794" s="1" t="str">
        <f t="shared" ref="BF1794:BF1857" si="1170">"Bonis SpA"</f>
        <v>Bonis SpA</v>
      </c>
    </row>
    <row r="1795" spans="2:58" x14ac:dyDescent="0.25">
      <c r="B1795" s="1">
        <v>2557</v>
      </c>
      <c r="C1795" s="1" t="str">
        <f t="shared" si="1150"/>
        <v>RUMBA4187S7/C1</v>
      </c>
      <c r="E1795" s="1" t="str">
        <f>"39"</f>
        <v>39</v>
      </c>
      <c r="F1795" s="1" t="str">
        <f t="shared" si="1159"/>
        <v>BONIS SPA</v>
      </c>
      <c r="G1795" s="1" t="str">
        <f t="shared" si="1148"/>
        <v>STOCK SCAFFALE MP</v>
      </c>
      <c r="H1795" s="1" t="str">
        <f>"RED"</f>
        <v>RED</v>
      </c>
      <c r="K1795" s="1">
        <v>4</v>
      </c>
      <c r="L1795" s="1" t="str">
        <f t="shared" si="1160"/>
        <v>01</v>
      </c>
      <c r="M1795" s="1" t="str">
        <f t="shared" si="1156"/>
        <v>409</v>
      </c>
      <c r="N1795" s="1" t="str">
        <f t="shared" si="1152"/>
        <v>013</v>
      </c>
      <c r="O1795" s="1" t="str">
        <f t="shared" si="1161"/>
        <v>00</v>
      </c>
      <c r="P1795" s="1" t="str">
        <f t="shared" si="1162"/>
        <v>S</v>
      </c>
      <c r="Q1795" s="1" t="str">
        <f t="shared" si="1163"/>
        <v>P</v>
      </c>
      <c r="R1795" s="1" t="str">
        <f t="shared" si="1164"/>
        <v>01</v>
      </c>
      <c r="S1795" s="1" t="str">
        <f t="shared" si="1149"/>
        <v>04</v>
      </c>
      <c r="T1795" s="1" t="str">
        <f t="shared" si="1165"/>
        <v>False</v>
      </c>
      <c r="U1795" s="1" t="str">
        <f t="shared" si="1166"/>
        <v>True</v>
      </c>
      <c r="V1795" s="1" t="str">
        <f>"U0028156"</f>
        <v>U0028156</v>
      </c>
      <c r="W1795" s="1">
        <v>1</v>
      </c>
      <c r="Y1795" s="1">
        <v>0</v>
      </c>
      <c r="Z1795" s="1">
        <v>0</v>
      </c>
      <c r="AB1795" s="1" t="str">
        <f t="shared" si="1157"/>
        <v>SMU</v>
      </c>
      <c r="AI1795" s="1" t="str">
        <f>"106"</f>
        <v>106</v>
      </c>
      <c r="AJ1795" s="1" t="str">
        <f t="shared" si="1153"/>
        <v>WOMAN</v>
      </c>
      <c r="AK1795" s="1" t="str">
        <f t="shared" si="1167"/>
        <v>PA</v>
      </c>
      <c r="AP1795" s="1" t="str">
        <f t="shared" si="1168"/>
        <v>False</v>
      </c>
      <c r="AR1795" s="1" t="str">
        <f t="shared" si="1154"/>
        <v>RUMBA</v>
      </c>
      <c r="AY1795" s="1" t="str">
        <f t="shared" si="1169"/>
        <v>PF</v>
      </c>
      <c r="AZ1795" s="1">
        <v>0</v>
      </c>
      <c r="BA1795" s="1">
        <v>0</v>
      </c>
      <c r="BB1795" s="1">
        <v>0</v>
      </c>
      <c r="BC1795" s="1">
        <v>0</v>
      </c>
      <c r="BD1795" s="1">
        <v>0</v>
      </c>
      <c r="BE1795" s="1" t="str">
        <f t="shared" si="1155"/>
        <v>SUOLA RUMBA TWILL CANVAS</v>
      </c>
      <c r="BF1795" s="1" t="str">
        <f t="shared" si="1170"/>
        <v>Bonis SpA</v>
      </c>
    </row>
    <row r="1796" spans="2:58" x14ac:dyDescent="0.25">
      <c r="B1796" s="1">
        <v>2557</v>
      </c>
      <c r="C1796" s="1" t="str">
        <f t="shared" si="1150"/>
        <v>RUMBA4187S7/C1</v>
      </c>
      <c r="E1796" s="1" t="str">
        <f>"38"</f>
        <v>38</v>
      </c>
      <c r="F1796" s="1" t="str">
        <f t="shared" si="1159"/>
        <v>BONIS SPA</v>
      </c>
      <c r="G1796" s="1" t="str">
        <f t="shared" si="1148"/>
        <v>STOCK SCAFFALE MP</v>
      </c>
      <c r="H1796" s="1" t="str">
        <f>"RED"</f>
        <v>RED</v>
      </c>
      <c r="K1796" s="1">
        <v>2</v>
      </c>
      <c r="L1796" s="1" t="str">
        <f t="shared" si="1160"/>
        <v>01</v>
      </c>
      <c r="M1796" s="1" t="str">
        <f t="shared" si="1156"/>
        <v>409</v>
      </c>
      <c r="N1796" s="1" t="str">
        <f t="shared" si="1152"/>
        <v>013</v>
      </c>
      <c r="O1796" s="1" t="str">
        <f t="shared" si="1161"/>
        <v>00</v>
      </c>
      <c r="P1796" s="1" t="str">
        <f t="shared" si="1162"/>
        <v>S</v>
      </c>
      <c r="Q1796" s="1" t="str">
        <f t="shared" si="1163"/>
        <v>P</v>
      </c>
      <c r="R1796" s="1" t="str">
        <f t="shared" si="1164"/>
        <v>01</v>
      </c>
      <c r="S1796" s="1" t="str">
        <f t="shared" si="1149"/>
        <v>04</v>
      </c>
      <c r="T1796" s="1" t="str">
        <f t="shared" si="1165"/>
        <v>False</v>
      </c>
      <c r="U1796" s="1" t="str">
        <f t="shared" si="1166"/>
        <v>True</v>
      </c>
      <c r="V1796" s="1" t="str">
        <f>"U0028156"</f>
        <v>U0028156</v>
      </c>
      <c r="W1796" s="1">
        <v>1</v>
      </c>
      <c r="Y1796" s="1">
        <v>0</v>
      </c>
      <c r="Z1796" s="1">
        <v>0</v>
      </c>
      <c r="AB1796" s="1" t="str">
        <f t="shared" si="1157"/>
        <v>SMU</v>
      </c>
      <c r="AI1796" s="1" t="str">
        <f>"F06"</f>
        <v>F06</v>
      </c>
      <c r="AJ1796" s="1" t="str">
        <f t="shared" si="1153"/>
        <v>WOMAN</v>
      </c>
      <c r="AK1796" s="1" t="str">
        <f t="shared" si="1167"/>
        <v>PA</v>
      </c>
      <c r="AP1796" s="1" t="str">
        <f t="shared" si="1168"/>
        <v>False</v>
      </c>
      <c r="AR1796" s="1" t="str">
        <f t="shared" si="1154"/>
        <v>RUMBA</v>
      </c>
      <c r="AY1796" s="1" t="str">
        <f t="shared" si="1169"/>
        <v>PF</v>
      </c>
      <c r="AZ1796" s="1">
        <v>0</v>
      </c>
      <c r="BA1796" s="1">
        <v>0</v>
      </c>
      <c r="BB1796" s="1">
        <v>0</v>
      </c>
      <c r="BC1796" s="1">
        <v>0</v>
      </c>
      <c r="BD1796" s="1">
        <v>0</v>
      </c>
      <c r="BE1796" s="1" t="str">
        <f t="shared" si="1155"/>
        <v>SUOLA RUMBA TWILL CANVAS</v>
      </c>
      <c r="BF1796" s="1" t="str">
        <f t="shared" si="1170"/>
        <v>Bonis SpA</v>
      </c>
    </row>
    <row r="1797" spans="2:58" x14ac:dyDescent="0.25">
      <c r="B1797" s="1">
        <v>2557</v>
      </c>
      <c r="C1797" s="1" t="str">
        <f t="shared" si="1150"/>
        <v>RUMBA4187S7/C1</v>
      </c>
      <c r="E1797" s="1" t="str">
        <f>"41"</f>
        <v>41</v>
      </c>
      <c r="F1797" s="1" t="str">
        <f t="shared" si="1159"/>
        <v>BONIS SPA</v>
      </c>
      <c r="G1797" s="1" t="str">
        <f t="shared" si="1148"/>
        <v>STOCK SCAFFALE MP</v>
      </c>
      <c r="H1797" s="1" t="str">
        <f>"RED"</f>
        <v>RED</v>
      </c>
      <c r="K1797" s="1">
        <v>1</v>
      </c>
      <c r="L1797" s="1" t="str">
        <f t="shared" si="1160"/>
        <v>01</v>
      </c>
      <c r="M1797" s="1" t="str">
        <f t="shared" si="1156"/>
        <v>409</v>
      </c>
      <c r="N1797" s="1" t="str">
        <f t="shared" si="1152"/>
        <v>013</v>
      </c>
      <c r="O1797" s="1" t="str">
        <f t="shared" si="1161"/>
        <v>00</v>
      </c>
      <c r="P1797" s="1" t="str">
        <f t="shared" si="1162"/>
        <v>S</v>
      </c>
      <c r="Q1797" s="1" t="str">
        <f t="shared" si="1163"/>
        <v>P</v>
      </c>
      <c r="R1797" s="1" t="str">
        <f t="shared" si="1164"/>
        <v>01</v>
      </c>
      <c r="S1797" s="1" t="str">
        <f t="shared" si="1149"/>
        <v>04</v>
      </c>
      <c r="T1797" s="1" t="str">
        <f t="shared" si="1165"/>
        <v>False</v>
      </c>
      <c r="U1797" s="1" t="str">
        <f t="shared" si="1166"/>
        <v>True</v>
      </c>
      <c r="V1797" s="1" t="str">
        <f>"U0028156"</f>
        <v>U0028156</v>
      </c>
      <c r="W1797" s="1">
        <v>1</v>
      </c>
      <c r="Y1797" s="1">
        <v>0</v>
      </c>
      <c r="Z1797" s="1">
        <v>0</v>
      </c>
      <c r="AB1797" s="1" t="str">
        <f t="shared" si="1157"/>
        <v>SMU</v>
      </c>
      <c r="AI1797" s="1" t="str">
        <f>"F11"</f>
        <v>F11</v>
      </c>
      <c r="AJ1797" s="1" t="str">
        <f t="shared" si="1153"/>
        <v>WOMAN</v>
      </c>
      <c r="AK1797" s="1" t="str">
        <f t="shared" si="1167"/>
        <v>PA</v>
      </c>
      <c r="AP1797" s="1" t="str">
        <f t="shared" si="1168"/>
        <v>False</v>
      </c>
      <c r="AR1797" s="1" t="str">
        <f t="shared" si="1154"/>
        <v>RUMBA</v>
      </c>
      <c r="AY1797" s="1" t="str">
        <f t="shared" si="1169"/>
        <v>PF</v>
      </c>
      <c r="AZ1797" s="1">
        <v>0</v>
      </c>
      <c r="BA1797" s="1">
        <v>0</v>
      </c>
      <c r="BB1797" s="1">
        <v>0</v>
      </c>
      <c r="BC1797" s="1">
        <v>0</v>
      </c>
      <c r="BD1797" s="1">
        <v>0</v>
      </c>
      <c r="BE1797" s="1" t="str">
        <f t="shared" si="1155"/>
        <v>SUOLA RUMBA TWILL CANVAS</v>
      </c>
      <c r="BF1797" s="1" t="str">
        <f t="shared" si="1170"/>
        <v>Bonis SpA</v>
      </c>
    </row>
    <row r="1798" spans="2:58" x14ac:dyDescent="0.25">
      <c r="B1798" s="1">
        <v>2557</v>
      </c>
      <c r="C1798" s="1" t="str">
        <f t="shared" si="1150"/>
        <v>RUMBA4187S7/C1</v>
      </c>
      <c r="E1798" s="1" t="str">
        <f>"40"</f>
        <v>40</v>
      </c>
      <c r="F1798" s="1" t="str">
        <f t="shared" si="1159"/>
        <v>BONIS SPA</v>
      </c>
      <c r="G1798" s="1" t="str">
        <f t="shared" si="1148"/>
        <v>STOCK SCAFFALE MP</v>
      </c>
      <c r="H1798" s="1" t="str">
        <f>"RED"</f>
        <v>RED</v>
      </c>
      <c r="K1798" s="1">
        <v>2</v>
      </c>
      <c r="L1798" s="1" t="str">
        <f t="shared" si="1160"/>
        <v>01</v>
      </c>
      <c r="M1798" s="1" t="str">
        <f t="shared" si="1156"/>
        <v>409</v>
      </c>
      <c r="N1798" s="1" t="str">
        <f t="shared" si="1152"/>
        <v>013</v>
      </c>
      <c r="O1798" s="1" t="str">
        <f t="shared" si="1161"/>
        <v>00</v>
      </c>
      <c r="P1798" s="1" t="str">
        <f t="shared" si="1162"/>
        <v>S</v>
      </c>
      <c r="Q1798" s="1" t="str">
        <f t="shared" si="1163"/>
        <v>P</v>
      </c>
      <c r="R1798" s="1" t="str">
        <f t="shared" si="1164"/>
        <v>01</v>
      </c>
      <c r="S1798" s="1" t="str">
        <f t="shared" si="1149"/>
        <v>04</v>
      </c>
      <c r="T1798" s="1" t="str">
        <f t="shared" si="1165"/>
        <v>False</v>
      </c>
      <c r="U1798" s="1" t="str">
        <f t="shared" si="1166"/>
        <v>True</v>
      </c>
      <c r="V1798" s="1" t="str">
        <f>"U0028156"</f>
        <v>U0028156</v>
      </c>
      <c r="W1798" s="1">
        <v>1</v>
      </c>
      <c r="Y1798" s="1">
        <v>0</v>
      </c>
      <c r="Z1798" s="1">
        <v>0</v>
      </c>
      <c r="AB1798" s="1" t="str">
        <f t="shared" si="1157"/>
        <v>SMU</v>
      </c>
      <c r="AI1798" s="1" t="str">
        <f>"106"</f>
        <v>106</v>
      </c>
      <c r="AJ1798" s="1" t="str">
        <f t="shared" si="1153"/>
        <v>WOMAN</v>
      </c>
      <c r="AK1798" s="1" t="str">
        <f t="shared" si="1167"/>
        <v>PA</v>
      </c>
      <c r="AP1798" s="1" t="str">
        <f t="shared" si="1168"/>
        <v>False</v>
      </c>
      <c r="AR1798" s="1" t="str">
        <f t="shared" si="1154"/>
        <v>RUMBA</v>
      </c>
      <c r="AY1798" s="1" t="str">
        <f t="shared" si="1169"/>
        <v>PF</v>
      </c>
      <c r="AZ1798" s="1">
        <v>0</v>
      </c>
      <c r="BA1798" s="1">
        <v>0</v>
      </c>
      <c r="BB1798" s="1">
        <v>0</v>
      </c>
      <c r="BC1798" s="1">
        <v>0</v>
      </c>
      <c r="BD1798" s="1">
        <v>0</v>
      </c>
      <c r="BE1798" s="1" t="str">
        <f t="shared" si="1155"/>
        <v>SUOLA RUMBA TWILL CANVAS</v>
      </c>
      <c r="BF1798" s="1" t="str">
        <f t="shared" si="1170"/>
        <v>Bonis SpA</v>
      </c>
    </row>
    <row r="1799" spans="2:58" x14ac:dyDescent="0.25">
      <c r="B1799" s="1">
        <v>2557</v>
      </c>
      <c r="C1799" s="1" t="str">
        <f t="shared" si="1150"/>
        <v>RUMBA4187S7/C1</v>
      </c>
      <c r="E1799" s="1" t="str">
        <f>"40"</f>
        <v>40</v>
      </c>
      <c r="F1799" s="1" t="str">
        <f t="shared" si="1159"/>
        <v>BONIS SPA</v>
      </c>
      <c r="G1799" s="1" t="str">
        <f t="shared" si="1148"/>
        <v>STOCK SCAFFALE MP</v>
      </c>
      <c r="H1799" s="1" t="str">
        <f>"RED"</f>
        <v>RED</v>
      </c>
      <c r="K1799" s="1">
        <v>3</v>
      </c>
      <c r="L1799" s="1" t="str">
        <f t="shared" si="1160"/>
        <v>01</v>
      </c>
      <c r="M1799" s="1" t="str">
        <f t="shared" si="1156"/>
        <v>409</v>
      </c>
      <c r="N1799" s="1" t="str">
        <f t="shared" si="1152"/>
        <v>013</v>
      </c>
      <c r="O1799" s="1" t="str">
        <f t="shared" si="1161"/>
        <v>00</v>
      </c>
      <c r="P1799" s="1" t="str">
        <f t="shared" si="1162"/>
        <v>S</v>
      </c>
      <c r="Q1799" s="1" t="str">
        <f t="shared" si="1163"/>
        <v>P</v>
      </c>
      <c r="R1799" s="1" t="str">
        <f t="shared" si="1164"/>
        <v>01</v>
      </c>
      <c r="S1799" s="1" t="str">
        <f t="shared" si="1149"/>
        <v>04</v>
      </c>
      <c r="T1799" s="1" t="str">
        <f t="shared" si="1165"/>
        <v>False</v>
      </c>
      <c r="U1799" s="1" t="str">
        <f t="shared" si="1166"/>
        <v>True</v>
      </c>
      <c r="V1799" s="1" t="str">
        <f>"U0028171"</f>
        <v>U0028171</v>
      </c>
      <c r="W1799" s="1">
        <v>1</v>
      </c>
      <c r="Y1799" s="1">
        <v>0</v>
      </c>
      <c r="Z1799" s="1">
        <v>0</v>
      </c>
      <c r="AB1799" s="1" t="str">
        <f t="shared" si="1157"/>
        <v>SMU</v>
      </c>
      <c r="AI1799" s="1" t="str">
        <f>"106"</f>
        <v>106</v>
      </c>
      <c r="AJ1799" s="1" t="str">
        <f t="shared" si="1153"/>
        <v>WOMAN</v>
      </c>
      <c r="AK1799" s="1" t="str">
        <f t="shared" si="1167"/>
        <v>PA</v>
      </c>
      <c r="AP1799" s="1" t="str">
        <f t="shared" si="1168"/>
        <v>False</v>
      </c>
      <c r="AR1799" s="1" t="str">
        <f t="shared" si="1154"/>
        <v>RUMBA</v>
      </c>
      <c r="AY1799" s="1" t="str">
        <f t="shared" si="1169"/>
        <v>PF</v>
      </c>
      <c r="AZ1799" s="1">
        <v>0</v>
      </c>
      <c r="BA1799" s="1">
        <v>0</v>
      </c>
      <c r="BB1799" s="1">
        <v>0</v>
      </c>
      <c r="BC1799" s="1">
        <v>0</v>
      </c>
      <c r="BD1799" s="1">
        <v>0</v>
      </c>
      <c r="BE1799" s="1" t="str">
        <f t="shared" si="1155"/>
        <v>SUOLA RUMBA TWILL CANVAS</v>
      </c>
      <c r="BF1799" s="1" t="str">
        <f t="shared" si="1170"/>
        <v>Bonis SpA</v>
      </c>
    </row>
    <row r="1800" spans="2:58" x14ac:dyDescent="0.25">
      <c r="B1800" s="1">
        <v>2557</v>
      </c>
      <c r="C1800" s="1" t="str">
        <f t="shared" si="1150"/>
        <v>RUMBA4187S7/C1</v>
      </c>
      <c r="E1800" s="1" t="str">
        <f>"37"</f>
        <v>37</v>
      </c>
      <c r="F1800" s="1" t="str">
        <f t="shared" si="1159"/>
        <v>BONIS SPA</v>
      </c>
      <c r="G1800" s="1" t="str">
        <f t="shared" si="1148"/>
        <v>STOCK SCAFFALE MP</v>
      </c>
      <c r="H1800" s="1" t="str">
        <f>"BLK"</f>
        <v>BLK</v>
      </c>
      <c r="K1800" s="1">
        <v>6</v>
      </c>
      <c r="L1800" s="1" t="str">
        <f t="shared" si="1160"/>
        <v>01</v>
      </c>
      <c r="M1800" s="1" t="str">
        <f t="shared" si="1156"/>
        <v>409</v>
      </c>
      <c r="N1800" s="1" t="str">
        <f t="shared" si="1152"/>
        <v>013</v>
      </c>
      <c r="O1800" s="1" t="str">
        <f t="shared" si="1161"/>
        <v>00</v>
      </c>
      <c r="P1800" s="1" t="str">
        <f t="shared" si="1162"/>
        <v>S</v>
      </c>
      <c r="Q1800" s="1" t="str">
        <f t="shared" si="1163"/>
        <v>P</v>
      </c>
      <c r="R1800" s="1" t="str">
        <f t="shared" si="1164"/>
        <v>01</v>
      </c>
      <c r="S1800" s="1" t="str">
        <f t="shared" si="1149"/>
        <v>04</v>
      </c>
      <c r="T1800" s="1" t="str">
        <f t="shared" si="1165"/>
        <v>False</v>
      </c>
      <c r="U1800" s="1" t="str">
        <f t="shared" si="1166"/>
        <v>True</v>
      </c>
      <c r="V1800" s="1" t="str">
        <f>"U0028171"</f>
        <v>U0028171</v>
      </c>
      <c r="W1800" s="1">
        <v>1</v>
      </c>
      <c r="Y1800" s="1">
        <v>0</v>
      </c>
      <c r="Z1800" s="1">
        <v>0</v>
      </c>
      <c r="AB1800" s="1" t="str">
        <f t="shared" si="1157"/>
        <v>SMU</v>
      </c>
      <c r="AI1800" s="1" t="str">
        <f t="shared" ref="AI1800:AI1806" si="1171">"F11"</f>
        <v>F11</v>
      </c>
      <c r="AJ1800" s="1" t="str">
        <f t="shared" si="1153"/>
        <v>WOMAN</v>
      </c>
      <c r="AK1800" s="1" t="str">
        <f t="shared" si="1167"/>
        <v>PA</v>
      </c>
      <c r="AP1800" s="1" t="str">
        <f t="shared" si="1168"/>
        <v>False</v>
      </c>
      <c r="AR1800" s="1" t="str">
        <f t="shared" si="1154"/>
        <v>RUMBA</v>
      </c>
      <c r="AY1800" s="1" t="str">
        <f t="shared" si="1169"/>
        <v>PF</v>
      </c>
      <c r="AZ1800" s="1">
        <v>0</v>
      </c>
      <c r="BA1800" s="1">
        <v>0</v>
      </c>
      <c r="BB1800" s="1">
        <v>0</v>
      </c>
      <c r="BC1800" s="1">
        <v>0</v>
      </c>
      <c r="BD1800" s="1">
        <v>0</v>
      </c>
      <c r="BE1800" s="1" t="str">
        <f t="shared" si="1155"/>
        <v>SUOLA RUMBA TWILL CANVAS</v>
      </c>
      <c r="BF1800" s="1" t="str">
        <f t="shared" si="1170"/>
        <v>Bonis SpA</v>
      </c>
    </row>
    <row r="1801" spans="2:58" x14ac:dyDescent="0.25">
      <c r="B1801" s="1">
        <v>2557</v>
      </c>
      <c r="C1801" s="1" t="str">
        <f t="shared" si="1150"/>
        <v>RUMBA4187S7/C1</v>
      </c>
      <c r="E1801" s="1" t="str">
        <f>"36"</f>
        <v>36</v>
      </c>
      <c r="F1801" s="1" t="str">
        <f t="shared" si="1159"/>
        <v>BONIS SPA</v>
      </c>
      <c r="G1801" s="1" t="str">
        <f t="shared" si="1148"/>
        <v>STOCK SCAFFALE MP</v>
      </c>
      <c r="H1801" s="1" t="str">
        <f t="shared" ref="H1801:H1814" si="1172">"BLUE"</f>
        <v>BLUE</v>
      </c>
      <c r="K1801" s="1">
        <v>3</v>
      </c>
      <c r="L1801" s="1" t="str">
        <f t="shared" si="1160"/>
        <v>01</v>
      </c>
      <c r="M1801" s="1" t="str">
        <f t="shared" si="1156"/>
        <v>409</v>
      </c>
      <c r="N1801" s="1" t="str">
        <f t="shared" si="1152"/>
        <v>013</v>
      </c>
      <c r="O1801" s="1" t="str">
        <f t="shared" si="1161"/>
        <v>00</v>
      </c>
      <c r="P1801" s="1" t="str">
        <f t="shared" si="1162"/>
        <v>S</v>
      </c>
      <c r="Q1801" s="1" t="str">
        <f t="shared" si="1163"/>
        <v>P</v>
      </c>
      <c r="R1801" s="1" t="str">
        <f t="shared" si="1164"/>
        <v>01</v>
      </c>
      <c r="S1801" s="1" t="str">
        <f t="shared" si="1149"/>
        <v>04</v>
      </c>
      <c r="T1801" s="1" t="str">
        <f t="shared" si="1165"/>
        <v>False</v>
      </c>
      <c r="U1801" s="1" t="str">
        <f t="shared" si="1166"/>
        <v>True</v>
      </c>
      <c r="V1801" s="1" t="str">
        <f>"U0028165"</f>
        <v>U0028165</v>
      </c>
      <c r="W1801" s="1">
        <v>1</v>
      </c>
      <c r="Y1801" s="1">
        <v>0</v>
      </c>
      <c r="Z1801" s="1">
        <v>0</v>
      </c>
      <c r="AB1801" s="1" t="str">
        <f t="shared" si="1157"/>
        <v>SMU</v>
      </c>
      <c r="AI1801" s="1" t="str">
        <f t="shared" si="1171"/>
        <v>F11</v>
      </c>
      <c r="AJ1801" s="1" t="str">
        <f t="shared" si="1153"/>
        <v>WOMAN</v>
      </c>
      <c r="AK1801" s="1" t="str">
        <f t="shared" si="1167"/>
        <v>PA</v>
      </c>
      <c r="AP1801" s="1" t="str">
        <f t="shared" si="1168"/>
        <v>False</v>
      </c>
      <c r="AR1801" s="1" t="str">
        <f t="shared" si="1154"/>
        <v>RUMBA</v>
      </c>
      <c r="AY1801" s="1" t="str">
        <f t="shared" si="1169"/>
        <v>PF</v>
      </c>
      <c r="AZ1801" s="1">
        <v>0</v>
      </c>
      <c r="BA1801" s="1">
        <v>0</v>
      </c>
      <c r="BB1801" s="1">
        <v>0</v>
      </c>
      <c r="BC1801" s="1">
        <v>0</v>
      </c>
      <c r="BD1801" s="1">
        <v>0</v>
      </c>
      <c r="BE1801" s="1" t="str">
        <f t="shared" si="1155"/>
        <v>SUOLA RUMBA TWILL CANVAS</v>
      </c>
      <c r="BF1801" s="1" t="str">
        <f t="shared" si="1170"/>
        <v>Bonis SpA</v>
      </c>
    </row>
    <row r="1802" spans="2:58" x14ac:dyDescent="0.25">
      <c r="B1802" s="1">
        <v>2557</v>
      </c>
      <c r="C1802" s="1" t="str">
        <f t="shared" si="1150"/>
        <v>RUMBA4187S7/C1</v>
      </c>
      <c r="E1802" s="1" t="str">
        <f>"39"</f>
        <v>39</v>
      </c>
      <c r="F1802" s="1" t="str">
        <f t="shared" si="1159"/>
        <v>BONIS SPA</v>
      </c>
      <c r="G1802" s="1" t="str">
        <f t="shared" si="1148"/>
        <v>STOCK SCAFFALE MP</v>
      </c>
      <c r="H1802" s="1" t="str">
        <f t="shared" si="1172"/>
        <v>BLUE</v>
      </c>
      <c r="K1802" s="1">
        <v>5</v>
      </c>
      <c r="L1802" s="1" t="str">
        <f t="shared" si="1160"/>
        <v>01</v>
      </c>
      <c r="M1802" s="1" t="str">
        <f t="shared" si="1156"/>
        <v>409</v>
      </c>
      <c r="N1802" s="1" t="str">
        <f t="shared" si="1152"/>
        <v>013</v>
      </c>
      <c r="O1802" s="1" t="str">
        <f t="shared" si="1161"/>
        <v>00</v>
      </c>
      <c r="P1802" s="1" t="str">
        <f t="shared" si="1162"/>
        <v>S</v>
      </c>
      <c r="Q1802" s="1" t="str">
        <f t="shared" si="1163"/>
        <v>P</v>
      </c>
      <c r="R1802" s="1" t="str">
        <f t="shared" si="1164"/>
        <v>01</v>
      </c>
      <c r="S1802" s="1" t="str">
        <f t="shared" si="1149"/>
        <v>04</v>
      </c>
      <c r="T1802" s="1" t="str">
        <f t="shared" si="1165"/>
        <v>False</v>
      </c>
      <c r="U1802" s="1" t="str">
        <f t="shared" si="1166"/>
        <v>True</v>
      </c>
      <c r="V1802" s="1" t="str">
        <f>"U0028165"</f>
        <v>U0028165</v>
      </c>
      <c r="W1802" s="1">
        <v>1</v>
      </c>
      <c r="Y1802" s="1">
        <v>0</v>
      </c>
      <c r="Z1802" s="1">
        <v>0</v>
      </c>
      <c r="AB1802" s="1" t="str">
        <f t="shared" si="1157"/>
        <v>SMU</v>
      </c>
      <c r="AI1802" s="1" t="str">
        <f t="shared" si="1171"/>
        <v>F11</v>
      </c>
      <c r="AJ1802" s="1" t="str">
        <f t="shared" si="1153"/>
        <v>WOMAN</v>
      </c>
      <c r="AK1802" s="1" t="str">
        <f t="shared" si="1167"/>
        <v>PA</v>
      </c>
      <c r="AP1802" s="1" t="str">
        <f t="shared" si="1168"/>
        <v>False</v>
      </c>
      <c r="AR1802" s="1" t="str">
        <f t="shared" si="1154"/>
        <v>RUMBA</v>
      </c>
      <c r="AY1802" s="1" t="str">
        <f t="shared" si="1169"/>
        <v>PF</v>
      </c>
      <c r="AZ1802" s="1">
        <v>0</v>
      </c>
      <c r="BA1802" s="1">
        <v>0</v>
      </c>
      <c r="BB1802" s="1">
        <v>0</v>
      </c>
      <c r="BC1802" s="1">
        <v>0</v>
      </c>
      <c r="BD1802" s="1">
        <v>0</v>
      </c>
      <c r="BE1802" s="1" t="str">
        <f t="shared" si="1155"/>
        <v>SUOLA RUMBA TWILL CANVAS</v>
      </c>
      <c r="BF1802" s="1" t="str">
        <f t="shared" si="1170"/>
        <v>Bonis SpA</v>
      </c>
    </row>
    <row r="1803" spans="2:58" x14ac:dyDescent="0.25">
      <c r="B1803" s="1">
        <v>2557</v>
      </c>
      <c r="C1803" s="1" t="str">
        <f t="shared" si="1150"/>
        <v>RUMBA4187S7/C1</v>
      </c>
      <c r="E1803" s="1" t="str">
        <f>"38"</f>
        <v>38</v>
      </c>
      <c r="F1803" s="1" t="str">
        <f t="shared" si="1159"/>
        <v>BONIS SPA</v>
      </c>
      <c r="G1803" s="1" t="str">
        <f t="shared" si="1148"/>
        <v>STOCK SCAFFALE MP</v>
      </c>
      <c r="H1803" s="1" t="str">
        <f t="shared" si="1172"/>
        <v>BLUE</v>
      </c>
      <c r="K1803" s="1">
        <v>1</v>
      </c>
      <c r="L1803" s="1" t="str">
        <f t="shared" si="1160"/>
        <v>01</v>
      </c>
      <c r="M1803" s="1" t="str">
        <f t="shared" si="1156"/>
        <v>409</v>
      </c>
      <c r="N1803" s="1" t="str">
        <f t="shared" si="1152"/>
        <v>013</v>
      </c>
      <c r="O1803" s="1" t="str">
        <f t="shared" si="1161"/>
        <v>00</v>
      </c>
      <c r="P1803" s="1" t="str">
        <f t="shared" si="1162"/>
        <v>S</v>
      </c>
      <c r="Q1803" s="1" t="str">
        <f t="shared" si="1163"/>
        <v>P</v>
      </c>
      <c r="R1803" s="1" t="str">
        <f t="shared" si="1164"/>
        <v>01</v>
      </c>
      <c r="S1803" s="1" t="str">
        <f t="shared" si="1149"/>
        <v>04</v>
      </c>
      <c r="T1803" s="1" t="str">
        <f t="shared" si="1165"/>
        <v>False</v>
      </c>
      <c r="U1803" s="1" t="str">
        <f t="shared" si="1166"/>
        <v>True</v>
      </c>
      <c r="V1803" s="1" t="str">
        <f>"U0028165"</f>
        <v>U0028165</v>
      </c>
      <c r="W1803" s="1">
        <v>1</v>
      </c>
      <c r="Y1803" s="1">
        <v>0</v>
      </c>
      <c r="Z1803" s="1">
        <v>0</v>
      </c>
      <c r="AB1803" s="1" t="str">
        <f t="shared" si="1157"/>
        <v>SMU</v>
      </c>
      <c r="AI1803" s="1" t="str">
        <f t="shared" si="1171"/>
        <v>F11</v>
      </c>
      <c r="AJ1803" s="1" t="str">
        <f t="shared" si="1153"/>
        <v>WOMAN</v>
      </c>
      <c r="AK1803" s="1" t="str">
        <f t="shared" si="1167"/>
        <v>PA</v>
      </c>
      <c r="AP1803" s="1" t="str">
        <f t="shared" si="1168"/>
        <v>False</v>
      </c>
      <c r="AR1803" s="1" t="str">
        <f t="shared" si="1154"/>
        <v>RUMBA</v>
      </c>
      <c r="AY1803" s="1" t="str">
        <f t="shared" si="1169"/>
        <v>PF</v>
      </c>
      <c r="AZ1803" s="1">
        <v>0</v>
      </c>
      <c r="BA1803" s="1">
        <v>0</v>
      </c>
      <c r="BB1803" s="1">
        <v>0</v>
      </c>
      <c r="BC1803" s="1">
        <v>0</v>
      </c>
      <c r="BD1803" s="1">
        <v>0</v>
      </c>
      <c r="BE1803" s="1" t="str">
        <f t="shared" si="1155"/>
        <v>SUOLA RUMBA TWILL CANVAS</v>
      </c>
      <c r="BF1803" s="1" t="str">
        <f t="shared" si="1170"/>
        <v>Bonis SpA</v>
      </c>
    </row>
    <row r="1804" spans="2:58" x14ac:dyDescent="0.25">
      <c r="B1804" s="1">
        <v>2557</v>
      </c>
      <c r="C1804" s="1" t="str">
        <f t="shared" si="1150"/>
        <v>RUMBA4187S7/C1</v>
      </c>
      <c r="E1804" s="1" t="str">
        <f>"37"</f>
        <v>37</v>
      </c>
      <c r="F1804" s="1" t="str">
        <f t="shared" si="1159"/>
        <v>BONIS SPA</v>
      </c>
      <c r="G1804" s="1" t="str">
        <f t="shared" si="1148"/>
        <v>STOCK SCAFFALE MP</v>
      </c>
      <c r="H1804" s="1" t="str">
        <f t="shared" si="1172"/>
        <v>BLUE</v>
      </c>
      <c r="K1804" s="1">
        <v>2</v>
      </c>
      <c r="L1804" s="1" t="str">
        <f t="shared" si="1160"/>
        <v>01</v>
      </c>
      <c r="M1804" s="1" t="str">
        <f t="shared" si="1156"/>
        <v>409</v>
      </c>
      <c r="N1804" s="1" t="str">
        <f t="shared" si="1152"/>
        <v>013</v>
      </c>
      <c r="O1804" s="1" t="str">
        <f t="shared" si="1161"/>
        <v>00</v>
      </c>
      <c r="P1804" s="1" t="str">
        <f t="shared" si="1162"/>
        <v>S</v>
      </c>
      <c r="Q1804" s="1" t="str">
        <f t="shared" si="1163"/>
        <v>P</v>
      </c>
      <c r="R1804" s="1" t="str">
        <f t="shared" si="1164"/>
        <v>01</v>
      </c>
      <c r="S1804" s="1" t="str">
        <f t="shared" si="1149"/>
        <v>04</v>
      </c>
      <c r="T1804" s="1" t="str">
        <f t="shared" si="1165"/>
        <v>False</v>
      </c>
      <c r="U1804" s="1" t="str">
        <f t="shared" si="1166"/>
        <v>True</v>
      </c>
      <c r="V1804" s="1" t="str">
        <f>"U0028165"</f>
        <v>U0028165</v>
      </c>
      <c r="W1804" s="1">
        <v>1</v>
      </c>
      <c r="Y1804" s="1">
        <v>0</v>
      </c>
      <c r="Z1804" s="1">
        <v>0</v>
      </c>
      <c r="AB1804" s="1" t="str">
        <f t="shared" si="1157"/>
        <v>SMU</v>
      </c>
      <c r="AI1804" s="1" t="str">
        <f t="shared" si="1171"/>
        <v>F11</v>
      </c>
      <c r="AJ1804" s="1" t="str">
        <f t="shared" si="1153"/>
        <v>WOMAN</v>
      </c>
      <c r="AK1804" s="1" t="str">
        <f t="shared" si="1167"/>
        <v>PA</v>
      </c>
      <c r="AP1804" s="1" t="str">
        <f t="shared" si="1168"/>
        <v>False</v>
      </c>
      <c r="AR1804" s="1" t="str">
        <f t="shared" si="1154"/>
        <v>RUMBA</v>
      </c>
      <c r="AY1804" s="1" t="str">
        <f t="shared" si="1169"/>
        <v>PF</v>
      </c>
      <c r="AZ1804" s="1">
        <v>0</v>
      </c>
      <c r="BA1804" s="1">
        <v>0</v>
      </c>
      <c r="BB1804" s="1">
        <v>0</v>
      </c>
      <c r="BC1804" s="1">
        <v>0</v>
      </c>
      <c r="BD1804" s="1">
        <v>0</v>
      </c>
      <c r="BE1804" s="1" t="str">
        <f t="shared" si="1155"/>
        <v>SUOLA RUMBA TWILL CANVAS</v>
      </c>
      <c r="BF1804" s="1" t="str">
        <f t="shared" si="1170"/>
        <v>Bonis SpA</v>
      </c>
    </row>
    <row r="1805" spans="2:58" x14ac:dyDescent="0.25">
      <c r="B1805" s="1">
        <v>2557</v>
      </c>
      <c r="C1805" s="1" t="str">
        <f t="shared" si="1150"/>
        <v>RUMBA4187S7/C1</v>
      </c>
      <c r="E1805" s="1" t="str">
        <f>"37"</f>
        <v>37</v>
      </c>
      <c r="F1805" s="1" t="str">
        <f t="shared" si="1159"/>
        <v>BONIS SPA</v>
      </c>
      <c r="G1805" s="1" t="str">
        <f t="shared" si="1148"/>
        <v>STOCK SCAFFALE MP</v>
      </c>
      <c r="H1805" s="1" t="str">
        <f t="shared" si="1172"/>
        <v>BLUE</v>
      </c>
      <c r="K1805" s="1">
        <v>11</v>
      </c>
      <c r="L1805" s="1" t="str">
        <f t="shared" si="1160"/>
        <v>01</v>
      </c>
      <c r="M1805" s="1" t="str">
        <f t="shared" si="1156"/>
        <v>409</v>
      </c>
      <c r="N1805" s="1" t="str">
        <f t="shared" si="1152"/>
        <v>013</v>
      </c>
      <c r="O1805" s="1" t="str">
        <f t="shared" si="1161"/>
        <v>00</v>
      </c>
      <c r="P1805" s="1" t="str">
        <f t="shared" si="1162"/>
        <v>S</v>
      </c>
      <c r="Q1805" s="1" t="str">
        <f t="shared" si="1163"/>
        <v>P</v>
      </c>
      <c r="R1805" s="1" t="str">
        <f t="shared" si="1164"/>
        <v>01</v>
      </c>
      <c r="S1805" s="1" t="str">
        <f t="shared" si="1149"/>
        <v>04</v>
      </c>
      <c r="T1805" s="1" t="str">
        <f t="shared" si="1165"/>
        <v>False</v>
      </c>
      <c r="U1805" s="1" t="str">
        <f t="shared" si="1166"/>
        <v>True</v>
      </c>
      <c r="V1805" s="1" t="str">
        <f>"U0023119"</f>
        <v>U0023119</v>
      </c>
      <c r="W1805" s="1">
        <v>1</v>
      </c>
      <c r="Y1805" s="1">
        <v>0</v>
      </c>
      <c r="Z1805" s="1">
        <v>0</v>
      </c>
      <c r="AB1805" s="1" t="str">
        <f t="shared" si="1157"/>
        <v>SMU</v>
      </c>
      <c r="AI1805" s="1" t="str">
        <f t="shared" si="1171"/>
        <v>F11</v>
      </c>
      <c r="AJ1805" s="1" t="str">
        <f t="shared" si="1153"/>
        <v>WOMAN</v>
      </c>
      <c r="AK1805" s="1" t="str">
        <f t="shared" si="1167"/>
        <v>PA</v>
      </c>
      <c r="AP1805" s="1" t="str">
        <f t="shared" si="1168"/>
        <v>False</v>
      </c>
      <c r="AR1805" s="1" t="str">
        <f t="shared" si="1154"/>
        <v>RUMBA</v>
      </c>
      <c r="AY1805" s="1" t="str">
        <f t="shared" si="1169"/>
        <v>PF</v>
      </c>
      <c r="AZ1805" s="1">
        <v>0</v>
      </c>
      <c r="BA1805" s="1">
        <v>0</v>
      </c>
      <c r="BB1805" s="1">
        <v>0</v>
      </c>
      <c r="BC1805" s="1">
        <v>0</v>
      </c>
      <c r="BD1805" s="1">
        <v>0</v>
      </c>
      <c r="BE1805" s="1" t="str">
        <f t="shared" si="1155"/>
        <v>SUOLA RUMBA TWILL CANVAS</v>
      </c>
      <c r="BF1805" s="1" t="str">
        <f t="shared" si="1170"/>
        <v>Bonis SpA</v>
      </c>
    </row>
    <row r="1806" spans="2:58" x14ac:dyDescent="0.25">
      <c r="B1806" s="1">
        <v>2557</v>
      </c>
      <c r="C1806" s="1" t="str">
        <f t="shared" si="1150"/>
        <v>RUMBA4187S7/C1</v>
      </c>
      <c r="E1806" s="1" t="str">
        <f>"40"</f>
        <v>40</v>
      </c>
      <c r="F1806" s="1" t="str">
        <f t="shared" si="1159"/>
        <v>BONIS SPA</v>
      </c>
      <c r="G1806" s="1" t="str">
        <f t="shared" si="1148"/>
        <v>STOCK SCAFFALE MP</v>
      </c>
      <c r="H1806" s="1" t="str">
        <f t="shared" si="1172"/>
        <v>BLUE</v>
      </c>
      <c r="K1806" s="1">
        <v>12</v>
      </c>
      <c r="L1806" s="1" t="str">
        <f t="shared" si="1160"/>
        <v>01</v>
      </c>
      <c r="M1806" s="1" t="str">
        <f t="shared" si="1156"/>
        <v>409</v>
      </c>
      <c r="N1806" s="1" t="str">
        <f t="shared" si="1152"/>
        <v>013</v>
      </c>
      <c r="O1806" s="1" t="str">
        <f t="shared" si="1161"/>
        <v>00</v>
      </c>
      <c r="P1806" s="1" t="str">
        <f t="shared" si="1162"/>
        <v>S</v>
      </c>
      <c r="Q1806" s="1" t="str">
        <f t="shared" si="1163"/>
        <v>P</v>
      </c>
      <c r="R1806" s="1" t="str">
        <f t="shared" si="1164"/>
        <v>01</v>
      </c>
      <c r="S1806" s="1" t="str">
        <f t="shared" si="1149"/>
        <v>04</v>
      </c>
      <c r="T1806" s="1" t="str">
        <f t="shared" si="1165"/>
        <v>False</v>
      </c>
      <c r="U1806" s="1" t="str">
        <f t="shared" si="1166"/>
        <v>True</v>
      </c>
      <c r="V1806" s="1" t="str">
        <f>"U0023116"</f>
        <v>U0023116</v>
      </c>
      <c r="W1806" s="1">
        <v>1</v>
      </c>
      <c r="Y1806" s="1">
        <v>0</v>
      </c>
      <c r="Z1806" s="1">
        <v>0</v>
      </c>
      <c r="AB1806" s="1" t="str">
        <f t="shared" si="1157"/>
        <v>SMU</v>
      </c>
      <c r="AI1806" s="1" t="str">
        <f t="shared" si="1171"/>
        <v>F11</v>
      </c>
      <c r="AJ1806" s="1" t="str">
        <f t="shared" si="1153"/>
        <v>WOMAN</v>
      </c>
      <c r="AK1806" s="1" t="str">
        <f t="shared" si="1167"/>
        <v>PA</v>
      </c>
      <c r="AP1806" s="1" t="str">
        <f t="shared" si="1168"/>
        <v>False</v>
      </c>
      <c r="AR1806" s="1" t="str">
        <f t="shared" si="1154"/>
        <v>RUMBA</v>
      </c>
      <c r="AY1806" s="1" t="str">
        <f t="shared" si="1169"/>
        <v>PF</v>
      </c>
      <c r="AZ1806" s="1">
        <v>0</v>
      </c>
      <c r="BA1806" s="1">
        <v>0</v>
      </c>
      <c r="BB1806" s="1">
        <v>0</v>
      </c>
      <c r="BC1806" s="1">
        <v>0</v>
      </c>
      <c r="BD1806" s="1">
        <v>0</v>
      </c>
      <c r="BE1806" s="1" t="str">
        <f t="shared" si="1155"/>
        <v>SUOLA RUMBA TWILL CANVAS</v>
      </c>
      <c r="BF1806" s="1" t="str">
        <f t="shared" si="1170"/>
        <v>Bonis SpA</v>
      </c>
    </row>
    <row r="1807" spans="2:58" x14ac:dyDescent="0.25">
      <c r="B1807" s="1">
        <v>2557</v>
      </c>
      <c r="C1807" s="1" t="str">
        <f t="shared" si="1150"/>
        <v>RUMBA4187S7/C1</v>
      </c>
      <c r="E1807" s="1" t="str">
        <f>"39"</f>
        <v>39</v>
      </c>
      <c r="F1807" s="1" t="str">
        <f t="shared" si="1159"/>
        <v>BONIS SPA</v>
      </c>
      <c r="G1807" s="1" t="str">
        <f t="shared" si="1148"/>
        <v>STOCK SCAFFALE MP</v>
      </c>
      <c r="H1807" s="1" t="str">
        <f t="shared" si="1172"/>
        <v>BLUE</v>
      </c>
      <c r="K1807" s="1">
        <v>2</v>
      </c>
      <c r="L1807" s="1" t="str">
        <f t="shared" si="1160"/>
        <v>01</v>
      </c>
      <c r="M1807" s="1" t="str">
        <f t="shared" si="1156"/>
        <v>409</v>
      </c>
      <c r="N1807" s="1" t="str">
        <f t="shared" si="1152"/>
        <v>013</v>
      </c>
      <c r="O1807" s="1" t="str">
        <f t="shared" si="1161"/>
        <v>00</v>
      </c>
      <c r="P1807" s="1" t="str">
        <f t="shared" si="1162"/>
        <v>S</v>
      </c>
      <c r="Q1807" s="1" t="str">
        <f t="shared" si="1163"/>
        <v>P</v>
      </c>
      <c r="R1807" s="1" t="str">
        <f t="shared" si="1164"/>
        <v>01</v>
      </c>
      <c r="S1807" s="1" t="str">
        <f t="shared" si="1149"/>
        <v>04</v>
      </c>
      <c r="T1807" s="1" t="str">
        <f t="shared" si="1165"/>
        <v>False</v>
      </c>
      <c r="U1807" s="1" t="str">
        <f t="shared" si="1166"/>
        <v>True</v>
      </c>
      <c r="V1807" s="1" t="str">
        <f>"U0032604"</f>
        <v>U0032604</v>
      </c>
      <c r="W1807" s="1">
        <v>1</v>
      </c>
      <c r="Y1807" s="1">
        <v>0</v>
      </c>
      <c r="Z1807" s="1">
        <v>0</v>
      </c>
      <c r="AB1807" s="1" t="str">
        <f t="shared" si="1157"/>
        <v>SMU</v>
      </c>
      <c r="AI1807" s="1" t="str">
        <f>"106"</f>
        <v>106</v>
      </c>
      <c r="AJ1807" s="1" t="str">
        <f t="shared" si="1153"/>
        <v>WOMAN</v>
      </c>
      <c r="AK1807" s="1" t="str">
        <f t="shared" si="1167"/>
        <v>PA</v>
      </c>
      <c r="AP1807" s="1" t="str">
        <f t="shared" si="1168"/>
        <v>False</v>
      </c>
      <c r="AR1807" s="1" t="str">
        <f t="shared" si="1154"/>
        <v>RUMBA</v>
      </c>
      <c r="AY1807" s="1" t="str">
        <f t="shared" si="1169"/>
        <v>PF</v>
      </c>
      <c r="AZ1807" s="1">
        <v>0</v>
      </c>
      <c r="BA1807" s="1">
        <v>0</v>
      </c>
      <c r="BB1807" s="1">
        <v>0</v>
      </c>
      <c r="BC1807" s="1">
        <v>0</v>
      </c>
      <c r="BD1807" s="1">
        <v>0</v>
      </c>
      <c r="BE1807" s="1" t="str">
        <f t="shared" si="1155"/>
        <v>SUOLA RUMBA TWILL CANVAS</v>
      </c>
      <c r="BF1807" s="1" t="str">
        <f t="shared" si="1170"/>
        <v>Bonis SpA</v>
      </c>
    </row>
    <row r="1808" spans="2:58" x14ac:dyDescent="0.25">
      <c r="B1808" s="1">
        <v>2557</v>
      </c>
      <c r="C1808" s="1" t="str">
        <f t="shared" si="1150"/>
        <v>RUMBA4187S7/C1</v>
      </c>
      <c r="E1808" s="1" t="str">
        <f>"39"</f>
        <v>39</v>
      </c>
      <c r="F1808" s="1" t="str">
        <f t="shared" si="1159"/>
        <v>BONIS SPA</v>
      </c>
      <c r="G1808" s="1" t="str">
        <f t="shared" si="1148"/>
        <v>STOCK SCAFFALE MP</v>
      </c>
      <c r="H1808" s="1" t="str">
        <f t="shared" si="1172"/>
        <v>BLUE</v>
      </c>
      <c r="K1808" s="1">
        <v>2</v>
      </c>
      <c r="L1808" s="1" t="str">
        <f t="shared" si="1160"/>
        <v>01</v>
      </c>
      <c r="M1808" s="1" t="str">
        <f t="shared" si="1156"/>
        <v>409</v>
      </c>
      <c r="N1808" s="1" t="str">
        <f t="shared" si="1152"/>
        <v>013</v>
      </c>
      <c r="O1808" s="1" t="str">
        <f t="shared" si="1161"/>
        <v>00</v>
      </c>
      <c r="P1808" s="1" t="str">
        <f t="shared" si="1162"/>
        <v>S</v>
      </c>
      <c r="Q1808" s="1" t="str">
        <f t="shared" si="1163"/>
        <v>P</v>
      </c>
      <c r="R1808" s="1" t="str">
        <f t="shared" si="1164"/>
        <v>01</v>
      </c>
      <c r="S1808" s="1" t="str">
        <f t="shared" si="1149"/>
        <v>04</v>
      </c>
      <c r="T1808" s="1" t="str">
        <f t="shared" si="1165"/>
        <v>False</v>
      </c>
      <c r="U1808" s="1" t="str">
        <f t="shared" si="1166"/>
        <v>True</v>
      </c>
      <c r="V1808" s="1" t="str">
        <f>"U0028182"</f>
        <v>U0028182</v>
      </c>
      <c r="W1808" s="1">
        <v>1</v>
      </c>
      <c r="Y1808" s="1">
        <v>0</v>
      </c>
      <c r="Z1808" s="1">
        <v>0</v>
      </c>
      <c r="AB1808" s="1" t="str">
        <f t="shared" si="1157"/>
        <v>SMU</v>
      </c>
      <c r="AI1808" s="1" t="str">
        <f>"106"</f>
        <v>106</v>
      </c>
      <c r="AJ1808" s="1" t="str">
        <f t="shared" si="1153"/>
        <v>WOMAN</v>
      </c>
      <c r="AK1808" s="1" t="str">
        <f t="shared" si="1167"/>
        <v>PA</v>
      </c>
      <c r="AP1808" s="1" t="str">
        <f t="shared" si="1168"/>
        <v>False</v>
      </c>
      <c r="AR1808" s="1" t="str">
        <f t="shared" si="1154"/>
        <v>RUMBA</v>
      </c>
      <c r="AY1808" s="1" t="str">
        <f t="shared" si="1169"/>
        <v>PF</v>
      </c>
      <c r="AZ1808" s="1">
        <v>0</v>
      </c>
      <c r="BA1808" s="1">
        <v>0</v>
      </c>
      <c r="BB1808" s="1">
        <v>0</v>
      </c>
      <c r="BC1808" s="1">
        <v>0</v>
      </c>
      <c r="BD1808" s="1">
        <v>0</v>
      </c>
      <c r="BE1808" s="1" t="str">
        <f t="shared" si="1155"/>
        <v>SUOLA RUMBA TWILL CANVAS</v>
      </c>
      <c r="BF1808" s="1" t="str">
        <f t="shared" si="1170"/>
        <v>Bonis SpA</v>
      </c>
    </row>
    <row r="1809" spans="2:58" x14ac:dyDescent="0.25">
      <c r="B1809" s="1">
        <v>2557</v>
      </c>
      <c r="C1809" s="1" t="str">
        <f t="shared" si="1150"/>
        <v>RUMBA4187S7/C1</v>
      </c>
      <c r="E1809" s="1" t="str">
        <f>"39"</f>
        <v>39</v>
      </c>
      <c r="F1809" s="1" t="str">
        <f t="shared" si="1159"/>
        <v>BONIS SPA</v>
      </c>
      <c r="G1809" s="1" t="str">
        <f t="shared" si="1148"/>
        <v>STOCK SCAFFALE MP</v>
      </c>
      <c r="H1809" s="1" t="str">
        <f t="shared" si="1172"/>
        <v>BLUE</v>
      </c>
      <c r="K1809" s="1">
        <v>1</v>
      </c>
      <c r="L1809" s="1" t="str">
        <f t="shared" si="1160"/>
        <v>01</v>
      </c>
      <c r="M1809" s="1" t="str">
        <f t="shared" si="1156"/>
        <v>409</v>
      </c>
      <c r="N1809" s="1" t="str">
        <f t="shared" si="1152"/>
        <v>013</v>
      </c>
      <c r="O1809" s="1" t="str">
        <f t="shared" si="1161"/>
        <v>00</v>
      </c>
      <c r="P1809" s="1" t="str">
        <f t="shared" si="1162"/>
        <v>S</v>
      </c>
      <c r="Q1809" s="1" t="str">
        <f t="shared" si="1163"/>
        <v>P</v>
      </c>
      <c r="R1809" s="1" t="str">
        <f t="shared" si="1164"/>
        <v>01</v>
      </c>
      <c r="S1809" s="1" t="str">
        <f t="shared" si="1149"/>
        <v>04</v>
      </c>
      <c r="T1809" s="1" t="str">
        <f t="shared" si="1165"/>
        <v>False</v>
      </c>
      <c r="U1809" s="1" t="str">
        <f t="shared" si="1166"/>
        <v>True</v>
      </c>
      <c r="V1809" s="1" t="str">
        <f>"U0028171"</f>
        <v>U0028171</v>
      </c>
      <c r="W1809" s="1">
        <v>1</v>
      </c>
      <c r="Y1809" s="1">
        <v>0</v>
      </c>
      <c r="Z1809" s="1">
        <v>0</v>
      </c>
      <c r="AB1809" s="1" t="str">
        <f t="shared" si="1157"/>
        <v>SMU</v>
      </c>
      <c r="AI1809" s="1" t="str">
        <f>"106"</f>
        <v>106</v>
      </c>
      <c r="AJ1809" s="1" t="str">
        <f t="shared" si="1153"/>
        <v>WOMAN</v>
      </c>
      <c r="AK1809" s="1" t="str">
        <f t="shared" si="1167"/>
        <v>PA</v>
      </c>
      <c r="AP1809" s="1" t="str">
        <f t="shared" si="1168"/>
        <v>False</v>
      </c>
      <c r="AR1809" s="1" t="str">
        <f t="shared" si="1154"/>
        <v>RUMBA</v>
      </c>
      <c r="AY1809" s="1" t="str">
        <f t="shared" si="1169"/>
        <v>PF</v>
      </c>
      <c r="AZ1809" s="1">
        <v>0</v>
      </c>
      <c r="BA1809" s="1">
        <v>0</v>
      </c>
      <c r="BB1809" s="1">
        <v>0</v>
      </c>
      <c r="BC1809" s="1">
        <v>0</v>
      </c>
      <c r="BD1809" s="1">
        <v>0</v>
      </c>
      <c r="BE1809" s="1" t="str">
        <f t="shared" si="1155"/>
        <v>SUOLA RUMBA TWILL CANVAS</v>
      </c>
      <c r="BF1809" s="1" t="str">
        <f t="shared" si="1170"/>
        <v>Bonis SpA</v>
      </c>
    </row>
    <row r="1810" spans="2:58" x14ac:dyDescent="0.25">
      <c r="B1810" s="1">
        <v>2557</v>
      </c>
      <c r="C1810" s="1" t="str">
        <f t="shared" si="1150"/>
        <v>RUMBA4187S7/C1</v>
      </c>
      <c r="E1810" s="1" t="str">
        <f>"40"</f>
        <v>40</v>
      </c>
      <c r="F1810" s="1" t="str">
        <f t="shared" si="1159"/>
        <v>BONIS SPA</v>
      </c>
      <c r="G1810" s="1" t="str">
        <f t="shared" si="1148"/>
        <v>STOCK SCAFFALE MP</v>
      </c>
      <c r="H1810" s="1" t="str">
        <f t="shared" si="1172"/>
        <v>BLUE</v>
      </c>
      <c r="K1810" s="1">
        <v>2</v>
      </c>
      <c r="L1810" s="1" t="str">
        <f t="shared" si="1160"/>
        <v>01</v>
      </c>
      <c r="M1810" s="1" t="str">
        <f t="shared" si="1156"/>
        <v>409</v>
      </c>
      <c r="N1810" s="1" t="str">
        <f t="shared" si="1152"/>
        <v>013</v>
      </c>
      <c r="O1810" s="1" t="str">
        <f t="shared" si="1161"/>
        <v>00</v>
      </c>
      <c r="P1810" s="1" t="str">
        <f t="shared" si="1162"/>
        <v>S</v>
      </c>
      <c r="Q1810" s="1" t="str">
        <f t="shared" si="1163"/>
        <v>P</v>
      </c>
      <c r="R1810" s="1" t="str">
        <f t="shared" si="1164"/>
        <v>01</v>
      </c>
      <c r="S1810" s="1" t="str">
        <f t="shared" si="1149"/>
        <v>04</v>
      </c>
      <c r="T1810" s="1" t="str">
        <f t="shared" si="1165"/>
        <v>False</v>
      </c>
      <c r="U1810" s="1" t="str">
        <f t="shared" si="1166"/>
        <v>True</v>
      </c>
      <c r="V1810" s="1" t="str">
        <f>"U0028171"</f>
        <v>U0028171</v>
      </c>
      <c r="W1810" s="1">
        <v>1</v>
      </c>
      <c r="Y1810" s="1">
        <v>0</v>
      </c>
      <c r="Z1810" s="1">
        <v>0</v>
      </c>
      <c r="AB1810" s="1" t="str">
        <f t="shared" si="1157"/>
        <v>SMU</v>
      </c>
      <c r="AI1810" s="1" t="str">
        <f>"106"</f>
        <v>106</v>
      </c>
      <c r="AJ1810" s="1" t="str">
        <f t="shared" si="1153"/>
        <v>WOMAN</v>
      </c>
      <c r="AK1810" s="1" t="str">
        <f t="shared" si="1167"/>
        <v>PA</v>
      </c>
      <c r="AP1810" s="1" t="str">
        <f t="shared" si="1168"/>
        <v>False</v>
      </c>
      <c r="AR1810" s="1" t="str">
        <f t="shared" si="1154"/>
        <v>RUMBA</v>
      </c>
      <c r="AY1810" s="1" t="str">
        <f t="shared" si="1169"/>
        <v>PF</v>
      </c>
      <c r="AZ1810" s="1">
        <v>0</v>
      </c>
      <c r="BA1810" s="1">
        <v>0</v>
      </c>
      <c r="BB1810" s="1">
        <v>0</v>
      </c>
      <c r="BC1810" s="1">
        <v>0</v>
      </c>
      <c r="BD1810" s="1">
        <v>0</v>
      </c>
      <c r="BE1810" s="1" t="str">
        <f t="shared" si="1155"/>
        <v>SUOLA RUMBA TWILL CANVAS</v>
      </c>
      <c r="BF1810" s="1" t="str">
        <f t="shared" si="1170"/>
        <v>Bonis SpA</v>
      </c>
    </row>
    <row r="1811" spans="2:58" x14ac:dyDescent="0.25">
      <c r="B1811" s="1">
        <v>2557</v>
      </c>
      <c r="C1811" s="1" t="str">
        <f t="shared" si="1150"/>
        <v>RUMBA4187S7/C1</v>
      </c>
      <c r="E1811" s="1" t="str">
        <f>"40"</f>
        <v>40</v>
      </c>
      <c r="F1811" s="1" t="str">
        <f t="shared" si="1159"/>
        <v>BONIS SPA</v>
      </c>
      <c r="G1811" s="1" t="str">
        <f t="shared" si="1148"/>
        <v>STOCK SCAFFALE MP</v>
      </c>
      <c r="H1811" s="1" t="str">
        <f t="shared" si="1172"/>
        <v>BLUE</v>
      </c>
      <c r="K1811" s="1">
        <v>2</v>
      </c>
      <c r="L1811" s="1" t="str">
        <f t="shared" si="1160"/>
        <v>01</v>
      </c>
      <c r="M1811" s="1" t="str">
        <f t="shared" si="1156"/>
        <v>409</v>
      </c>
      <c r="N1811" s="1" t="str">
        <f t="shared" si="1152"/>
        <v>013</v>
      </c>
      <c r="O1811" s="1" t="str">
        <f t="shared" si="1161"/>
        <v>00</v>
      </c>
      <c r="P1811" s="1" t="str">
        <f t="shared" si="1162"/>
        <v>S</v>
      </c>
      <c r="Q1811" s="1" t="str">
        <f t="shared" si="1163"/>
        <v>P</v>
      </c>
      <c r="R1811" s="1" t="str">
        <f t="shared" si="1164"/>
        <v>01</v>
      </c>
      <c r="S1811" s="1" t="str">
        <f t="shared" si="1149"/>
        <v>04</v>
      </c>
      <c r="T1811" s="1" t="str">
        <f t="shared" si="1165"/>
        <v>False</v>
      </c>
      <c r="U1811" s="1" t="str">
        <f t="shared" si="1166"/>
        <v>True</v>
      </c>
      <c r="V1811" s="1" t="str">
        <f>"U0023771"</f>
        <v>U0023771</v>
      </c>
      <c r="W1811" s="1">
        <v>1</v>
      </c>
      <c r="Y1811" s="1">
        <v>0</v>
      </c>
      <c r="Z1811" s="1">
        <v>0</v>
      </c>
      <c r="AB1811" s="1" t="str">
        <f t="shared" si="1157"/>
        <v>SMU</v>
      </c>
      <c r="AI1811" s="1" t="str">
        <f>"106"</f>
        <v>106</v>
      </c>
      <c r="AJ1811" s="1" t="str">
        <f t="shared" si="1153"/>
        <v>WOMAN</v>
      </c>
      <c r="AK1811" s="1" t="str">
        <f t="shared" si="1167"/>
        <v>PA</v>
      </c>
      <c r="AP1811" s="1" t="str">
        <f t="shared" si="1168"/>
        <v>False</v>
      </c>
      <c r="AR1811" s="1" t="str">
        <f t="shared" si="1154"/>
        <v>RUMBA</v>
      </c>
      <c r="AY1811" s="1" t="str">
        <f t="shared" si="1169"/>
        <v>PF</v>
      </c>
      <c r="AZ1811" s="1">
        <v>0</v>
      </c>
      <c r="BA1811" s="1">
        <v>0</v>
      </c>
      <c r="BB1811" s="1">
        <v>0</v>
      </c>
      <c r="BC1811" s="1">
        <v>0</v>
      </c>
      <c r="BD1811" s="1">
        <v>0</v>
      </c>
      <c r="BE1811" s="1" t="str">
        <f t="shared" si="1155"/>
        <v>SUOLA RUMBA TWILL CANVAS</v>
      </c>
      <c r="BF1811" s="1" t="str">
        <f t="shared" si="1170"/>
        <v>Bonis SpA</v>
      </c>
    </row>
    <row r="1812" spans="2:58" x14ac:dyDescent="0.25">
      <c r="B1812" s="1">
        <v>2557</v>
      </c>
      <c r="C1812" s="1" t="str">
        <f t="shared" si="1150"/>
        <v>RUMBA4187S7/C1</v>
      </c>
      <c r="E1812" s="1" t="str">
        <f>"38"</f>
        <v>38</v>
      </c>
      <c r="F1812" s="1" t="str">
        <f t="shared" si="1159"/>
        <v>BONIS SPA</v>
      </c>
      <c r="G1812" s="1" t="str">
        <f t="shared" si="1148"/>
        <v>STOCK SCAFFALE MP</v>
      </c>
      <c r="H1812" s="1" t="str">
        <f t="shared" si="1172"/>
        <v>BLUE</v>
      </c>
      <c r="K1812" s="1">
        <v>12</v>
      </c>
      <c r="L1812" s="1" t="str">
        <f t="shared" si="1160"/>
        <v>01</v>
      </c>
      <c r="M1812" s="1" t="str">
        <f t="shared" si="1156"/>
        <v>409</v>
      </c>
      <c r="N1812" s="1" t="str">
        <f t="shared" ref="N1812:N1830" si="1173">"013"</f>
        <v>013</v>
      </c>
      <c r="O1812" s="1" t="str">
        <f t="shared" si="1161"/>
        <v>00</v>
      </c>
      <c r="P1812" s="1" t="str">
        <f t="shared" si="1162"/>
        <v>S</v>
      </c>
      <c r="Q1812" s="1" t="str">
        <f t="shared" si="1163"/>
        <v>P</v>
      </c>
      <c r="R1812" s="1" t="str">
        <f t="shared" si="1164"/>
        <v>01</v>
      </c>
      <c r="S1812" s="1" t="str">
        <f t="shared" si="1149"/>
        <v>04</v>
      </c>
      <c r="T1812" s="1" t="str">
        <f t="shared" si="1165"/>
        <v>False</v>
      </c>
      <c r="U1812" s="1" t="str">
        <f t="shared" si="1166"/>
        <v>True</v>
      </c>
      <c r="V1812" s="1" t="str">
        <f>"U0028166"</f>
        <v>U0028166</v>
      </c>
      <c r="W1812" s="1">
        <v>1</v>
      </c>
      <c r="Y1812" s="1">
        <v>0</v>
      </c>
      <c r="Z1812" s="1">
        <v>0</v>
      </c>
      <c r="AB1812" s="1" t="str">
        <f t="shared" si="1157"/>
        <v>SMU</v>
      </c>
      <c r="AI1812" s="1" t="str">
        <f>"F11"</f>
        <v>F11</v>
      </c>
      <c r="AJ1812" s="1" t="str">
        <f t="shared" ref="AJ1812:AJ1848" si="1174">"WOMAN"</f>
        <v>WOMAN</v>
      </c>
      <c r="AK1812" s="1" t="str">
        <f t="shared" si="1167"/>
        <v>PA</v>
      </c>
      <c r="AP1812" s="1" t="str">
        <f t="shared" si="1168"/>
        <v>False</v>
      </c>
      <c r="AR1812" s="1" t="str">
        <f t="shared" si="1154"/>
        <v>RUMBA</v>
      </c>
      <c r="AY1812" s="1" t="str">
        <f t="shared" si="1169"/>
        <v>PF</v>
      </c>
      <c r="AZ1812" s="1">
        <v>0</v>
      </c>
      <c r="BA1812" s="1">
        <v>0</v>
      </c>
      <c r="BB1812" s="1">
        <v>0</v>
      </c>
      <c r="BC1812" s="1">
        <v>0</v>
      </c>
      <c r="BD1812" s="1">
        <v>0</v>
      </c>
      <c r="BE1812" s="1" t="str">
        <f t="shared" si="1155"/>
        <v>SUOLA RUMBA TWILL CANVAS</v>
      </c>
      <c r="BF1812" s="1" t="str">
        <f t="shared" si="1170"/>
        <v>Bonis SpA</v>
      </c>
    </row>
    <row r="1813" spans="2:58" x14ac:dyDescent="0.25">
      <c r="B1813" s="1">
        <v>2557</v>
      </c>
      <c r="C1813" s="1" t="str">
        <f t="shared" si="1150"/>
        <v>RUMBA4187S7/C1</v>
      </c>
      <c r="E1813" s="1" t="str">
        <f>"39"</f>
        <v>39</v>
      </c>
      <c r="F1813" s="1" t="str">
        <f t="shared" si="1159"/>
        <v>BONIS SPA</v>
      </c>
      <c r="G1813" s="1" t="str">
        <f t="shared" si="1148"/>
        <v>STOCK SCAFFALE MP</v>
      </c>
      <c r="H1813" s="1" t="str">
        <f t="shared" si="1172"/>
        <v>BLUE</v>
      </c>
      <c r="K1813" s="1">
        <v>4</v>
      </c>
      <c r="L1813" s="1" t="str">
        <f t="shared" si="1160"/>
        <v>01</v>
      </c>
      <c r="M1813" s="1" t="str">
        <f t="shared" si="1156"/>
        <v>409</v>
      </c>
      <c r="N1813" s="1" t="str">
        <f t="shared" si="1173"/>
        <v>013</v>
      </c>
      <c r="O1813" s="1" t="str">
        <f t="shared" si="1161"/>
        <v>00</v>
      </c>
      <c r="P1813" s="1" t="str">
        <f t="shared" si="1162"/>
        <v>S</v>
      </c>
      <c r="Q1813" s="1" t="str">
        <f t="shared" si="1163"/>
        <v>P</v>
      </c>
      <c r="R1813" s="1" t="str">
        <f t="shared" si="1164"/>
        <v>01</v>
      </c>
      <c r="S1813" s="1" t="str">
        <f t="shared" si="1149"/>
        <v>04</v>
      </c>
      <c r="T1813" s="1" t="str">
        <f t="shared" si="1165"/>
        <v>False</v>
      </c>
      <c r="U1813" s="1" t="str">
        <f t="shared" si="1166"/>
        <v>True</v>
      </c>
      <c r="V1813" s="1" t="str">
        <f>"U0023771"</f>
        <v>U0023771</v>
      </c>
      <c r="W1813" s="1">
        <v>1</v>
      </c>
      <c r="Y1813" s="1">
        <v>0</v>
      </c>
      <c r="Z1813" s="1">
        <v>0</v>
      </c>
      <c r="AB1813" s="1" t="str">
        <f t="shared" si="1157"/>
        <v>SMU</v>
      </c>
      <c r="AI1813" s="1" t="str">
        <f>"F06"</f>
        <v>F06</v>
      </c>
      <c r="AJ1813" s="1" t="str">
        <f t="shared" si="1174"/>
        <v>WOMAN</v>
      </c>
      <c r="AK1813" s="1" t="str">
        <f t="shared" si="1167"/>
        <v>PA</v>
      </c>
      <c r="AP1813" s="1" t="str">
        <f t="shared" si="1168"/>
        <v>False</v>
      </c>
      <c r="AR1813" s="1" t="str">
        <f t="shared" si="1154"/>
        <v>RUMBA</v>
      </c>
      <c r="AY1813" s="1" t="str">
        <f t="shared" si="1169"/>
        <v>PF</v>
      </c>
      <c r="AZ1813" s="1">
        <v>0</v>
      </c>
      <c r="BA1813" s="1">
        <v>0</v>
      </c>
      <c r="BB1813" s="1">
        <v>0</v>
      </c>
      <c r="BC1813" s="1">
        <v>0</v>
      </c>
      <c r="BD1813" s="1">
        <v>0</v>
      </c>
      <c r="BE1813" s="1" t="str">
        <f t="shared" si="1155"/>
        <v>SUOLA RUMBA TWILL CANVAS</v>
      </c>
      <c r="BF1813" s="1" t="str">
        <f t="shared" si="1170"/>
        <v>Bonis SpA</v>
      </c>
    </row>
    <row r="1814" spans="2:58" x14ac:dyDescent="0.25">
      <c r="B1814" s="1">
        <v>2557</v>
      </c>
      <c r="C1814" s="1" t="str">
        <f t="shared" si="1150"/>
        <v>RUMBA4187S7/C1</v>
      </c>
      <c r="E1814" s="1" t="str">
        <f>"38"</f>
        <v>38</v>
      </c>
      <c r="F1814" s="1" t="str">
        <f t="shared" si="1159"/>
        <v>BONIS SPA</v>
      </c>
      <c r="G1814" s="1" t="str">
        <f t="shared" si="1148"/>
        <v>STOCK SCAFFALE MP</v>
      </c>
      <c r="H1814" s="1" t="str">
        <f t="shared" si="1172"/>
        <v>BLUE</v>
      </c>
      <c r="K1814" s="1">
        <v>6</v>
      </c>
      <c r="L1814" s="1" t="str">
        <f t="shared" si="1160"/>
        <v>01</v>
      </c>
      <c r="M1814" s="1" t="str">
        <f t="shared" si="1156"/>
        <v>409</v>
      </c>
      <c r="N1814" s="1" t="str">
        <f t="shared" si="1173"/>
        <v>013</v>
      </c>
      <c r="O1814" s="1" t="str">
        <f t="shared" si="1161"/>
        <v>00</v>
      </c>
      <c r="P1814" s="1" t="str">
        <f t="shared" si="1162"/>
        <v>S</v>
      </c>
      <c r="Q1814" s="1" t="str">
        <f t="shared" si="1163"/>
        <v>P</v>
      </c>
      <c r="R1814" s="1" t="str">
        <f t="shared" si="1164"/>
        <v>01</v>
      </c>
      <c r="S1814" s="1" t="str">
        <f t="shared" si="1149"/>
        <v>04</v>
      </c>
      <c r="T1814" s="1" t="str">
        <f t="shared" si="1165"/>
        <v>False</v>
      </c>
      <c r="U1814" s="1" t="str">
        <f t="shared" si="1166"/>
        <v>True</v>
      </c>
      <c r="V1814" s="1" t="str">
        <f>"U0023771"</f>
        <v>U0023771</v>
      </c>
      <c r="W1814" s="1">
        <v>1</v>
      </c>
      <c r="Y1814" s="1">
        <v>0</v>
      </c>
      <c r="Z1814" s="1">
        <v>0</v>
      </c>
      <c r="AB1814" s="1" t="str">
        <f t="shared" si="1157"/>
        <v>SMU</v>
      </c>
      <c r="AI1814" s="1" t="str">
        <f>"F06"</f>
        <v>F06</v>
      </c>
      <c r="AJ1814" s="1" t="str">
        <f t="shared" si="1174"/>
        <v>WOMAN</v>
      </c>
      <c r="AK1814" s="1" t="str">
        <f t="shared" si="1167"/>
        <v>PA</v>
      </c>
      <c r="AP1814" s="1" t="str">
        <f t="shared" si="1168"/>
        <v>False</v>
      </c>
      <c r="AR1814" s="1" t="str">
        <f t="shared" si="1154"/>
        <v>RUMBA</v>
      </c>
      <c r="AY1814" s="1" t="str">
        <f t="shared" si="1169"/>
        <v>PF</v>
      </c>
      <c r="AZ1814" s="1">
        <v>0</v>
      </c>
      <c r="BA1814" s="1">
        <v>0</v>
      </c>
      <c r="BB1814" s="1">
        <v>0</v>
      </c>
      <c r="BC1814" s="1">
        <v>0</v>
      </c>
      <c r="BD1814" s="1">
        <v>0</v>
      </c>
      <c r="BE1814" s="1" t="str">
        <f t="shared" si="1155"/>
        <v>SUOLA RUMBA TWILL CANVAS</v>
      </c>
      <c r="BF1814" s="1" t="str">
        <f t="shared" si="1170"/>
        <v>Bonis SpA</v>
      </c>
    </row>
    <row r="1815" spans="2:58" x14ac:dyDescent="0.25">
      <c r="B1815" s="1">
        <v>2557</v>
      </c>
      <c r="C1815" s="1" t="str">
        <f t="shared" ref="C1815:C1842" si="1175">"SOLAD4188S7/C1"</f>
        <v>SOLAD4188S7/C1</v>
      </c>
      <c r="E1815" s="1" t="str">
        <f>"36"</f>
        <v>36</v>
      </c>
      <c r="F1815" s="1" t="str">
        <f t="shared" si="1159"/>
        <v>BONIS SPA</v>
      </c>
      <c r="G1815" s="1" t="str">
        <f t="shared" si="1148"/>
        <v>STOCK SCAFFALE MP</v>
      </c>
      <c r="H1815" s="1" t="str">
        <f t="shared" ref="H1815:H1820" si="1176">"BLK"</f>
        <v>BLK</v>
      </c>
      <c r="K1815" s="1">
        <v>3</v>
      </c>
      <c r="L1815" s="1" t="str">
        <f t="shared" si="1160"/>
        <v>01</v>
      </c>
      <c r="M1815" s="1" t="str">
        <f t="shared" si="1156"/>
        <v>409</v>
      </c>
      <c r="N1815" s="1" t="str">
        <f t="shared" si="1173"/>
        <v>013</v>
      </c>
      <c r="O1815" s="1" t="str">
        <f t="shared" si="1161"/>
        <v>00</v>
      </c>
      <c r="P1815" s="1" t="str">
        <f t="shared" si="1162"/>
        <v>S</v>
      </c>
      <c r="Q1815" s="1" t="str">
        <f t="shared" si="1163"/>
        <v>P</v>
      </c>
      <c r="R1815" s="1" t="str">
        <f t="shared" si="1164"/>
        <v>01</v>
      </c>
      <c r="S1815" s="1" t="str">
        <f t="shared" si="1149"/>
        <v>04</v>
      </c>
      <c r="T1815" s="1" t="str">
        <f t="shared" si="1165"/>
        <v>False</v>
      </c>
      <c r="U1815" s="1" t="str">
        <f t="shared" si="1166"/>
        <v>True</v>
      </c>
      <c r="V1815" s="1" t="str">
        <f>"U0023601"</f>
        <v>U0023601</v>
      </c>
      <c r="W1815" s="1">
        <v>1</v>
      </c>
      <c r="Y1815" s="1">
        <v>0</v>
      </c>
      <c r="Z1815" s="1">
        <v>0</v>
      </c>
      <c r="AB1815" s="1" t="str">
        <f t="shared" si="1157"/>
        <v>SMU</v>
      </c>
      <c r="AI1815" s="1" t="str">
        <f>"F11"</f>
        <v>F11</v>
      </c>
      <c r="AJ1815" s="1" t="str">
        <f t="shared" si="1174"/>
        <v>WOMAN</v>
      </c>
      <c r="AK1815" s="1" t="str">
        <f t="shared" si="1167"/>
        <v>PA</v>
      </c>
      <c r="AP1815" s="1" t="str">
        <f t="shared" si="1168"/>
        <v>False</v>
      </c>
      <c r="AR1815" s="1" t="str">
        <f t="shared" ref="AR1815:AR1842" si="1177">"SOLAD"</f>
        <v>SOLAD</v>
      </c>
      <c r="AY1815" s="1" t="str">
        <f t="shared" si="1169"/>
        <v>PF</v>
      </c>
      <c r="AZ1815" s="1">
        <v>0</v>
      </c>
      <c r="BA1815" s="1">
        <v>0</v>
      </c>
      <c r="BB1815" s="1">
        <v>0</v>
      </c>
      <c r="BC1815" s="1">
        <v>0</v>
      </c>
      <c r="BD1815" s="1">
        <v>0</v>
      </c>
      <c r="BE1815" s="1" t="str">
        <f t="shared" ref="BE1815:BE1842" si="1178">"S.CADEW  TWILL CANVAS"</f>
        <v>S.CADEW  TWILL CANVAS</v>
      </c>
      <c r="BF1815" s="1" t="str">
        <f t="shared" si="1170"/>
        <v>Bonis SpA</v>
      </c>
    </row>
    <row r="1816" spans="2:58" x14ac:dyDescent="0.25">
      <c r="B1816" s="1">
        <v>2557</v>
      </c>
      <c r="C1816" s="1" t="str">
        <f t="shared" si="1175"/>
        <v>SOLAD4188S7/C1</v>
      </c>
      <c r="E1816" s="1" t="str">
        <f>"37"</f>
        <v>37</v>
      </c>
      <c r="F1816" s="1" t="str">
        <f t="shared" si="1159"/>
        <v>BONIS SPA</v>
      </c>
      <c r="G1816" s="1" t="str">
        <f t="shared" si="1148"/>
        <v>STOCK SCAFFALE MP</v>
      </c>
      <c r="H1816" s="1" t="str">
        <f t="shared" si="1176"/>
        <v>BLK</v>
      </c>
      <c r="K1816" s="1">
        <v>4</v>
      </c>
      <c r="L1816" s="1" t="str">
        <f t="shared" si="1160"/>
        <v>01</v>
      </c>
      <c r="M1816" s="1" t="str">
        <f t="shared" si="1156"/>
        <v>409</v>
      </c>
      <c r="N1816" s="1" t="str">
        <f t="shared" si="1173"/>
        <v>013</v>
      </c>
      <c r="O1816" s="1" t="str">
        <f t="shared" si="1161"/>
        <v>00</v>
      </c>
      <c r="P1816" s="1" t="str">
        <f t="shared" si="1162"/>
        <v>S</v>
      </c>
      <c r="Q1816" s="1" t="str">
        <f t="shared" si="1163"/>
        <v>P</v>
      </c>
      <c r="R1816" s="1" t="str">
        <f t="shared" si="1164"/>
        <v>01</v>
      </c>
      <c r="S1816" s="1" t="str">
        <f t="shared" si="1149"/>
        <v>04</v>
      </c>
      <c r="T1816" s="1" t="str">
        <f t="shared" si="1165"/>
        <v>False</v>
      </c>
      <c r="U1816" s="1" t="str">
        <f t="shared" si="1166"/>
        <v>True</v>
      </c>
      <c r="V1816" s="1" t="str">
        <f>"U0023601"</f>
        <v>U0023601</v>
      </c>
      <c r="W1816" s="1">
        <v>1</v>
      </c>
      <c r="Y1816" s="1">
        <v>0</v>
      </c>
      <c r="Z1816" s="1">
        <v>0</v>
      </c>
      <c r="AB1816" s="1" t="str">
        <f t="shared" si="1157"/>
        <v>SMU</v>
      </c>
      <c r="AI1816" s="1" t="str">
        <f>"F11"</f>
        <v>F11</v>
      </c>
      <c r="AJ1816" s="1" t="str">
        <f t="shared" si="1174"/>
        <v>WOMAN</v>
      </c>
      <c r="AK1816" s="1" t="str">
        <f t="shared" si="1167"/>
        <v>PA</v>
      </c>
      <c r="AP1816" s="1" t="str">
        <f t="shared" si="1168"/>
        <v>False</v>
      </c>
      <c r="AR1816" s="1" t="str">
        <f t="shared" si="1177"/>
        <v>SOLAD</v>
      </c>
      <c r="AY1816" s="1" t="str">
        <f t="shared" si="1169"/>
        <v>PF</v>
      </c>
      <c r="AZ1816" s="1">
        <v>0</v>
      </c>
      <c r="BA1816" s="1">
        <v>0</v>
      </c>
      <c r="BB1816" s="1">
        <v>0</v>
      </c>
      <c r="BC1816" s="1">
        <v>0</v>
      </c>
      <c r="BD1816" s="1">
        <v>0</v>
      </c>
      <c r="BE1816" s="1" t="str">
        <f t="shared" si="1178"/>
        <v>S.CADEW  TWILL CANVAS</v>
      </c>
      <c r="BF1816" s="1" t="str">
        <f t="shared" si="1170"/>
        <v>Bonis SpA</v>
      </c>
    </row>
    <row r="1817" spans="2:58" x14ac:dyDescent="0.25">
      <c r="B1817" s="1">
        <v>2557</v>
      </c>
      <c r="C1817" s="1" t="str">
        <f t="shared" si="1175"/>
        <v>SOLAD4188S7/C1</v>
      </c>
      <c r="E1817" s="1" t="str">
        <f>"38"</f>
        <v>38</v>
      </c>
      <c r="F1817" s="1" t="str">
        <f t="shared" si="1159"/>
        <v>BONIS SPA</v>
      </c>
      <c r="G1817" s="1" t="str">
        <f t="shared" si="1148"/>
        <v>STOCK SCAFFALE MP</v>
      </c>
      <c r="H1817" s="1" t="str">
        <f t="shared" si="1176"/>
        <v>BLK</v>
      </c>
      <c r="K1817" s="1">
        <v>5</v>
      </c>
      <c r="L1817" s="1" t="str">
        <f t="shared" si="1160"/>
        <v>01</v>
      </c>
      <c r="M1817" s="1" t="str">
        <f t="shared" si="1156"/>
        <v>409</v>
      </c>
      <c r="N1817" s="1" t="str">
        <f t="shared" si="1173"/>
        <v>013</v>
      </c>
      <c r="O1817" s="1" t="str">
        <f t="shared" si="1161"/>
        <v>00</v>
      </c>
      <c r="P1817" s="1" t="str">
        <f t="shared" si="1162"/>
        <v>S</v>
      </c>
      <c r="Q1817" s="1" t="str">
        <f t="shared" si="1163"/>
        <v>P</v>
      </c>
      <c r="R1817" s="1" t="str">
        <f t="shared" si="1164"/>
        <v>01</v>
      </c>
      <c r="S1817" s="1" t="str">
        <f t="shared" si="1149"/>
        <v>04</v>
      </c>
      <c r="T1817" s="1" t="str">
        <f t="shared" si="1165"/>
        <v>False</v>
      </c>
      <c r="U1817" s="1" t="str">
        <f t="shared" si="1166"/>
        <v>True</v>
      </c>
      <c r="V1817" s="1" t="str">
        <f>"U0023601"</f>
        <v>U0023601</v>
      </c>
      <c r="W1817" s="1">
        <v>1</v>
      </c>
      <c r="Y1817" s="1">
        <v>0</v>
      </c>
      <c r="Z1817" s="1">
        <v>0</v>
      </c>
      <c r="AB1817" s="1" t="str">
        <f t="shared" si="1157"/>
        <v>SMU</v>
      </c>
      <c r="AI1817" s="1" t="str">
        <f>"F11"</f>
        <v>F11</v>
      </c>
      <c r="AJ1817" s="1" t="str">
        <f t="shared" si="1174"/>
        <v>WOMAN</v>
      </c>
      <c r="AK1817" s="1" t="str">
        <f t="shared" si="1167"/>
        <v>PA</v>
      </c>
      <c r="AP1817" s="1" t="str">
        <f t="shared" si="1168"/>
        <v>False</v>
      </c>
      <c r="AR1817" s="1" t="str">
        <f t="shared" si="1177"/>
        <v>SOLAD</v>
      </c>
      <c r="AY1817" s="1" t="str">
        <f t="shared" si="1169"/>
        <v>PF</v>
      </c>
      <c r="AZ1817" s="1">
        <v>0</v>
      </c>
      <c r="BA1817" s="1">
        <v>0</v>
      </c>
      <c r="BB1817" s="1">
        <v>0</v>
      </c>
      <c r="BC1817" s="1">
        <v>0</v>
      </c>
      <c r="BD1817" s="1">
        <v>0</v>
      </c>
      <c r="BE1817" s="1" t="str">
        <f t="shared" si="1178"/>
        <v>S.CADEW  TWILL CANVAS</v>
      </c>
      <c r="BF1817" s="1" t="str">
        <f t="shared" si="1170"/>
        <v>Bonis SpA</v>
      </c>
    </row>
    <row r="1818" spans="2:58" x14ac:dyDescent="0.25">
      <c r="B1818" s="1">
        <v>2557</v>
      </c>
      <c r="C1818" s="1" t="str">
        <f t="shared" si="1175"/>
        <v>SOLAD4188S7/C1</v>
      </c>
      <c r="E1818" s="1" t="str">
        <f>"38"</f>
        <v>38</v>
      </c>
      <c r="F1818" s="1" t="str">
        <f t="shared" si="1159"/>
        <v>BONIS SPA</v>
      </c>
      <c r="G1818" s="1" t="str">
        <f t="shared" si="1148"/>
        <v>STOCK SCAFFALE MP</v>
      </c>
      <c r="H1818" s="1" t="str">
        <f t="shared" si="1176"/>
        <v>BLK</v>
      </c>
      <c r="K1818" s="1">
        <v>2</v>
      </c>
      <c r="L1818" s="1" t="str">
        <f t="shared" si="1160"/>
        <v>01</v>
      </c>
      <c r="M1818" s="1" t="str">
        <f t="shared" si="1156"/>
        <v>409</v>
      </c>
      <c r="N1818" s="1" t="str">
        <f t="shared" si="1173"/>
        <v>013</v>
      </c>
      <c r="O1818" s="1" t="str">
        <f t="shared" si="1161"/>
        <v>00</v>
      </c>
      <c r="P1818" s="1" t="str">
        <f t="shared" si="1162"/>
        <v>S</v>
      </c>
      <c r="Q1818" s="1" t="str">
        <f t="shared" si="1163"/>
        <v>P</v>
      </c>
      <c r="R1818" s="1" t="str">
        <f t="shared" si="1164"/>
        <v>01</v>
      </c>
      <c r="S1818" s="1" t="str">
        <f t="shared" si="1149"/>
        <v>04</v>
      </c>
      <c r="T1818" s="1" t="str">
        <f t="shared" si="1165"/>
        <v>False</v>
      </c>
      <c r="U1818" s="1" t="str">
        <f t="shared" si="1166"/>
        <v>True</v>
      </c>
      <c r="V1818" s="1" t="str">
        <f>"U0028182"</f>
        <v>U0028182</v>
      </c>
      <c r="W1818" s="1">
        <v>1</v>
      </c>
      <c r="Y1818" s="1">
        <v>0</v>
      </c>
      <c r="Z1818" s="1">
        <v>0</v>
      </c>
      <c r="AB1818" s="1" t="str">
        <f t="shared" si="1157"/>
        <v>SMU</v>
      </c>
      <c r="AI1818" s="1" t="str">
        <f>"F11"</f>
        <v>F11</v>
      </c>
      <c r="AJ1818" s="1" t="str">
        <f t="shared" si="1174"/>
        <v>WOMAN</v>
      </c>
      <c r="AK1818" s="1" t="str">
        <f t="shared" si="1167"/>
        <v>PA</v>
      </c>
      <c r="AP1818" s="1" t="str">
        <f t="shared" si="1168"/>
        <v>False</v>
      </c>
      <c r="AR1818" s="1" t="str">
        <f t="shared" si="1177"/>
        <v>SOLAD</v>
      </c>
      <c r="AY1818" s="1" t="str">
        <f t="shared" si="1169"/>
        <v>PF</v>
      </c>
      <c r="AZ1818" s="1">
        <v>0</v>
      </c>
      <c r="BA1818" s="1">
        <v>0</v>
      </c>
      <c r="BB1818" s="1">
        <v>0</v>
      </c>
      <c r="BC1818" s="1">
        <v>0</v>
      </c>
      <c r="BD1818" s="1">
        <v>0</v>
      </c>
      <c r="BE1818" s="1" t="str">
        <f t="shared" si="1178"/>
        <v>S.CADEW  TWILL CANVAS</v>
      </c>
      <c r="BF1818" s="1" t="str">
        <f t="shared" si="1170"/>
        <v>Bonis SpA</v>
      </c>
    </row>
    <row r="1819" spans="2:58" x14ac:dyDescent="0.25">
      <c r="B1819" s="1">
        <v>2557</v>
      </c>
      <c r="C1819" s="1" t="str">
        <f t="shared" si="1175"/>
        <v>SOLAD4188S7/C1</v>
      </c>
      <c r="E1819" s="1" t="str">
        <f>"39"</f>
        <v>39</v>
      </c>
      <c r="F1819" s="1" t="str">
        <f t="shared" si="1159"/>
        <v>BONIS SPA</v>
      </c>
      <c r="G1819" s="1" t="str">
        <f t="shared" si="1148"/>
        <v>STOCK SCAFFALE MP</v>
      </c>
      <c r="H1819" s="1" t="str">
        <f t="shared" si="1176"/>
        <v>BLK</v>
      </c>
      <c r="K1819" s="1">
        <v>7</v>
      </c>
      <c r="L1819" s="1" t="str">
        <f t="shared" si="1160"/>
        <v>01</v>
      </c>
      <c r="M1819" s="1" t="str">
        <f t="shared" si="1156"/>
        <v>409</v>
      </c>
      <c r="N1819" s="1" t="str">
        <f t="shared" si="1173"/>
        <v>013</v>
      </c>
      <c r="O1819" s="1" t="str">
        <f t="shared" si="1161"/>
        <v>00</v>
      </c>
      <c r="P1819" s="1" t="str">
        <f t="shared" si="1162"/>
        <v>S</v>
      </c>
      <c r="Q1819" s="1" t="str">
        <f t="shared" si="1163"/>
        <v>P</v>
      </c>
      <c r="R1819" s="1" t="str">
        <f t="shared" si="1164"/>
        <v>01</v>
      </c>
      <c r="S1819" s="1" t="str">
        <f t="shared" si="1149"/>
        <v>04</v>
      </c>
      <c r="T1819" s="1" t="str">
        <f t="shared" si="1165"/>
        <v>False</v>
      </c>
      <c r="U1819" s="1" t="str">
        <f t="shared" si="1166"/>
        <v>True</v>
      </c>
      <c r="V1819" s="1" t="str">
        <f>"U0028182"</f>
        <v>U0028182</v>
      </c>
      <c r="W1819" s="1">
        <v>1</v>
      </c>
      <c r="Y1819" s="1">
        <v>0</v>
      </c>
      <c r="Z1819" s="1">
        <v>0</v>
      </c>
      <c r="AB1819" s="1" t="str">
        <f t="shared" si="1157"/>
        <v>SMU</v>
      </c>
      <c r="AI1819" s="1" t="str">
        <f>"F06"</f>
        <v>F06</v>
      </c>
      <c r="AJ1819" s="1" t="str">
        <f t="shared" si="1174"/>
        <v>WOMAN</v>
      </c>
      <c r="AK1819" s="1" t="str">
        <f t="shared" si="1167"/>
        <v>PA</v>
      </c>
      <c r="AP1819" s="1" t="str">
        <f t="shared" si="1168"/>
        <v>False</v>
      </c>
      <c r="AR1819" s="1" t="str">
        <f t="shared" si="1177"/>
        <v>SOLAD</v>
      </c>
      <c r="AY1819" s="1" t="str">
        <f t="shared" si="1169"/>
        <v>PF</v>
      </c>
      <c r="AZ1819" s="1">
        <v>0</v>
      </c>
      <c r="BA1819" s="1">
        <v>0</v>
      </c>
      <c r="BB1819" s="1">
        <v>0</v>
      </c>
      <c r="BC1819" s="1">
        <v>0</v>
      </c>
      <c r="BD1819" s="1">
        <v>0</v>
      </c>
      <c r="BE1819" s="1" t="str">
        <f t="shared" si="1178"/>
        <v>S.CADEW  TWILL CANVAS</v>
      </c>
      <c r="BF1819" s="1" t="str">
        <f t="shared" si="1170"/>
        <v>Bonis SpA</v>
      </c>
    </row>
    <row r="1820" spans="2:58" x14ac:dyDescent="0.25">
      <c r="B1820" s="1">
        <v>2557</v>
      </c>
      <c r="C1820" s="1" t="str">
        <f t="shared" si="1175"/>
        <v>SOLAD4188S7/C1</v>
      </c>
      <c r="E1820" s="1" t="str">
        <f>"40"</f>
        <v>40</v>
      </c>
      <c r="F1820" s="1" t="str">
        <f t="shared" si="1159"/>
        <v>BONIS SPA</v>
      </c>
      <c r="G1820" s="1" t="str">
        <f t="shared" si="1148"/>
        <v>STOCK SCAFFALE MP</v>
      </c>
      <c r="H1820" s="1" t="str">
        <f t="shared" si="1176"/>
        <v>BLK</v>
      </c>
      <c r="K1820" s="1">
        <v>1</v>
      </c>
      <c r="L1820" s="1" t="str">
        <f t="shared" si="1160"/>
        <v>01</v>
      </c>
      <c r="M1820" s="1" t="str">
        <f t="shared" si="1156"/>
        <v>409</v>
      </c>
      <c r="N1820" s="1" t="str">
        <f t="shared" si="1173"/>
        <v>013</v>
      </c>
      <c r="O1820" s="1" t="str">
        <f t="shared" si="1161"/>
        <v>00</v>
      </c>
      <c r="P1820" s="1" t="str">
        <f t="shared" si="1162"/>
        <v>S</v>
      </c>
      <c r="Q1820" s="1" t="str">
        <f t="shared" si="1163"/>
        <v>P</v>
      </c>
      <c r="R1820" s="1" t="str">
        <f t="shared" si="1164"/>
        <v>01</v>
      </c>
      <c r="S1820" s="1" t="str">
        <f t="shared" si="1149"/>
        <v>04</v>
      </c>
      <c r="T1820" s="1" t="str">
        <f t="shared" si="1165"/>
        <v>False</v>
      </c>
      <c r="U1820" s="1" t="str">
        <f t="shared" si="1166"/>
        <v>True</v>
      </c>
      <c r="V1820" s="1" t="str">
        <f>"U0028182"</f>
        <v>U0028182</v>
      </c>
      <c r="W1820" s="1">
        <v>1</v>
      </c>
      <c r="Y1820" s="1">
        <v>0</v>
      </c>
      <c r="Z1820" s="1">
        <v>0</v>
      </c>
      <c r="AB1820" s="1" t="str">
        <f t="shared" si="1157"/>
        <v>SMU</v>
      </c>
      <c r="AI1820" s="1" t="str">
        <f t="shared" ref="AI1820:AI1828" si="1179">"F11"</f>
        <v>F11</v>
      </c>
      <c r="AJ1820" s="1" t="str">
        <f t="shared" si="1174"/>
        <v>WOMAN</v>
      </c>
      <c r="AK1820" s="1" t="str">
        <f t="shared" si="1167"/>
        <v>PA</v>
      </c>
      <c r="AP1820" s="1" t="str">
        <f t="shared" si="1168"/>
        <v>False</v>
      </c>
      <c r="AR1820" s="1" t="str">
        <f t="shared" si="1177"/>
        <v>SOLAD</v>
      </c>
      <c r="AY1820" s="1" t="str">
        <f t="shared" si="1169"/>
        <v>PF</v>
      </c>
      <c r="AZ1820" s="1">
        <v>0</v>
      </c>
      <c r="BA1820" s="1">
        <v>0</v>
      </c>
      <c r="BB1820" s="1">
        <v>0</v>
      </c>
      <c r="BC1820" s="1">
        <v>0</v>
      </c>
      <c r="BD1820" s="1">
        <v>0</v>
      </c>
      <c r="BE1820" s="1" t="str">
        <f t="shared" si="1178"/>
        <v>S.CADEW  TWILL CANVAS</v>
      </c>
      <c r="BF1820" s="1" t="str">
        <f t="shared" si="1170"/>
        <v>Bonis SpA</v>
      </c>
    </row>
    <row r="1821" spans="2:58" x14ac:dyDescent="0.25">
      <c r="B1821" s="1">
        <v>2557</v>
      </c>
      <c r="C1821" s="1" t="str">
        <f t="shared" si="1175"/>
        <v>SOLAD4188S7/C1</v>
      </c>
      <c r="E1821" s="1" t="str">
        <f>"40"</f>
        <v>40</v>
      </c>
      <c r="F1821" s="1" t="str">
        <f t="shared" si="1159"/>
        <v>BONIS SPA</v>
      </c>
      <c r="G1821" s="1" t="str">
        <f t="shared" si="1148"/>
        <v>STOCK SCAFFALE MP</v>
      </c>
      <c r="H1821" s="1" t="str">
        <f>"WHI"</f>
        <v>WHI</v>
      </c>
      <c r="K1821" s="1">
        <v>12</v>
      </c>
      <c r="L1821" s="1" t="str">
        <f t="shared" si="1160"/>
        <v>01</v>
      </c>
      <c r="M1821" s="1" t="str">
        <f t="shared" si="1156"/>
        <v>409</v>
      </c>
      <c r="N1821" s="1" t="str">
        <f t="shared" si="1173"/>
        <v>013</v>
      </c>
      <c r="O1821" s="1" t="str">
        <f t="shared" si="1161"/>
        <v>00</v>
      </c>
      <c r="P1821" s="1" t="str">
        <f t="shared" si="1162"/>
        <v>S</v>
      </c>
      <c r="Q1821" s="1" t="str">
        <f t="shared" si="1163"/>
        <v>P</v>
      </c>
      <c r="R1821" s="1" t="str">
        <f t="shared" si="1164"/>
        <v>01</v>
      </c>
      <c r="S1821" s="1" t="str">
        <f t="shared" si="1149"/>
        <v>04</v>
      </c>
      <c r="T1821" s="1" t="str">
        <f t="shared" si="1165"/>
        <v>False</v>
      </c>
      <c r="U1821" s="1" t="str">
        <f t="shared" si="1166"/>
        <v>True</v>
      </c>
      <c r="V1821" s="1" t="str">
        <f>"U0027689"</f>
        <v>U0027689</v>
      </c>
      <c r="W1821" s="1">
        <v>1</v>
      </c>
      <c r="Y1821" s="1">
        <v>0</v>
      </c>
      <c r="Z1821" s="1">
        <v>0</v>
      </c>
      <c r="AB1821" s="1" t="str">
        <f t="shared" si="1157"/>
        <v>SMU</v>
      </c>
      <c r="AI1821" s="1" t="str">
        <f t="shared" si="1179"/>
        <v>F11</v>
      </c>
      <c r="AJ1821" s="1" t="str">
        <f t="shared" si="1174"/>
        <v>WOMAN</v>
      </c>
      <c r="AK1821" s="1" t="str">
        <f t="shared" si="1167"/>
        <v>PA</v>
      </c>
      <c r="AP1821" s="1" t="str">
        <f t="shared" si="1168"/>
        <v>False</v>
      </c>
      <c r="AR1821" s="1" t="str">
        <f t="shared" si="1177"/>
        <v>SOLAD</v>
      </c>
      <c r="AY1821" s="1" t="str">
        <f t="shared" si="1169"/>
        <v>PF</v>
      </c>
      <c r="AZ1821" s="1">
        <v>0</v>
      </c>
      <c r="BA1821" s="1">
        <v>0</v>
      </c>
      <c r="BB1821" s="1">
        <v>0</v>
      </c>
      <c r="BC1821" s="1">
        <v>0</v>
      </c>
      <c r="BD1821" s="1">
        <v>0</v>
      </c>
      <c r="BE1821" s="1" t="str">
        <f t="shared" si="1178"/>
        <v>S.CADEW  TWILL CANVAS</v>
      </c>
      <c r="BF1821" s="1" t="str">
        <f t="shared" si="1170"/>
        <v>Bonis SpA</v>
      </c>
    </row>
    <row r="1822" spans="2:58" x14ac:dyDescent="0.25">
      <c r="B1822" s="1">
        <v>2557</v>
      </c>
      <c r="C1822" s="1" t="str">
        <f t="shared" si="1175"/>
        <v>SOLAD4188S7/C1</v>
      </c>
      <c r="E1822" s="1" t="str">
        <f>"39"</f>
        <v>39</v>
      </c>
      <c r="F1822" s="1" t="str">
        <f t="shared" si="1159"/>
        <v>BONIS SPA</v>
      </c>
      <c r="G1822" s="1" t="str">
        <f t="shared" si="1148"/>
        <v>STOCK SCAFFALE MP</v>
      </c>
      <c r="H1822" s="1" t="str">
        <f t="shared" ref="H1822:H1827" si="1180">"BLUE"</f>
        <v>BLUE</v>
      </c>
      <c r="K1822" s="1">
        <v>6</v>
      </c>
      <c r="L1822" s="1" t="str">
        <f t="shared" si="1160"/>
        <v>01</v>
      </c>
      <c r="M1822" s="1" t="str">
        <f t="shared" si="1156"/>
        <v>409</v>
      </c>
      <c r="N1822" s="1" t="str">
        <f t="shared" si="1173"/>
        <v>013</v>
      </c>
      <c r="O1822" s="1" t="str">
        <f t="shared" si="1161"/>
        <v>00</v>
      </c>
      <c r="P1822" s="1" t="str">
        <f t="shared" si="1162"/>
        <v>S</v>
      </c>
      <c r="Q1822" s="1" t="str">
        <f t="shared" si="1163"/>
        <v>P</v>
      </c>
      <c r="R1822" s="1" t="str">
        <f t="shared" si="1164"/>
        <v>01</v>
      </c>
      <c r="S1822" s="1" t="str">
        <f t="shared" si="1149"/>
        <v>04</v>
      </c>
      <c r="T1822" s="1" t="str">
        <f t="shared" si="1165"/>
        <v>False</v>
      </c>
      <c r="U1822" s="1" t="str">
        <f t="shared" si="1166"/>
        <v>True</v>
      </c>
      <c r="V1822" s="1" t="str">
        <f>"U0027712"</f>
        <v>U0027712</v>
      </c>
      <c r="W1822" s="1">
        <v>1</v>
      </c>
      <c r="Y1822" s="1">
        <v>0</v>
      </c>
      <c r="Z1822" s="1">
        <v>0</v>
      </c>
      <c r="AB1822" s="1" t="str">
        <f t="shared" si="1157"/>
        <v>SMU</v>
      </c>
      <c r="AI1822" s="1" t="str">
        <f t="shared" si="1179"/>
        <v>F11</v>
      </c>
      <c r="AJ1822" s="1" t="str">
        <f t="shared" si="1174"/>
        <v>WOMAN</v>
      </c>
      <c r="AK1822" s="1" t="str">
        <f t="shared" si="1167"/>
        <v>PA</v>
      </c>
      <c r="AP1822" s="1" t="str">
        <f t="shared" si="1168"/>
        <v>False</v>
      </c>
      <c r="AR1822" s="1" t="str">
        <f t="shared" si="1177"/>
        <v>SOLAD</v>
      </c>
      <c r="AY1822" s="1" t="str">
        <f t="shared" si="1169"/>
        <v>PF</v>
      </c>
      <c r="AZ1822" s="1">
        <v>0</v>
      </c>
      <c r="BA1822" s="1">
        <v>0</v>
      </c>
      <c r="BB1822" s="1">
        <v>0</v>
      </c>
      <c r="BC1822" s="1">
        <v>0</v>
      </c>
      <c r="BD1822" s="1">
        <v>0</v>
      </c>
      <c r="BE1822" s="1" t="str">
        <f t="shared" si="1178"/>
        <v>S.CADEW  TWILL CANVAS</v>
      </c>
      <c r="BF1822" s="1" t="str">
        <f t="shared" si="1170"/>
        <v>Bonis SpA</v>
      </c>
    </row>
    <row r="1823" spans="2:58" x14ac:dyDescent="0.25">
      <c r="B1823" s="1">
        <v>2557</v>
      </c>
      <c r="C1823" s="1" t="str">
        <f t="shared" si="1175"/>
        <v>SOLAD4188S7/C1</v>
      </c>
      <c r="E1823" s="1" t="str">
        <f>"40"</f>
        <v>40</v>
      </c>
      <c r="F1823" s="1" t="str">
        <f t="shared" si="1159"/>
        <v>BONIS SPA</v>
      </c>
      <c r="G1823" s="1" t="str">
        <f t="shared" si="1148"/>
        <v>STOCK SCAFFALE MP</v>
      </c>
      <c r="H1823" s="1" t="str">
        <f t="shared" si="1180"/>
        <v>BLUE</v>
      </c>
      <c r="K1823" s="1">
        <v>3</v>
      </c>
      <c r="L1823" s="1" t="str">
        <f t="shared" si="1160"/>
        <v>01</v>
      </c>
      <c r="M1823" s="1" t="str">
        <f t="shared" si="1156"/>
        <v>409</v>
      </c>
      <c r="N1823" s="1" t="str">
        <f t="shared" si="1173"/>
        <v>013</v>
      </c>
      <c r="O1823" s="1" t="str">
        <f t="shared" si="1161"/>
        <v>00</v>
      </c>
      <c r="P1823" s="1" t="str">
        <f t="shared" si="1162"/>
        <v>S</v>
      </c>
      <c r="Q1823" s="1" t="str">
        <f t="shared" si="1163"/>
        <v>P</v>
      </c>
      <c r="R1823" s="1" t="str">
        <f t="shared" si="1164"/>
        <v>01</v>
      </c>
      <c r="S1823" s="1" t="str">
        <f t="shared" si="1149"/>
        <v>04</v>
      </c>
      <c r="T1823" s="1" t="str">
        <f t="shared" si="1165"/>
        <v>False</v>
      </c>
      <c r="U1823" s="1" t="str">
        <f t="shared" si="1166"/>
        <v>True</v>
      </c>
      <c r="V1823" s="1" t="str">
        <f>"U0027712"</f>
        <v>U0027712</v>
      </c>
      <c r="W1823" s="1">
        <v>1</v>
      </c>
      <c r="Y1823" s="1">
        <v>0</v>
      </c>
      <c r="Z1823" s="1">
        <v>0</v>
      </c>
      <c r="AB1823" s="1" t="str">
        <f t="shared" si="1157"/>
        <v>SMU</v>
      </c>
      <c r="AI1823" s="1" t="str">
        <f t="shared" si="1179"/>
        <v>F11</v>
      </c>
      <c r="AJ1823" s="1" t="str">
        <f t="shared" si="1174"/>
        <v>WOMAN</v>
      </c>
      <c r="AK1823" s="1" t="str">
        <f t="shared" si="1167"/>
        <v>PA</v>
      </c>
      <c r="AP1823" s="1" t="str">
        <f t="shared" si="1168"/>
        <v>False</v>
      </c>
      <c r="AR1823" s="1" t="str">
        <f t="shared" si="1177"/>
        <v>SOLAD</v>
      </c>
      <c r="AY1823" s="1" t="str">
        <f t="shared" si="1169"/>
        <v>PF</v>
      </c>
      <c r="AZ1823" s="1">
        <v>0</v>
      </c>
      <c r="BA1823" s="1">
        <v>0</v>
      </c>
      <c r="BB1823" s="1">
        <v>0</v>
      </c>
      <c r="BC1823" s="1">
        <v>0</v>
      </c>
      <c r="BD1823" s="1">
        <v>0</v>
      </c>
      <c r="BE1823" s="1" t="str">
        <f t="shared" si="1178"/>
        <v>S.CADEW  TWILL CANVAS</v>
      </c>
      <c r="BF1823" s="1" t="str">
        <f t="shared" si="1170"/>
        <v>Bonis SpA</v>
      </c>
    </row>
    <row r="1824" spans="2:58" x14ac:dyDescent="0.25">
      <c r="B1824" s="1">
        <v>2557</v>
      </c>
      <c r="C1824" s="1" t="str">
        <f t="shared" si="1175"/>
        <v>SOLAD4188S7/C1</v>
      </c>
      <c r="E1824" s="1" t="str">
        <f>"41"</f>
        <v>41</v>
      </c>
      <c r="F1824" s="1" t="str">
        <f t="shared" si="1159"/>
        <v>BONIS SPA</v>
      </c>
      <c r="G1824" s="1" t="str">
        <f t="shared" si="1148"/>
        <v>STOCK SCAFFALE MP</v>
      </c>
      <c r="H1824" s="1" t="str">
        <f t="shared" si="1180"/>
        <v>BLUE</v>
      </c>
      <c r="K1824" s="1">
        <v>3</v>
      </c>
      <c r="L1824" s="1" t="str">
        <f t="shared" si="1160"/>
        <v>01</v>
      </c>
      <c r="M1824" s="1" t="str">
        <f t="shared" si="1156"/>
        <v>409</v>
      </c>
      <c r="N1824" s="1" t="str">
        <f t="shared" si="1173"/>
        <v>013</v>
      </c>
      <c r="O1824" s="1" t="str">
        <f t="shared" si="1161"/>
        <v>00</v>
      </c>
      <c r="P1824" s="1" t="str">
        <f t="shared" si="1162"/>
        <v>S</v>
      </c>
      <c r="Q1824" s="1" t="str">
        <f t="shared" si="1163"/>
        <v>P</v>
      </c>
      <c r="R1824" s="1" t="str">
        <f t="shared" si="1164"/>
        <v>01</v>
      </c>
      <c r="S1824" s="1" t="str">
        <f t="shared" si="1149"/>
        <v>04</v>
      </c>
      <c r="T1824" s="1" t="str">
        <f t="shared" si="1165"/>
        <v>False</v>
      </c>
      <c r="U1824" s="1" t="str">
        <f t="shared" si="1166"/>
        <v>True</v>
      </c>
      <c r="V1824" s="1" t="str">
        <f>"U0027712"</f>
        <v>U0027712</v>
      </c>
      <c r="W1824" s="1">
        <v>1</v>
      </c>
      <c r="Y1824" s="1">
        <v>0</v>
      </c>
      <c r="Z1824" s="1">
        <v>0</v>
      </c>
      <c r="AB1824" s="1" t="str">
        <f t="shared" si="1157"/>
        <v>SMU</v>
      </c>
      <c r="AI1824" s="1" t="str">
        <f t="shared" si="1179"/>
        <v>F11</v>
      </c>
      <c r="AJ1824" s="1" t="str">
        <f t="shared" si="1174"/>
        <v>WOMAN</v>
      </c>
      <c r="AK1824" s="1" t="str">
        <f t="shared" si="1167"/>
        <v>PA</v>
      </c>
      <c r="AP1824" s="1" t="str">
        <f t="shared" si="1168"/>
        <v>False</v>
      </c>
      <c r="AR1824" s="1" t="str">
        <f t="shared" si="1177"/>
        <v>SOLAD</v>
      </c>
      <c r="AY1824" s="1" t="str">
        <f t="shared" si="1169"/>
        <v>PF</v>
      </c>
      <c r="AZ1824" s="1">
        <v>0</v>
      </c>
      <c r="BA1824" s="1">
        <v>0</v>
      </c>
      <c r="BB1824" s="1">
        <v>0</v>
      </c>
      <c r="BC1824" s="1">
        <v>0</v>
      </c>
      <c r="BD1824" s="1">
        <v>0</v>
      </c>
      <c r="BE1824" s="1" t="str">
        <f t="shared" si="1178"/>
        <v>S.CADEW  TWILL CANVAS</v>
      </c>
      <c r="BF1824" s="1" t="str">
        <f t="shared" si="1170"/>
        <v>Bonis SpA</v>
      </c>
    </row>
    <row r="1825" spans="2:58" x14ac:dyDescent="0.25">
      <c r="B1825" s="1">
        <v>2557</v>
      </c>
      <c r="C1825" s="1" t="str">
        <f t="shared" si="1175"/>
        <v>SOLAD4188S7/C1</v>
      </c>
      <c r="E1825" s="1" t="str">
        <f>"39"</f>
        <v>39</v>
      </c>
      <c r="F1825" s="1" t="str">
        <f t="shared" si="1159"/>
        <v>BONIS SPA</v>
      </c>
      <c r="G1825" s="1" t="str">
        <f t="shared" si="1148"/>
        <v>STOCK SCAFFALE MP</v>
      </c>
      <c r="H1825" s="1" t="str">
        <f t="shared" si="1180"/>
        <v>BLUE</v>
      </c>
      <c r="K1825" s="1">
        <v>1</v>
      </c>
      <c r="L1825" s="1" t="str">
        <f t="shared" si="1160"/>
        <v>01</v>
      </c>
      <c r="M1825" s="1" t="str">
        <f t="shared" si="1156"/>
        <v>409</v>
      </c>
      <c r="N1825" s="1" t="str">
        <f t="shared" si="1173"/>
        <v>013</v>
      </c>
      <c r="O1825" s="1" t="str">
        <f t="shared" si="1161"/>
        <v>00</v>
      </c>
      <c r="P1825" s="1" t="str">
        <f t="shared" si="1162"/>
        <v>S</v>
      </c>
      <c r="Q1825" s="1" t="str">
        <f t="shared" si="1163"/>
        <v>P</v>
      </c>
      <c r="R1825" s="1" t="str">
        <f t="shared" si="1164"/>
        <v>01</v>
      </c>
      <c r="S1825" s="1" t="str">
        <f t="shared" si="1149"/>
        <v>04</v>
      </c>
      <c r="T1825" s="1" t="str">
        <f t="shared" si="1165"/>
        <v>False</v>
      </c>
      <c r="U1825" s="1" t="str">
        <f t="shared" si="1166"/>
        <v>True</v>
      </c>
      <c r="V1825" s="1" t="str">
        <f>"U0023713"</f>
        <v>U0023713</v>
      </c>
      <c r="W1825" s="1">
        <v>1</v>
      </c>
      <c r="Y1825" s="1">
        <v>0</v>
      </c>
      <c r="Z1825" s="1">
        <v>0</v>
      </c>
      <c r="AB1825" s="1" t="str">
        <f t="shared" si="1157"/>
        <v>SMU</v>
      </c>
      <c r="AI1825" s="1" t="str">
        <f t="shared" si="1179"/>
        <v>F11</v>
      </c>
      <c r="AJ1825" s="1" t="str">
        <f t="shared" si="1174"/>
        <v>WOMAN</v>
      </c>
      <c r="AK1825" s="1" t="str">
        <f t="shared" si="1167"/>
        <v>PA</v>
      </c>
      <c r="AP1825" s="1" t="str">
        <f t="shared" si="1168"/>
        <v>False</v>
      </c>
      <c r="AR1825" s="1" t="str">
        <f t="shared" si="1177"/>
        <v>SOLAD</v>
      </c>
      <c r="AY1825" s="1" t="str">
        <f t="shared" si="1169"/>
        <v>PF</v>
      </c>
      <c r="AZ1825" s="1">
        <v>0</v>
      </c>
      <c r="BA1825" s="1">
        <v>0</v>
      </c>
      <c r="BB1825" s="1">
        <v>0</v>
      </c>
      <c r="BC1825" s="1">
        <v>0</v>
      </c>
      <c r="BD1825" s="1">
        <v>0</v>
      </c>
      <c r="BE1825" s="1" t="str">
        <f t="shared" si="1178"/>
        <v>S.CADEW  TWILL CANVAS</v>
      </c>
      <c r="BF1825" s="1" t="str">
        <f t="shared" si="1170"/>
        <v>Bonis SpA</v>
      </c>
    </row>
    <row r="1826" spans="2:58" x14ac:dyDescent="0.25">
      <c r="B1826" s="1">
        <v>2557</v>
      </c>
      <c r="C1826" s="1" t="str">
        <f t="shared" si="1175"/>
        <v>SOLAD4188S7/C1</v>
      </c>
      <c r="E1826" s="1" t="str">
        <f>"38"</f>
        <v>38</v>
      </c>
      <c r="F1826" s="1" t="str">
        <f t="shared" si="1159"/>
        <v>BONIS SPA</v>
      </c>
      <c r="G1826" s="1" t="str">
        <f t="shared" si="1148"/>
        <v>STOCK SCAFFALE MP</v>
      </c>
      <c r="H1826" s="1" t="str">
        <f t="shared" si="1180"/>
        <v>BLUE</v>
      </c>
      <c r="K1826" s="1">
        <v>7</v>
      </c>
      <c r="L1826" s="1" t="str">
        <f t="shared" si="1160"/>
        <v>01</v>
      </c>
      <c r="M1826" s="1" t="str">
        <f t="shared" si="1156"/>
        <v>409</v>
      </c>
      <c r="N1826" s="1" t="str">
        <f t="shared" si="1173"/>
        <v>013</v>
      </c>
      <c r="O1826" s="1" t="str">
        <f t="shared" si="1161"/>
        <v>00</v>
      </c>
      <c r="P1826" s="1" t="str">
        <f t="shared" si="1162"/>
        <v>S</v>
      </c>
      <c r="Q1826" s="1" t="str">
        <f t="shared" si="1163"/>
        <v>P</v>
      </c>
      <c r="R1826" s="1" t="str">
        <f t="shared" si="1164"/>
        <v>01</v>
      </c>
      <c r="S1826" s="1" t="str">
        <f t="shared" si="1149"/>
        <v>04</v>
      </c>
      <c r="T1826" s="1" t="str">
        <f t="shared" si="1165"/>
        <v>False</v>
      </c>
      <c r="U1826" s="1" t="str">
        <f t="shared" si="1166"/>
        <v>True</v>
      </c>
      <c r="V1826" s="1" t="str">
        <f>"U0023713"</f>
        <v>U0023713</v>
      </c>
      <c r="W1826" s="1">
        <v>1</v>
      </c>
      <c r="Y1826" s="1">
        <v>0</v>
      </c>
      <c r="Z1826" s="1">
        <v>0</v>
      </c>
      <c r="AB1826" s="1" t="str">
        <f t="shared" si="1157"/>
        <v>SMU</v>
      </c>
      <c r="AI1826" s="1" t="str">
        <f t="shared" si="1179"/>
        <v>F11</v>
      </c>
      <c r="AJ1826" s="1" t="str">
        <f t="shared" si="1174"/>
        <v>WOMAN</v>
      </c>
      <c r="AK1826" s="1" t="str">
        <f t="shared" si="1167"/>
        <v>PA</v>
      </c>
      <c r="AP1826" s="1" t="str">
        <f t="shared" si="1168"/>
        <v>False</v>
      </c>
      <c r="AR1826" s="1" t="str">
        <f t="shared" si="1177"/>
        <v>SOLAD</v>
      </c>
      <c r="AY1826" s="1" t="str">
        <f t="shared" si="1169"/>
        <v>PF</v>
      </c>
      <c r="AZ1826" s="1">
        <v>0</v>
      </c>
      <c r="BA1826" s="1">
        <v>0</v>
      </c>
      <c r="BB1826" s="1">
        <v>0</v>
      </c>
      <c r="BC1826" s="1">
        <v>0</v>
      </c>
      <c r="BD1826" s="1">
        <v>0</v>
      </c>
      <c r="BE1826" s="1" t="str">
        <f t="shared" si="1178"/>
        <v>S.CADEW  TWILL CANVAS</v>
      </c>
      <c r="BF1826" s="1" t="str">
        <f t="shared" si="1170"/>
        <v>Bonis SpA</v>
      </c>
    </row>
    <row r="1827" spans="2:58" x14ac:dyDescent="0.25">
      <c r="B1827" s="1">
        <v>2557</v>
      </c>
      <c r="C1827" s="1" t="str">
        <f t="shared" si="1175"/>
        <v>SOLAD4188S7/C1</v>
      </c>
      <c r="E1827" s="1" t="str">
        <f>"37"</f>
        <v>37</v>
      </c>
      <c r="F1827" s="1" t="str">
        <f t="shared" si="1159"/>
        <v>BONIS SPA</v>
      </c>
      <c r="G1827" s="1" t="str">
        <f t="shared" si="1148"/>
        <v>STOCK SCAFFALE MP</v>
      </c>
      <c r="H1827" s="1" t="str">
        <f t="shared" si="1180"/>
        <v>BLUE</v>
      </c>
      <c r="K1827" s="1">
        <v>2</v>
      </c>
      <c r="L1827" s="1" t="str">
        <f t="shared" si="1160"/>
        <v>01</v>
      </c>
      <c r="M1827" s="1" t="str">
        <f t="shared" si="1156"/>
        <v>409</v>
      </c>
      <c r="N1827" s="1" t="str">
        <f t="shared" si="1173"/>
        <v>013</v>
      </c>
      <c r="O1827" s="1" t="str">
        <f t="shared" si="1161"/>
        <v>00</v>
      </c>
      <c r="P1827" s="1" t="str">
        <f t="shared" si="1162"/>
        <v>S</v>
      </c>
      <c r="Q1827" s="1" t="str">
        <f t="shared" si="1163"/>
        <v>P</v>
      </c>
      <c r="R1827" s="1" t="str">
        <f t="shared" si="1164"/>
        <v>01</v>
      </c>
      <c r="S1827" s="1" t="str">
        <f t="shared" si="1149"/>
        <v>04</v>
      </c>
      <c r="T1827" s="1" t="str">
        <f t="shared" si="1165"/>
        <v>False</v>
      </c>
      <c r="U1827" s="1" t="str">
        <f t="shared" si="1166"/>
        <v>True</v>
      </c>
      <c r="V1827" s="1" t="str">
        <f>"U0023713"</f>
        <v>U0023713</v>
      </c>
      <c r="W1827" s="1">
        <v>1</v>
      </c>
      <c r="Y1827" s="1">
        <v>0</v>
      </c>
      <c r="Z1827" s="1">
        <v>0</v>
      </c>
      <c r="AB1827" s="1" t="str">
        <f t="shared" si="1157"/>
        <v>SMU</v>
      </c>
      <c r="AI1827" s="1" t="str">
        <f t="shared" si="1179"/>
        <v>F11</v>
      </c>
      <c r="AJ1827" s="1" t="str">
        <f t="shared" si="1174"/>
        <v>WOMAN</v>
      </c>
      <c r="AK1827" s="1" t="str">
        <f t="shared" si="1167"/>
        <v>PA</v>
      </c>
      <c r="AP1827" s="1" t="str">
        <f t="shared" si="1168"/>
        <v>False</v>
      </c>
      <c r="AR1827" s="1" t="str">
        <f t="shared" si="1177"/>
        <v>SOLAD</v>
      </c>
      <c r="AY1827" s="1" t="str">
        <f t="shared" si="1169"/>
        <v>PF</v>
      </c>
      <c r="AZ1827" s="1">
        <v>0</v>
      </c>
      <c r="BA1827" s="1">
        <v>0</v>
      </c>
      <c r="BB1827" s="1">
        <v>0</v>
      </c>
      <c r="BC1827" s="1">
        <v>0</v>
      </c>
      <c r="BD1827" s="1">
        <v>0</v>
      </c>
      <c r="BE1827" s="1" t="str">
        <f t="shared" si="1178"/>
        <v>S.CADEW  TWILL CANVAS</v>
      </c>
      <c r="BF1827" s="1" t="str">
        <f t="shared" si="1170"/>
        <v>Bonis SpA</v>
      </c>
    </row>
    <row r="1828" spans="2:58" x14ac:dyDescent="0.25">
      <c r="B1828" s="1">
        <v>2557</v>
      </c>
      <c r="C1828" s="1" t="str">
        <f t="shared" si="1175"/>
        <v>SOLAD4188S7/C1</v>
      </c>
      <c r="E1828" s="1" t="str">
        <f>"38"</f>
        <v>38</v>
      </c>
      <c r="F1828" s="1" t="str">
        <f t="shared" si="1159"/>
        <v>BONIS SPA</v>
      </c>
      <c r="G1828" s="1" t="str">
        <f t="shared" si="1148"/>
        <v>STOCK SCAFFALE MP</v>
      </c>
      <c r="H1828" s="1" t="str">
        <f>"DKBL"</f>
        <v>DKBL</v>
      </c>
      <c r="K1828" s="1">
        <v>10</v>
      </c>
      <c r="L1828" s="1" t="str">
        <f t="shared" si="1160"/>
        <v>01</v>
      </c>
      <c r="M1828" s="1" t="str">
        <f t="shared" si="1156"/>
        <v>409</v>
      </c>
      <c r="N1828" s="1" t="str">
        <f t="shared" si="1173"/>
        <v>013</v>
      </c>
      <c r="O1828" s="1" t="str">
        <f t="shared" si="1161"/>
        <v>00</v>
      </c>
      <c r="P1828" s="1" t="str">
        <f t="shared" si="1162"/>
        <v>S</v>
      </c>
      <c r="Q1828" s="1" t="str">
        <f t="shared" si="1163"/>
        <v>P</v>
      </c>
      <c r="R1828" s="1" t="str">
        <f t="shared" si="1164"/>
        <v>01</v>
      </c>
      <c r="S1828" s="1" t="str">
        <f t="shared" si="1149"/>
        <v>04</v>
      </c>
      <c r="T1828" s="1" t="str">
        <f t="shared" si="1165"/>
        <v>False</v>
      </c>
      <c r="U1828" s="1" t="str">
        <f t="shared" si="1166"/>
        <v>True</v>
      </c>
      <c r="V1828" s="1" t="str">
        <f>"U0032604"</f>
        <v>U0032604</v>
      </c>
      <c r="W1828" s="1">
        <v>1</v>
      </c>
      <c r="Y1828" s="1">
        <v>0</v>
      </c>
      <c r="Z1828" s="1">
        <v>0</v>
      </c>
      <c r="AB1828" s="1" t="str">
        <f t="shared" si="1157"/>
        <v>SMU</v>
      </c>
      <c r="AI1828" s="1" t="str">
        <f t="shared" si="1179"/>
        <v>F11</v>
      </c>
      <c r="AJ1828" s="1" t="str">
        <f t="shared" si="1174"/>
        <v>WOMAN</v>
      </c>
      <c r="AK1828" s="1" t="str">
        <f t="shared" si="1167"/>
        <v>PA</v>
      </c>
      <c r="AP1828" s="1" t="str">
        <f t="shared" si="1168"/>
        <v>False</v>
      </c>
      <c r="AR1828" s="1" t="str">
        <f t="shared" si="1177"/>
        <v>SOLAD</v>
      </c>
      <c r="AY1828" s="1" t="str">
        <f t="shared" si="1169"/>
        <v>PF</v>
      </c>
      <c r="AZ1828" s="1">
        <v>0</v>
      </c>
      <c r="BA1828" s="1">
        <v>0</v>
      </c>
      <c r="BB1828" s="1">
        <v>0</v>
      </c>
      <c r="BC1828" s="1">
        <v>0</v>
      </c>
      <c r="BD1828" s="1">
        <v>0</v>
      </c>
      <c r="BE1828" s="1" t="str">
        <f t="shared" si="1178"/>
        <v>S.CADEW  TWILL CANVAS</v>
      </c>
      <c r="BF1828" s="1" t="str">
        <f t="shared" si="1170"/>
        <v>Bonis SpA</v>
      </c>
    </row>
    <row r="1829" spans="2:58" x14ac:dyDescent="0.25">
      <c r="B1829" s="1">
        <v>2557</v>
      </c>
      <c r="C1829" s="1" t="str">
        <f t="shared" si="1175"/>
        <v>SOLAD4188S7/C1</v>
      </c>
      <c r="E1829" s="1" t="str">
        <f>"40"</f>
        <v>40</v>
      </c>
      <c r="F1829" s="1" t="str">
        <f t="shared" si="1159"/>
        <v>BONIS SPA</v>
      </c>
      <c r="G1829" s="1" t="str">
        <f t="shared" si="1148"/>
        <v>STOCK SCAFFALE MP</v>
      </c>
      <c r="H1829" s="1" t="str">
        <f>"BLK"</f>
        <v>BLK</v>
      </c>
      <c r="K1829" s="1">
        <v>3</v>
      </c>
      <c r="L1829" s="1" t="str">
        <f t="shared" si="1160"/>
        <v>01</v>
      </c>
      <c r="M1829" s="1" t="str">
        <f t="shared" si="1156"/>
        <v>409</v>
      </c>
      <c r="N1829" s="1" t="str">
        <f t="shared" si="1173"/>
        <v>013</v>
      </c>
      <c r="O1829" s="1" t="str">
        <f t="shared" si="1161"/>
        <v>00</v>
      </c>
      <c r="P1829" s="1" t="str">
        <f t="shared" si="1162"/>
        <v>S</v>
      </c>
      <c r="Q1829" s="1" t="str">
        <f t="shared" si="1163"/>
        <v>P</v>
      </c>
      <c r="R1829" s="1" t="str">
        <f t="shared" si="1164"/>
        <v>01</v>
      </c>
      <c r="S1829" s="1" t="str">
        <f t="shared" si="1149"/>
        <v>04</v>
      </c>
      <c r="T1829" s="1" t="str">
        <f t="shared" si="1165"/>
        <v>False</v>
      </c>
      <c r="U1829" s="1" t="str">
        <f t="shared" si="1166"/>
        <v>True</v>
      </c>
      <c r="V1829" s="1" t="str">
        <f>"U0028156"</f>
        <v>U0028156</v>
      </c>
      <c r="W1829" s="1">
        <v>1</v>
      </c>
      <c r="Y1829" s="1">
        <v>0</v>
      </c>
      <c r="Z1829" s="1">
        <v>0</v>
      </c>
      <c r="AB1829" s="1" t="str">
        <f t="shared" si="1157"/>
        <v>SMU</v>
      </c>
      <c r="AI1829" s="1" t="str">
        <f>"106"</f>
        <v>106</v>
      </c>
      <c r="AJ1829" s="1" t="str">
        <f t="shared" si="1174"/>
        <v>WOMAN</v>
      </c>
      <c r="AK1829" s="1" t="str">
        <f t="shared" si="1167"/>
        <v>PA</v>
      </c>
      <c r="AP1829" s="1" t="str">
        <f t="shared" si="1168"/>
        <v>False</v>
      </c>
      <c r="AR1829" s="1" t="str">
        <f t="shared" si="1177"/>
        <v>SOLAD</v>
      </c>
      <c r="AY1829" s="1" t="str">
        <f t="shared" si="1169"/>
        <v>PF</v>
      </c>
      <c r="AZ1829" s="1">
        <v>0</v>
      </c>
      <c r="BA1829" s="1">
        <v>0</v>
      </c>
      <c r="BB1829" s="1">
        <v>0</v>
      </c>
      <c r="BC1829" s="1">
        <v>0</v>
      </c>
      <c r="BD1829" s="1">
        <v>0</v>
      </c>
      <c r="BE1829" s="1" t="str">
        <f t="shared" si="1178"/>
        <v>S.CADEW  TWILL CANVAS</v>
      </c>
      <c r="BF1829" s="1" t="str">
        <f t="shared" si="1170"/>
        <v>Bonis SpA</v>
      </c>
    </row>
    <row r="1830" spans="2:58" x14ac:dyDescent="0.25">
      <c r="B1830" s="1">
        <v>2557</v>
      </c>
      <c r="C1830" s="1" t="str">
        <f t="shared" si="1175"/>
        <v>SOLAD4188S7/C1</v>
      </c>
      <c r="E1830" s="1" t="str">
        <f>"41"</f>
        <v>41</v>
      </c>
      <c r="F1830" s="1" t="str">
        <f t="shared" si="1159"/>
        <v>BONIS SPA</v>
      </c>
      <c r="G1830" s="1" t="str">
        <f t="shared" si="1148"/>
        <v>STOCK SCAFFALE MP</v>
      </c>
      <c r="H1830" s="1" t="str">
        <f>"WHI"</f>
        <v>WHI</v>
      </c>
      <c r="K1830" s="1">
        <v>12</v>
      </c>
      <c r="L1830" s="1" t="str">
        <f t="shared" si="1160"/>
        <v>01</v>
      </c>
      <c r="M1830" s="1" t="str">
        <f t="shared" si="1156"/>
        <v>409</v>
      </c>
      <c r="N1830" s="1" t="str">
        <f t="shared" si="1173"/>
        <v>013</v>
      </c>
      <c r="O1830" s="1" t="str">
        <f t="shared" si="1161"/>
        <v>00</v>
      </c>
      <c r="P1830" s="1" t="str">
        <f t="shared" si="1162"/>
        <v>S</v>
      </c>
      <c r="Q1830" s="1" t="str">
        <f t="shared" si="1163"/>
        <v>P</v>
      </c>
      <c r="R1830" s="1" t="str">
        <f t="shared" si="1164"/>
        <v>01</v>
      </c>
      <c r="S1830" s="1" t="str">
        <f t="shared" si="1149"/>
        <v>04</v>
      </c>
      <c r="T1830" s="1" t="str">
        <f t="shared" si="1165"/>
        <v>False</v>
      </c>
      <c r="U1830" s="1" t="str">
        <f t="shared" si="1166"/>
        <v>True</v>
      </c>
      <c r="V1830" s="1" t="str">
        <f>"U0023696"</f>
        <v>U0023696</v>
      </c>
      <c r="W1830" s="1">
        <v>1</v>
      </c>
      <c r="Y1830" s="1">
        <v>0</v>
      </c>
      <c r="Z1830" s="1">
        <v>0</v>
      </c>
      <c r="AB1830" s="1" t="str">
        <f t="shared" si="1157"/>
        <v>SMU</v>
      </c>
      <c r="AI1830" s="1" t="str">
        <f t="shared" ref="AI1830:AI1838" si="1181">"F11"</f>
        <v>F11</v>
      </c>
      <c r="AJ1830" s="1" t="str">
        <f t="shared" si="1174"/>
        <v>WOMAN</v>
      </c>
      <c r="AK1830" s="1" t="str">
        <f t="shared" si="1167"/>
        <v>PA</v>
      </c>
      <c r="AP1830" s="1" t="str">
        <f t="shared" si="1168"/>
        <v>False</v>
      </c>
      <c r="AR1830" s="1" t="str">
        <f t="shared" si="1177"/>
        <v>SOLAD</v>
      </c>
      <c r="AY1830" s="1" t="str">
        <f t="shared" si="1169"/>
        <v>PF</v>
      </c>
      <c r="AZ1830" s="1">
        <v>0</v>
      </c>
      <c r="BA1830" s="1">
        <v>0</v>
      </c>
      <c r="BB1830" s="1">
        <v>0</v>
      </c>
      <c r="BC1830" s="1">
        <v>0</v>
      </c>
      <c r="BD1830" s="1">
        <v>0</v>
      </c>
      <c r="BE1830" s="1" t="str">
        <f t="shared" si="1178"/>
        <v>S.CADEW  TWILL CANVAS</v>
      </c>
      <c r="BF1830" s="1" t="str">
        <f t="shared" si="1170"/>
        <v>Bonis SpA</v>
      </c>
    </row>
    <row r="1831" spans="2:58" x14ac:dyDescent="0.25">
      <c r="B1831" s="1">
        <v>2539</v>
      </c>
      <c r="C1831" s="1" t="str">
        <f t="shared" si="1175"/>
        <v>SOLAD4188S7/C1</v>
      </c>
      <c r="E1831" s="1" t="str">
        <f>"40"</f>
        <v>40</v>
      </c>
      <c r="F1831" s="1" t="str">
        <f t="shared" si="1159"/>
        <v>BONIS SPA</v>
      </c>
      <c r="G1831" s="1" t="str">
        <f t="shared" si="1148"/>
        <v>STOCK SCAFFALE MP</v>
      </c>
      <c r="H1831" s="1" t="str">
        <f>"WHI"</f>
        <v>WHI</v>
      </c>
      <c r="K1831" s="1">
        <v>2</v>
      </c>
      <c r="L1831" s="1" t="str">
        <f t="shared" si="1160"/>
        <v>01</v>
      </c>
      <c r="M1831" s="1" t="str">
        <f t="shared" si="1156"/>
        <v>409</v>
      </c>
      <c r="N1831" s="1" t="str">
        <f>"007"</f>
        <v>007</v>
      </c>
      <c r="O1831" s="1" t="str">
        <f t="shared" si="1161"/>
        <v>00</v>
      </c>
      <c r="P1831" s="1" t="str">
        <f t="shared" si="1162"/>
        <v>S</v>
      </c>
      <c r="Q1831" s="1" t="str">
        <f t="shared" si="1163"/>
        <v>P</v>
      </c>
      <c r="R1831" s="1" t="str">
        <f t="shared" si="1164"/>
        <v>01</v>
      </c>
      <c r="S1831" s="1" t="str">
        <f t="shared" si="1149"/>
        <v>04</v>
      </c>
      <c r="T1831" s="1" t="str">
        <f t="shared" si="1165"/>
        <v>False</v>
      </c>
      <c r="U1831" s="1" t="str">
        <f t="shared" si="1166"/>
        <v>True</v>
      </c>
      <c r="V1831" s="1" t="str">
        <f>"U0027691"</f>
        <v>U0027691</v>
      </c>
      <c r="W1831" s="1">
        <v>1</v>
      </c>
      <c r="Y1831" s="1">
        <v>0</v>
      </c>
      <c r="Z1831" s="1">
        <v>0</v>
      </c>
      <c r="AB1831" s="1" t="str">
        <f t="shared" si="1157"/>
        <v>SMU</v>
      </c>
      <c r="AI1831" s="1" t="str">
        <f t="shared" si="1181"/>
        <v>F11</v>
      </c>
      <c r="AJ1831" s="1" t="str">
        <f t="shared" si="1174"/>
        <v>WOMAN</v>
      </c>
      <c r="AK1831" s="1" t="str">
        <f t="shared" si="1167"/>
        <v>PA</v>
      </c>
      <c r="AP1831" s="1" t="str">
        <f t="shared" si="1168"/>
        <v>False</v>
      </c>
      <c r="AR1831" s="1" t="str">
        <f t="shared" si="1177"/>
        <v>SOLAD</v>
      </c>
      <c r="AY1831" s="1" t="str">
        <f t="shared" si="1169"/>
        <v>PF</v>
      </c>
      <c r="AZ1831" s="1">
        <v>0</v>
      </c>
      <c r="BA1831" s="1">
        <v>0</v>
      </c>
      <c r="BB1831" s="1">
        <v>0</v>
      </c>
      <c r="BC1831" s="1">
        <v>0</v>
      </c>
      <c r="BD1831" s="1">
        <v>0</v>
      </c>
      <c r="BE1831" s="1" t="str">
        <f t="shared" si="1178"/>
        <v>S.CADEW  TWILL CANVAS</v>
      </c>
      <c r="BF1831" s="1" t="str">
        <f t="shared" si="1170"/>
        <v>Bonis SpA</v>
      </c>
    </row>
    <row r="1832" spans="2:58" x14ac:dyDescent="0.25">
      <c r="B1832" s="1">
        <v>2539</v>
      </c>
      <c r="C1832" s="1" t="str">
        <f t="shared" si="1175"/>
        <v>SOLAD4188S7/C1</v>
      </c>
      <c r="E1832" s="1" t="str">
        <f>"39"</f>
        <v>39</v>
      </c>
      <c r="F1832" s="1" t="str">
        <f t="shared" si="1159"/>
        <v>BONIS SPA</v>
      </c>
      <c r="G1832" s="1" t="str">
        <f t="shared" si="1148"/>
        <v>STOCK SCAFFALE MP</v>
      </c>
      <c r="H1832" s="1" t="str">
        <f>"WHI"</f>
        <v>WHI</v>
      </c>
      <c r="K1832" s="1">
        <v>7</v>
      </c>
      <c r="L1832" s="1" t="str">
        <f t="shared" si="1160"/>
        <v>01</v>
      </c>
      <c r="M1832" s="1" t="str">
        <f t="shared" si="1156"/>
        <v>409</v>
      </c>
      <c r="N1832" s="1" t="str">
        <f>"007"</f>
        <v>007</v>
      </c>
      <c r="O1832" s="1" t="str">
        <f t="shared" si="1161"/>
        <v>00</v>
      </c>
      <c r="P1832" s="1" t="str">
        <f t="shared" si="1162"/>
        <v>S</v>
      </c>
      <c r="Q1832" s="1" t="str">
        <f t="shared" si="1163"/>
        <v>P</v>
      </c>
      <c r="R1832" s="1" t="str">
        <f t="shared" si="1164"/>
        <v>01</v>
      </c>
      <c r="S1832" s="1" t="str">
        <f t="shared" si="1149"/>
        <v>04</v>
      </c>
      <c r="T1832" s="1" t="str">
        <f t="shared" si="1165"/>
        <v>False</v>
      </c>
      <c r="U1832" s="1" t="str">
        <f t="shared" si="1166"/>
        <v>True</v>
      </c>
      <c r="V1832" s="1" t="str">
        <f>"U0027691"</f>
        <v>U0027691</v>
      </c>
      <c r="W1832" s="1">
        <v>1</v>
      </c>
      <c r="Y1832" s="1">
        <v>0</v>
      </c>
      <c r="Z1832" s="1">
        <v>0</v>
      </c>
      <c r="AB1832" s="1" t="str">
        <f t="shared" si="1157"/>
        <v>SMU</v>
      </c>
      <c r="AI1832" s="1" t="str">
        <f t="shared" si="1181"/>
        <v>F11</v>
      </c>
      <c r="AJ1832" s="1" t="str">
        <f t="shared" si="1174"/>
        <v>WOMAN</v>
      </c>
      <c r="AK1832" s="1" t="str">
        <f t="shared" si="1167"/>
        <v>PA</v>
      </c>
      <c r="AP1832" s="1" t="str">
        <f t="shared" si="1168"/>
        <v>False</v>
      </c>
      <c r="AR1832" s="1" t="str">
        <f t="shared" si="1177"/>
        <v>SOLAD</v>
      </c>
      <c r="AY1832" s="1" t="str">
        <f t="shared" si="1169"/>
        <v>PF</v>
      </c>
      <c r="AZ1832" s="1">
        <v>0</v>
      </c>
      <c r="BA1832" s="1">
        <v>0</v>
      </c>
      <c r="BB1832" s="1">
        <v>0</v>
      </c>
      <c r="BC1832" s="1">
        <v>0</v>
      </c>
      <c r="BD1832" s="1">
        <v>0</v>
      </c>
      <c r="BE1832" s="1" t="str">
        <f t="shared" si="1178"/>
        <v>S.CADEW  TWILL CANVAS</v>
      </c>
      <c r="BF1832" s="1" t="str">
        <f t="shared" si="1170"/>
        <v>Bonis SpA</v>
      </c>
    </row>
    <row r="1833" spans="2:58" x14ac:dyDescent="0.25">
      <c r="B1833" s="1">
        <v>2557</v>
      </c>
      <c r="C1833" s="1" t="str">
        <f t="shared" si="1175"/>
        <v>SOLAD4188S7/C1</v>
      </c>
      <c r="E1833" s="1" t="str">
        <f>"37"</f>
        <v>37</v>
      </c>
      <c r="F1833" s="1" t="str">
        <f t="shared" si="1159"/>
        <v>BONIS SPA</v>
      </c>
      <c r="G1833" s="1" t="str">
        <f t="shared" si="1148"/>
        <v>STOCK SCAFFALE MP</v>
      </c>
      <c r="H1833" s="1" t="str">
        <f>"DKBL"</f>
        <v>DKBL</v>
      </c>
      <c r="K1833" s="1">
        <v>12</v>
      </c>
      <c r="L1833" s="1" t="str">
        <f t="shared" si="1160"/>
        <v>01</v>
      </c>
      <c r="M1833" s="1" t="str">
        <f t="shared" si="1156"/>
        <v>409</v>
      </c>
      <c r="N1833" s="1" t="str">
        <f>"013"</f>
        <v>013</v>
      </c>
      <c r="O1833" s="1" t="str">
        <f t="shared" si="1161"/>
        <v>00</v>
      </c>
      <c r="P1833" s="1" t="str">
        <f t="shared" si="1162"/>
        <v>S</v>
      </c>
      <c r="Q1833" s="1" t="str">
        <f t="shared" si="1163"/>
        <v>P</v>
      </c>
      <c r="R1833" s="1" t="str">
        <f t="shared" si="1164"/>
        <v>01</v>
      </c>
      <c r="S1833" s="1" t="str">
        <f t="shared" si="1149"/>
        <v>04</v>
      </c>
      <c r="T1833" s="1" t="str">
        <f t="shared" si="1165"/>
        <v>False</v>
      </c>
      <c r="U1833" s="1" t="str">
        <f t="shared" si="1166"/>
        <v>True</v>
      </c>
      <c r="V1833" s="1" t="str">
        <f>"U0023711"</f>
        <v>U0023711</v>
      </c>
      <c r="W1833" s="1">
        <v>1</v>
      </c>
      <c r="Y1833" s="1">
        <v>0</v>
      </c>
      <c r="Z1833" s="1">
        <v>0</v>
      </c>
      <c r="AB1833" s="1" t="str">
        <f t="shared" si="1157"/>
        <v>SMU</v>
      </c>
      <c r="AI1833" s="1" t="str">
        <f t="shared" si="1181"/>
        <v>F11</v>
      </c>
      <c r="AJ1833" s="1" t="str">
        <f t="shared" si="1174"/>
        <v>WOMAN</v>
      </c>
      <c r="AK1833" s="1" t="str">
        <f t="shared" si="1167"/>
        <v>PA</v>
      </c>
      <c r="AP1833" s="1" t="str">
        <f t="shared" si="1168"/>
        <v>False</v>
      </c>
      <c r="AR1833" s="1" t="str">
        <f t="shared" si="1177"/>
        <v>SOLAD</v>
      </c>
      <c r="AY1833" s="1" t="str">
        <f t="shared" si="1169"/>
        <v>PF</v>
      </c>
      <c r="AZ1833" s="1">
        <v>0</v>
      </c>
      <c r="BA1833" s="1">
        <v>0</v>
      </c>
      <c r="BB1833" s="1">
        <v>0</v>
      </c>
      <c r="BC1833" s="1">
        <v>0</v>
      </c>
      <c r="BD1833" s="1">
        <v>0</v>
      </c>
      <c r="BE1833" s="1" t="str">
        <f t="shared" si="1178"/>
        <v>S.CADEW  TWILL CANVAS</v>
      </c>
      <c r="BF1833" s="1" t="str">
        <f t="shared" si="1170"/>
        <v>Bonis SpA</v>
      </c>
    </row>
    <row r="1834" spans="2:58" x14ac:dyDescent="0.25">
      <c r="B1834" s="1">
        <v>2554</v>
      </c>
      <c r="C1834" s="1" t="str">
        <f t="shared" si="1175"/>
        <v>SOLAD4188S7/C1</v>
      </c>
      <c r="E1834" s="1" t="str">
        <f>"39"</f>
        <v>39</v>
      </c>
      <c r="F1834" s="1" t="str">
        <f t="shared" si="1159"/>
        <v>BONIS SPA</v>
      </c>
      <c r="G1834" s="1" t="str">
        <f t="shared" si="1148"/>
        <v>STOCK SCAFFALE MP</v>
      </c>
      <c r="H1834" s="1" t="str">
        <f>"DKBL"</f>
        <v>DKBL</v>
      </c>
      <c r="K1834" s="1">
        <v>11</v>
      </c>
      <c r="L1834" s="1" t="str">
        <f t="shared" si="1160"/>
        <v>01</v>
      </c>
      <c r="M1834" s="1" t="str">
        <f t="shared" si="1156"/>
        <v>409</v>
      </c>
      <c r="N1834" s="1" t="str">
        <f>"012"</f>
        <v>012</v>
      </c>
      <c r="O1834" s="1" t="str">
        <f t="shared" si="1161"/>
        <v>00</v>
      </c>
      <c r="P1834" s="1" t="str">
        <f t="shared" si="1162"/>
        <v>S</v>
      </c>
      <c r="Q1834" s="1" t="str">
        <f t="shared" si="1163"/>
        <v>P</v>
      </c>
      <c r="R1834" s="1" t="str">
        <f t="shared" si="1164"/>
        <v>01</v>
      </c>
      <c r="S1834" s="1" t="str">
        <f t="shared" si="1149"/>
        <v>04</v>
      </c>
      <c r="T1834" s="1" t="str">
        <f t="shared" si="1165"/>
        <v>False</v>
      </c>
      <c r="U1834" s="1" t="str">
        <f t="shared" si="1166"/>
        <v>True</v>
      </c>
      <c r="V1834" s="1" t="str">
        <f>"U0027688"</f>
        <v>U0027688</v>
      </c>
      <c r="W1834" s="1">
        <v>1</v>
      </c>
      <c r="Y1834" s="1">
        <v>0</v>
      </c>
      <c r="Z1834" s="1">
        <v>0</v>
      </c>
      <c r="AB1834" s="1" t="str">
        <f t="shared" si="1157"/>
        <v>SMU</v>
      </c>
      <c r="AI1834" s="1" t="str">
        <f t="shared" si="1181"/>
        <v>F11</v>
      </c>
      <c r="AJ1834" s="1" t="str">
        <f t="shared" si="1174"/>
        <v>WOMAN</v>
      </c>
      <c r="AK1834" s="1" t="str">
        <f t="shared" si="1167"/>
        <v>PA</v>
      </c>
      <c r="AP1834" s="1" t="str">
        <f t="shared" si="1168"/>
        <v>False</v>
      </c>
      <c r="AR1834" s="1" t="str">
        <f t="shared" si="1177"/>
        <v>SOLAD</v>
      </c>
      <c r="AY1834" s="1" t="str">
        <f t="shared" si="1169"/>
        <v>PF</v>
      </c>
      <c r="AZ1834" s="1">
        <v>0</v>
      </c>
      <c r="BA1834" s="1">
        <v>0</v>
      </c>
      <c r="BB1834" s="1">
        <v>0</v>
      </c>
      <c r="BC1834" s="1">
        <v>0</v>
      </c>
      <c r="BD1834" s="1">
        <v>0</v>
      </c>
      <c r="BE1834" s="1" t="str">
        <f t="shared" si="1178"/>
        <v>S.CADEW  TWILL CANVAS</v>
      </c>
      <c r="BF1834" s="1" t="str">
        <f t="shared" si="1170"/>
        <v>Bonis SpA</v>
      </c>
    </row>
    <row r="1835" spans="2:58" x14ac:dyDescent="0.25">
      <c r="B1835" s="1">
        <v>2554</v>
      </c>
      <c r="C1835" s="1" t="str">
        <f t="shared" si="1175"/>
        <v>SOLAD4188S7/C1</v>
      </c>
      <c r="E1835" s="1" t="str">
        <f>"40"</f>
        <v>40</v>
      </c>
      <c r="F1835" s="1" t="str">
        <f t="shared" si="1159"/>
        <v>BONIS SPA</v>
      </c>
      <c r="G1835" s="1" t="str">
        <f t="shared" si="1148"/>
        <v>STOCK SCAFFALE MP</v>
      </c>
      <c r="H1835" s="1" t="str">
        <f>"DKBL"</f>
        <v>DKBL</v>
      </c>
      <c r="K1835" s="1">
        <v>12</v>
      </c>
      <c r="L1835" s="1" t="str">
        <f t="shared" si="1160"/>
        <v>01</v>
      </c>
      <c r="M1835" s="1" t="str">
        <f t="shared" si="1156"/>
        <v>409</v>
      </c>
      <c r="N1835" s="1" t="str">
        <f>"012"</f>
        <v>012</v>
      </c>
      <c r="O1835" s="1" t="str">
        <f t="shared" si="1161"/>
        <v>00</v>
      </c>
      <c r="P1835" s="1" t="str">
        <f t="shared" si="1162"/>
        <v>S</v>
      </c>
      <c r="Q1835" s="1" t="str">
        <f t="shared" si="1163"/>
        <v>P</v>
      </c>
      <c r="R1835" s="1" t="str">
        <f t="shared" si="1164"/>
        <v>01</v>
      </c>
      <c r="S1835" s="1" t="str">
        <f t="shared" si="1149"/>
        <v>04</v>
      </c>
      <c r="T1835" s="1" t="str">
        <f t="shared" si="1165"/>
        <v>False</v>
      </c>
      <c r="U1835" s="1" t="str">
        <f t="shared" si="1166"/>
        <v>True</v>
      </c>
      <c r="V1835" s="1" t="str">
        <f>"U0028184"</f>
        <v>U0028184</v>
      </c>
      <c r="W1835" s="1">
        <v>1</v>
      </c>
      <c r="Y1835" s="1">
        <v>0</v>
      </c>
      <c r="Z1835" s="1">
        <v>0</v>
      </c>
      <c r="AB1835" s="1" t="str">
        <f t="shared" si="1157"/>
        <v>SMU</v>
      </c>
      <c r="AI1835" s="1" t="str">
        <f t="shared" si="1181"/>
        <v>F11</v>
      </c>
      <c r="AJ1835" s="1" t="str">
        <f t="shared" si="1174"/>
        <v>WOMAN</v>
      </c>
      <c r="AK1835" s="1" t="str">
        <f t="shared" si="1167"/>
        <v>PA</v>
      </c>
      <c r="AP1835" s="1" t="str">
        <f t="shared" si="1168"/>
        <v>False</v>
      </c>
      <c r="AR1835" s="1" t="str">
        <f t="shared" si="1177"/>
        <v>SOLAD</v>
      </c>
      <c r="AY1835" s="1" t="str">
        <f t="shared" si="1169"/>
        <v>PF</v>
      </c>
      <c r="AZ1835" s="1">
        <v>0</v>
      </c>
      <c r="BA1835" s="1">
        <v>0</v>
      </c>
      <c r="BB1835" s="1">
        <v>0</v>
      </c>
      <c r="BC1835" s="1">
        <v>0</v>
      </c>
      <c r="BD1835" s="1">
        <v>0</v>
      </c>
      <c r="BE1835" s="1" t="str">
        <f t="shared" si="1178"/>
        <v>S.CADEW  TWILL CANVAS</v>
      </c>
      <c r="BF1835" s="1" t="str">
        <f t="shared" si="1170"/>
        <v>Bonis SpA</v>
      </c>
    </row>
    <row r="1836" spans="2:58" x14ac:dyDescent="0.25">
      <c r="B1836" s="1">
        <v>2554</v>
      </c>
      <c r="C1836" s="1" t="str">
        <f t="shared" si="1175"/>
        <v>SOLAD4188S7/C1</v>
      </c>
      <c r="E1836" s="1" t="str">
        <f>"38"</f>
        <v>38</v>
      </c>
      <c r="F1836" s="1" t="str">
        <f t="shared" si="1159"/>
        <v>BONIS SPA</v>
      </c>
      <c r="G1836" s="1" t="str">
        <f t="shared" si="1148"/>
        <v>STOCK SCAFFALE MP</v>
      </c>
      <c r="H1836" s="1" t="str">
        <f>"RED"</f>
        <v>RED</v>
      </c>
      <c r="K1836" s="1">
        <v>5</v>
      </c>
      <c r="L1836" s="1" t="str">
        <f t="shared" si="1160"/>
        <v>01</v>
      </c>
      <c r="M1836" s="1" t="str">
        <f t="shared" si="1156"/>
        <v>409</v>
      </c>
      <c r="N1836" s="1" t="str">
        <f>"012"</f>
        <v>012</v>
      </c>
      <c r="O1836" s="1" t="str">
        <f t="shared" si="1161"/>
        <v>00</v>
      </c>
      <c r="P1836" s="1" t="str">
        <f t="shared" si="1162"/>
        <v>S</v>
      </c>
      <c r="Q1836" s="1" t="str">
        <f t="shared" si="1163"/>
        <v>P</v>
      </c>
      <c r="R1836" s="1" t="str">
        <f t="shared" si="1164"/>
        <v>01</v>
      </c>
      <c r="S1836" s="1" t="str">
        <f t="shared" si="1149"/>
        <v>04</v>
      </c>
      <c r="T1836" s="1" t="str">
        <f t="shared" si="1165"/>
        <v>False</v>
      </c>
      <c r="U1836" s="1" t="str">
        <f t="shared" si="1166"/>
        <v>True</v>
      </c>
      <c r="V1836" s="1" t="str">
        <f>"U0023166"</f>
        <v>U0023166</v>
      </c>
      <c r="W1836" s="1">
        <v>1</v>
      </c>
      <c r="Y1836" s="1">
        <v>0</v>
      </c>
      <c r="Z1836" s="1">
        <v>0</v>
      </c>
      <c r="AB1836" s="1" t="str">
        <f t="shared" si="1157"/>
        <v>SMU</v>
      </c>
      <c r="AI1836" s="1" t="str">
        <f t="shared" si="1181"/>
        <v>F11</v>
      </c>
      <c r="AJ1836" s="1" t="str">
        <f t="shared" si="1174"/>
        <v>WOMAN</v>
      </c>
      <c r="AK1836" s="1" t="str">
        <f t="shared" si="1167"/>
        <v>PA</v>
      </c>
      <c r="AP1836" s="1" t="str">
        <f t="shared" si="1168"/>
        <v>False</v>
      </c>
      <c r="AR1836" s="1" t="str">
        <f t="shared" si="1177"/>
        <v>SOLAD</v>
      </c>
      <c r="AY1836" s="1" t="str">
        <f t="shared" si="1169"/>
        <v>PF</v>
      </c>
      <c r="AZ1836" s="1">
        <v>0</v>
      </c>
      <c r="BA1836" s="1">
        <v>0</v>
      </c>
      <c r="BB1836" s="1">
        <v>0</v>
      </c>
      <c r="BC1836" s="1">
        <v>0</v>
      </c>
      <c r="BD1836" s="1">
        <v>0</v>
      </c>
      <c r="BE1836" s="1" t="str">
        <f t="shared" si="1178"/>
        <v>S.CADEW  TWILL CANVAS</v>
      </c>
      <c r="BF1836" s="1" t="str">
        <f t="shared" si="1170"/>
        <v>Bonis SpA</v>
      </c>
    </row>
    <row r="1837" spans="2:58" x14ac:dyDescent="0.25">
      <c r="B1837" s="1">
        <v>2554</v>
      </c>
      <c r="C1837" s="1" t="str">
        <f t="shared" si="1175"/>
        <v>SOLAD4188S7/C1</v>
      </c>
      <c r="E1837" s="1" t="str">
        <f>"39"</f>
        <v>39</v>
      </c>
      <c r="F1837" s="1" t="str">
        <f t="shared" si="1159"/>
        <v>BONIS SPA</v>
      </c>
      <c r="G1837" s="1" t="str">
        <f t="shared" si="1148"/>
        <v>STOCK SCAFFALE MP</v>
      </c>
      <c r="H1837" s="1" t="str">
        <f>"RED"</f>
        <v>RED</v>
      </c>
      <c r="K1837" s="1">
        <v>4</v>
      </c>
      <c r="L1837" s="1" t="str">
        <f t="shared" si="1160"/>
        <v>01</v>
      </c>
      <c r="M1837" s="1" t="str">
        <f t="shared" si="1156"/>
        <v>409</v>
      </c>
      <c r="N1837" s="1" t="str">
        <f>"012"</f>
        <v>012</v>
      </c>
      <c r="O1837" s="1" t="str">
        <f t="shared" si="1161"/>
        <v>00</v>
      </c>
      <c r="P1837" s="1" t="str">
        <f t="shared" si="1162"/>
        <v>S</v>
      </c>
      <c r="Q1837" s="1" t="str">
        <f t="shared" si="1163"/>
        <v>P</v>
      </c>
      <c r="R1837" s="1" t="str">
        <f t="shared" si="1164"/>
        <v>01</v>
      </c>
      <c r="S1837" s="1" t="str">
        <f t="shared" si="1149"/>
        <v>04</v>
      </c>
      <c r="T1837" s="1" t="str">
        <f t="shared" si="1165"/>
        <v>False</v>
      </c>
      <c r="U1837" s="1" t="str">
        <f t="shared" si="1166"/>
        <v>True</v>
      </c>
      <c r="V1837" s="1" t="str">
        <f>"U0023166"</f>
        <v>U0023166</v>
      </c>
      <c r="W1837" s="1">
        <v>1</v>
      </c>
      <c r="Y1837" s="1">
        <v>0</v>
      </c>
      <c r="Z1837" s="1">
        <v>0</v>
      </c>
      <c r="AB1837" s="1" t="str">
        <f t="shared" si="1157"/>
        <v>SMU</v>
      </c>
      <c r="AI1837" s="1" t="str">
        <f t="shared" si="1181"/>
        <v>F11</v>
      </c>
      <c r="AJ1837" s="1" t="str">
        <f t="shared" si="1174"/>
        <v>WOMAN</v>
      </c>
      <c r="AK1837" s="1" t="str">
        <f t="shared" si="1167"/>
        <v>PA</v>
      </c>
      <c r="AP1837" s="1" t="str">
        <f t="shared" si="1168"/>
        <v>False</v>
      </c>
      <c r="AR1837" s="1" t="str">
        <f t="shared" si="1177"/>
        <v>SOLAD</v>
      </c>
      <c r="AY1837" s="1" t="str">
        <f t="shared" si="1169"/>
        <v>PF</v>
      </c>
      <c r="AZ1837" s="1">
        <v>0</v>
      </c>
      <c r="BA1837" s="1">
        <v>0</v>
      </c>
      <c r="BB1837" s="1">
        <v>0</v>
      </c>
      <c r="BC1837" s="1">
        <v>0</v>
      </c>
      <c r="BD1837" s="1">
        <v>0</v>
      </c>
      <c r="BE1837" s="1" t="str">
        <f t="shared" si="1178"/>
        <v>S.CADEW  TWILL CANVAS</v>
      </c>
      <c r="BF1837" s="1" t="str">
        <f t="shared" si="1170"/>
        <v>Bonis SpA</v>
      </c>
    </row>
    <row r="1838" spans="2:58" x14ac:dyDescent="0.25">
      <c r="B1838" s="1">
        <v>2554</v>
      </c>
      <c r="C1838" s="1" t="str">
        <f t="shared" si="1175"/>
        <v>SOLAD4188S7/C1</v>
      </c>
      <c r="E1838" s="1" t="str">
        <f>"40"</f>
        <v>40</v>
      </c>
      <c r="F1838" s="1" t="str">
        <f t="shared" si="1159"/>
        <v>BONIS SPA</v>
      </c>
      <c r="G1838" s="1" t="str">
        <f t="shared" si="1148"/>
        <v>STOCK SCAFFALE MP</v>
      </c>
      <c r="H1838" s="1" t="str">
        <f>"RED"</f>
        <v>RED</v>
      </c>
      <c r="K1838" s="1">
        <v>2</v>
      </c>
      <c r="L1838" s="1" t="str">
        <f t="shared" si="1160"/>
        <v>01</v>
      </c>
      <c r="M1838" s="1" t="str">
        <f t="shared" si="1156"/>
        <v>409</v>
      </c>
      <c r="N1838" s="1" t="str">
        <f>"012"</f>
        <v>012</v>
      </c>
      <c r="O1838" s="1" t="str">
        <f t="shared" si="1161"/>
        <v>00</v>
      </c>
      <c r="P1838" s="1" t="str">
        <f t="shared" si="1162"/>
        <v>S</v>
      </c>
      <c r="Q1838" s="1" t="str">
        <f t="shared" si="1163"/>
        <v>P</v>
      </c>
      <c r="R1838" s="1" t="str">
        <f t="shared" si="1164"/>
        <v>01</v>
      </c>
      <c r="S1838" s="1" t="str">
        <f t="shared" si="1149"/>
        <v>04</v>
      </c>
      <c r="T1838" s="1" t="str">
        <f t="shared" si="1165"/>
        <v>False</v>
      </c>
      <c r="U1838" s="1" t="str">
        <f t="shared" si="1166"/>
        <v>True</v>
      </c>
      <c r="V1838" s="1" t="str">
        <f>"U0023166"</f>
        <v>U0023166</v>
      </c>
      <c r="W1838" s="1">
        <v>1</v>
      </c>
      <c r="Y1838" s="1">
        <v>0</v>
      </c>
      <c r="Z1838" s="1">
        <v>0</v>
      </c>
      <c r="AB1838" s="1" t="str">
        <f t="shared" si="1157"/>
        <v>SMU</v>
      </c>
      <c r="AI1838" s="1" t="str">
        <f t="shared" si="1181"/>
        <v>F11</v>
      </c>
      <c r="AJ1838" s="1" t="str">
        <f t="shared" si="1174"/>
        <v>WOMAN</v>
      </c>
      <c r="AK1838" s="1" t="str">
        <f t="shared" si="1167"/>
        <v>PA</v>
      </c>
      <c r="AP1838" s="1" t="str">
        <f t="shared" si="1168"/>
        <v>False</v>
      </c>
      <c r="AR1838" s="1" t="str">
        <f t="shared" si="1177"/>
        <v>SOLAD</v>
      </c>
      <c r="AY1838" s="1" t="str">
        <f t="shared" si="1169"/>
        <v>PF</v>
      </c>
      <c r="AZ1838" s="1">
        <v>0</v>
      </c>
      <c r="BA1838" s="1">
        <v>0</v>
      </c>
      <c r="BB1838" s="1">
        <v>0</v>
      </c>
      <c r="BC1838" s="1">
        <v>0</v>
      </c>
      <c r="BD1838" s="1">
        <v>0</v>
      </c>
      <c r="BE1838" s="1" t="str">
        <f t="shared" si="1178"/>
        <v>S.CADEW  TWILL CANVAS</v>
      </c>
      <c r="BF1838" s="1" t="str">
        <f t="shared" si="1170"/>
        <v>Bonis SpA</v>
      </c>
    </row>
    <row r="1839" spans="2:58" x14ac:dyDescent="0.25">
      <c r="B1839" s="1">
        <v>2530</v>
      </c>
      <c r="C1839" s="1" t="str">
        <f t="shared" si="1175"/>
        <v>SOLAD4188S7/C1</v>
      </c>
      <c r="E1839" s="1" t="str">
        <f>"41"</f>
        <v>41</v>
      </c>
      <c r="F1839" s="1" t="str">
        <f t="shared" si="1159"/>
        <v>BONIS SPA</v>
      </c>
      <c r="G1839" s="1" t="str">
        <f t="shared" si="1148"/>
        <v>STOCK SCAFFALE MP</v>
      </c>
      <c r="H1839" s="1" t="str">
        <f>"DKBL"</f>
        <v>DKBL</v>
      </c>
      <c r="K1839" s="1">
        <v>2</v>
      </c>
      <c r="L1839" s="1" t="str">
        <f t="shared" si="1160"/>
        <v>01</v>
      </c>
      <c r="M1839" s="1" t="str">
        <f t="shared" si="1156"/>
        <v>409</v>
      </c>
      <c r="N1839" s="1" t="str">
        <f>"004"</f>
        <v>004</v>
      </c>
      <c r="O1839" s="1" t="str">
        <f t="shared" si="1161"/>
        <v>00</v>
      </c>
      <c r="P1839" s="1" t="str">
        <f t="shared" si="1162"/>
        <v>S</v>
      </c>
      <c r="Q1839" s="1" t="str">
        <f t="shared" si="1163"/>
        <v>P</v>
      </c>
      <c r="R1839" s="1" t="str">
        <f t="shared" si="1164"/>
        <v>01</v>
      </c>
      <c r="S1839" s="1" t="str">
        <f t="shared" si="1149"/>
        <v>04</v>
      </c>
      <c r="T1839" s="1" t="str">
        <f t="shared" si="1165"/>
        <v>False</v>
      </c>
      <c r="U1839" s="1" t="str">
        <f t="shared" si="1166"/>
        <v>True</v>
      </c>
      <c r="V1839" s="1" t="str">
        <f>"U0028105"</f>
        <v>U0028105</v>
      </c>
      <c r="W1839" s="1">
        <v>1</v>
      </c>
      <c r="Y1839" s="1">
        <v>0</v>
      </c>
      <c r="Z1839" s="1">
        <v>0</v>
      </c>
      <c r="AB1839" s="1" t="str">
        <f t="shared" si="1157"/>
        <v>SMU</v>
      </c>
      <c r="AI1839" s="1" t="str">
        <f t="shared" ref="AI1839:AI1845" si="1182">"106"</f>
        <v>106</v>
      </c>
      <c r="AJ1839" s="1" t="str">
        <f t="shared" si="1174"/>
        <v>WOMAN</v>
      </c>
      <c r="AK1839" s="1" t="str">
        <f t="shared" si="1167"/>
        <v>PA</v>
      </c>
      <c r="AP1839" s="1" t="str">
        <f t="shared" si="1168"/>
        <v>False</v>
      </c>
      <c r="AR1839" s="1" t="str">
        <f t="shared" si="1177"/>
        <v>SOLAD</v>
      </c>
      <c r="AY1839" s="1" t="str">
        <f t="shared" si="1169"/>
        <v>PF</v>
      </c>
      <c r="AZ1839" s="1">
        <v>0</v>
      </c>
      <c r="BA1839" s="1">
        <v>0</v>
      </c>
      <c r="BB1839" s="1">
        <v>0</v>
      </c>
      <c r="BC1839" s="1">
        <v>0</v>
      </c>
      <c r="BD1839" s="1">
        <v>0</v>
      </c>
      <c r="BE1839" s="1" t="str">
        <f t="shared" si="1178"/>
        <v>S.CADEW  TWILL CANVAS</v>
      </c>
      <c r="BF1839" s="1" t="str">
        <f t="shared" si="1170"/>
        <v>Bonis SpA</v>
      </c>
    </row>
    <row r="1840" spans="2:58" x14ac:dyDescent="0.25">
      <c r="B1840" s="1">
        <v>2530</v>
      </c>
      <c r="C1840" s="1" t="str">
        <f t="shared" si="1175"/>
        <v>SOLAD4188S7/C1</v>
      </c>
      <c r="E1840" s="1" t="str">
        <f>"41"</f>
        <v>41</v>
      </c>
      <c r="F1840" s="1" t="str">
        <f t="shared" si="1159"/>
        <v>BONIS SPA</v>
      </c>
      <c r="G1840" s="1" t="str">
        <f t="shared" ref="G1840:G1903" si="1183">"STOCK SCAFFALE MP"</f>
        <v>STOCK SCAFFALE MP</v>
      </c>
      <c r="H1840" s="1" t="str">
        <f>"DKBL"</f>
        <v>DKBL</v>
      </c>
      <c r="K1840" s="1">
        <v>3</v>
      </c>
      <c r="L1840" s="1" t="str">
        <f t="shared" si="1160"/>
        <v>01</v>
      </c>
      <c r="M1840" s="1" t="str">
        <f t="shared" si="1156"/>
        <v>409</v>
      </c>
      <c r="N1840" s="1" t="str">
        <f>"004"</f>
        <v>004</v>
      </c>
      <c r="O1840" s="1" t="str">
        <f t="shared" si="1161"/>
        <v>00</v>
      </c>
      <c r="P1840" s="1" t="str">
        <f t="shared" si="1162"/>
        <v>S</v>
      </c>
      <c r="Q1840" s="1" t="str">
        <f t="shared" si="1163"/>
        <v>P</v>
      </c>
      <c r="R1840" s="1" t="str">
        <f t="shared" si="1164"/>
        <v>01</v>
      </c>
      <c r="S1840" s="1" t="str">
        <f t="shared" ref="S1840:S1903" si="1184">"04"</f>
        <v>04</v>
      </c>
      <c r="T1840" s="1" t="str">
        <f t="shared" si="1165"/>
        <v>False</v>
      </c>
      <c r="U1840" s="1" t="str">
        <f t="shared" si="1166"/>
        <v>True</v>
      </c>
      <c r="V1840" s="1" t="str">
        <f>"U0028111"</f>
        <v>U0028111</v>
      </c>
      <c r="W1840" s="1">
        <v>1</v>
      </c>
      <c r="Y1840" s="1">
        <v>0</v>
      </c>
      <c r="Z1840" s="1">
        <v>0</v>
      </c>
      <c r="AB1840" s="1" t="str">
        <f t="shared" si="1157"/>
        <v>SMU</v>
      </c>
      <c r="AI1840" s="1" t="str">
        <f t="shared" si="1182"/>
        <v>106</v>
      </c>
      <c r="AJ1840" s="1" t="str">
        <f t="shared" si="1174"/>
        <v>WOMAN</v>
      </c>
      <c r="AK1840" s="1" t="str">
        <f t="shared" si="1167"/>
        <v>PA</v>
      </c>
      <c r="AP1840" s="1" t="str">
        <f t="shared" si="1168"/>
        <v>False</v>
      </c>
      <c r="AR1840" s="1" t="str">
        <f t="shared" si="1177"/>
        <v>SOLAD</v>
      </c>
      <c r="AY1840" s="1" t="str">
        <f t="shared" si="1169"/>
        <v>PF</v>
      </c>
      <c r="AZ1840" s="1">
        <v>0</v>
      </c>
      <c r="BA1840" s="1">
        <v>0</v>
      </c>
      <c r="BB1840" s="1">
        <v>0</v>
      </c>
      <c r="BC1840" s="1">
        <v>0</v>
      </c>
      <c r="BD1840" s="1">
        <v>0</v>
      </c>
      <c r="BE1840" s="1" t="str">
        <f t="shared" si="1178"/>
        <v>S.CADEW  TWILL CANVAS</v>
      </c>
      <c r="BF1840" s="1" t="str">
        <f t="shared" si="1170"/>
        <v>Bonis SpA</v>
      </c>
    </row>
    <row r="1841" spans="2:58" x14ac:dyDescent="0.25">
      <c r="B1841" s="1">
        <v>2530</v>
      </c>
      <c r="C1841" s="1" t="str">
        <f t="shared" si="1175"/>
        <v>SOLAD4188S7/C1</v>
      </c>
      <c r="E1841" s="1" t="str">
        <f>"41"</f>
        <v>41</v>
      </c>
      <c r="F1841" s="1" t="str">
        <f t="shared" si="1159"/>
        <v>BONIS SPA</v>
      </c>
      <c r="G1841" s="1" t="str">
        <f t="shared" si="1183"/>
        <v>STOCK SCAFFALE MP</v>
      </c>
      <c r="H1841" s="1" t="str">
        <f>"DKBL"</f>
        <v>DKBL</v>
      </c>
      <c r="K1841" s="1">
        <v>1</v>
      </c>
      <c r="L1841" s="1" t="str">
        <f t="shared" si="1160"/>
        <v>01</v>
      </c>
      <c r="M1841" s="1" t="str">
        <f t="shared" si="1156"/>
        <v>409</v>
      </c>
      <c r="N1841" s="1" t="str">
        <f>"004"</f>
        <v>004</v>
      </c>
      <c r="O1841" s="1" t="str">
        <f t="shared" si="1161"/>
        <v>00</v>
      </c>
      <c r="P1841" s="1" t="str">
        <f t="shared" si="1162"/>
        <v>S</v>
      </c>
      <c r="Q1841" s="1" t="str">
        <f t="shared" si="1163"/>
        <v>P</v>
      </c>
      <c r="R1841" s="1" t="str">
        <f t="shared" si="1164"/>
        <v>01</v>
      </c>
      <c r="S1841" s="1" t="str">
        <f t="shared" si="1184"/>
        <v>04</v>
      </c>
      <c r="T1841" s="1" t="str">
        <f t="shared" si="1165"/>
        <v>False</v>
      </c>
      <c r="U1841" s="1" t="str">
        <f t="shared" si="1166"/>
        <v>True</v>
      </c>
      <c r="V1841" s="1" t="str">
        <f>"U0028114"</f>
        <v>U0028114</v>
      </c>
      <c r="W1841" s="1">
        <v>1</v>
      </c>
      <c r="Y1841" s="1">
        <v>0</v>
      </c>
      <c r="Z1841" s="1">
        <v>0</v>
      </c>
      <c r="AB1841" s="1" t="str">
        <f t="shared" si="1157"/>
        <v>SMU</v>
      </c>
      <c r="AI1841" s="1" t="str">
        <f t="shared" si="1182"/>
        <v>106</v>
      </c>
      <c r="AJ1841" s="1" t="str">
        <f t="shared" si="1174"/>
        <v>WOMAN</v>
      </c>
      <c r="AK1841" s="1" t="str">
        <f t="shared" si="1167"/>
        <v>PA</v>
      </c>
      <c r="AP1841" s="1" t="str">
        <f t="shared" si="1168"/>
        <v>False</v>
      </c>
      <c r="AR1841" s="1" t="str">
        <f t="shared" si="1177"/>
        <v>SOLAD</v>
      </c>
      <c r="AY1841" s="1" t="str">
        <f t="shared" si="1169"/>
        <v>PF</v>
      </c>
      <c r="AZ1841" s="1">
        <v>0</v>
      </c>
      <c r="BA1841" s="1">
        <v>0</v>
      </c>
      <c r="BB1841" s="1">
        <v>0</v>
      </c>
      <c r="BC1841" s="1">
        <v>0</v>
      </c>
      <c r="BD1841" s="1">
        <v>0</v>
      </c>
      <c r="BE1841" s="1" t="str">
        <f t="shared" si="1178"/>
        <v>S.CADEW  TWILL CANVAS</v>
      </c>
      <c r="BF1841" s="1" t="str">
        <f t="shared" si="1170"/>
        <v>Bonis SpA</v>
      </c>
    </row>
    <row r="1842" spans="2:58" x14ac:dyDescent="0.25">
      <c r="B1842" s="1">
        <v>2554</v>
      </c>
      <c r="C1842" s="1" t="str">
        <f t="shared" si="1175"/>
        <v>SOLAD4188S7/C1</v>
      </c>
      <c r="E1842" s="1" t="str">
        <f>"41"</f>
        <v>41</v>
      </c>
      <c r="F1842" s="1" t="str">
        <f t="shared" si="1159"/>
        <v>BONIS SPA</v>
      </c>
      <c r="G1842" s="1" t="str">
        <f t="shared" si="1183"/>
        <v>STOCK SCAFFALE MP</v>
      </c>
      <c r="H1842" s="1" t="str">
        <f>"DKBL"</f>
        <v>DKBL</v>
      </c>
      <c r="K1842" s="1">
        <v>1</v>
      </c>
      <c r="L1842" s="1" t="str">
        <f t="shared" si="1160"/>
        <v>01</v>
      </c>
      <c r="M1842" s="1" t="str">
        <f t="shared" si="1156"/>
        <v>409</v>
      </c>
      <c r="N1842" s="1" t="str">
        <f t="shared" ref="N1842:N1848" si="1185">"012"</f>
        <v>012</v>
      </c>
      <c r="O1842" s="1" t="str">
        <f t="shared" si="1161"/>
        <v>00</v>
      </c>
      <c r="P1842" s="1" t="str">
        <f t="shared" si="1162"/>
        <v>S</v>
      </c>
      <c r="Q1842" s="1" t="str">
        <f t="shared" si="1163"/>
        <v>P</v>
      </c>
      <c r="R1842" s="1" t="str">
        <f t="shared" si="1164"/>
        <v>01</v>
      </c>
      <c r="S1842" s="1" t="str">
        <f t="shared" si="1184"/>
        <v>04</v>
      </c>
      <c r="T1842" s="1" t="str">
        <f t="shared" si="1165"/>
        <v>False</v>
      </c>
      <c r="U1842" s="1" t="str">
        <f t="shared" si="1166"/>
        <v>True</v>
      </c>
      <c r="V1842" s="1" t="str">
        <f>"U0028097"</f>
        <v>U0028097</v>
      </c>
      <c r="W1842" s="1">
        <v>1</v>
      </c>
      <c r="Y1842" s="1">
        <v>0</v>
      </c>
      <c r="Z1842" s="1">
        <v>0</v>
      </c>
      <c r="AB1842" s="1" t="str">
        <f t="shared" si="1157"/>
        <v>SMU</v>
      </c>
      <c r="AI1842" s="1" t="str">
        <f t="shared" si="1182"/>
        <v>106</v>
      </c>
      <c r="AJ1842" s="1" t="str">
        <f t="shared" si="1174"/>
        <v>WOMAN</v>
      </c>
      <c r="AK1842" s="1" t="str">
        <f t="shared" si="1167"/>
        <v>PA</v>
      </c>
      <c r="AP1842" s="1" t="str">
        <f t="shared" si="1168"/>
        <v>False</v>
      </c>
      <c r="AR1842" s="1" t="str">
        <f t="shared" si="1177"/>
        <v>SOLAD</v>
      </c>
      <c r="AY1842" s="1" t="str">
        <f t="shared" si="1169"/>
        <v>PF</v>
      </c>
      <c r="AZ1842" s="1">
        <v>0</v>
      </c>
      <c r="BA1842" s="1">
        <v>0</v>
      </c>
      <c r="BB1842" s="1">
        <v>0</v>
      </c>
      <c r="BC1842" s="1">
        <v>0</v>
      </c>
      <c r="BD1842" s="1">
        <v>0</v>
      </c>
      <c r="BE1842" s="1" t="str">
        <f t="shared" si="1178"/>
        <v>S.CADEW  TWILL CANVAS</v>
      </c>
      <c r="BF1842" s="1" t="str">
        <f t="shared" si="1170"/>
        <v>Bonis SpA</v>
      </c>
    </row>
    <row r="1843" spans="2:58" x14ac:dyDescent="0.25">
      <c r="B1843" s="1">
        <v>2554</v>
      </c>
      <c r="C1843" s="1" t="str">
        <f>"RUMBA4187S7/C1"</f>
        <v>RUMBA4187S7/C1</v>
      </c>
      <c r="E1843" s="1" t="str">
        <f>"38"</f>
        <v>38</v>
      </c>
      <c r="F1843" s="1" t="str">
        <f t="shared" si="1159"/>
        <v>BONIS SPA</v>
      </c>
      <c r="G1843" s="1" t="str">
        <f t="shared" si="1183"/>
        <v>STOCK SCAFFALE MP</v>
      </c>
      <c r="H1843" s="1" t="str">
        <f>"WHI"</f>
        <v>WHI</v>
      </c>
      <c r="K1843" s="1">
        <v>1</v>
      </c>
      <c r="L1843" s="1" t="str">
        <f t="shared" si="1160"/>
        <v>01</v>
      </c>
      <c r="M1843" s="1" t="str">
        <f t="shared" si="1156"/>
        <v>409</v>
      </c>
      <c r="N1843" s="1" t="str">
        <f t="shared" si="1185"/>
        <v>012</v>
      </c>
      <c r="O1843" s="1" t="str">
        <f t="shared" si="1161"/>
        <v>00</v>
      </c>
      <c r="P1843" s="1" t="str">
        <f t="shared" si="1162"/>
        <v>S</v>
      </c>
      <c r="Q1843" s="1" t="str">
        <f t="shared" si="1163"/>
        <v>P</v>
      </c>
      <c r="R1843" s="1" t="str">
        <f t="shared" si="1164"/>
        <v>01</v>
      </c>
      <c r="S1843" s="1" t="str">
        <f t="shared" si="1184"/>
        <v>04</v>
      </c>
      <c r="T1843" s="1" t="str">
        <f t="shared" si="1165"/>
        <v>False</v>
      </c>
      <c r="U1843" s="1" t="str">
        <f t="shared" si="1166"/>
        <v>True</v>
      </c>
      <c r="V1843" s="1" t="str">
        <f>"U0028097"</f>
        <v>U0028097</v>
      </c>
      <c r="W1843" s="1">
        <v>1</v>
      </c>
      <c r="Y1843" s="1">
        <v>0</v>
      </c>
      <c r="Z1843" s="1">
        <v>0</v>
      </c>
      <c r="AB1843" s="1" t="str">
        <f t="shared" si="1157"/>
        <v>SMU</v>
      </c>
      <c r="AI1843" s="1" t="str">
        <f t="shared" si="1182"/>
        <v>106</v>
      </c>
      <c r="AJ1843" s="1" t="str">
        <f t="shared" si="1174"/>
        <v>WOMAN</v>
      </c>
      <c r="AK1843" s="1" t="str">
        <f t="shared" si="1167"/>
        <v>PA</v>
      </c>
      <c r="AP1843" s="1" t="str">
        <f t="shared" si="1168"/>
        <v>False</v>
      </c>
      <c r="AR1843" s="1" t="str">
        <f>"RUMBA"</f>
        <v>RUMBA</v>
      </c>
      <c r="AY1843" s="1" t="str">
        <f t="shared" si="1169"/>
        <v>PF</v>
      </c>
      <c r="AZ1843" s="1">
        <v>0</v>
      </c>
      <c r="BA1843" s="1">
        <v>0</v>
      </c>
      <c r="BB1843" s="1">
        <v>0</v>
      </c>
      <c r="BC1843" s="1">
        <v>0</v>
      </c>
      <c r="BD1843" s="1">
        <v>0</v>
      </c>
      <c r="BE1843" s="1" t="str">
        <f>"SUOLA RUMBA TWILL CANVAS"</f>
        <v>SUOLA RUMBA TWILL CANVAS</v>
      </c>
      <c r="BF1843" s="1" t="str">
        <f t="shared" si="1170"/>
        <v>Bonis SpA</v>
      </c>
    </row>
    <row r="1844" spans="2:58" x14ac:dyDescent="0.25">
      <c r="B1844" s="1">
        <v>2554</v>
      </c>
      <c r="C1844" s="1" t="str">
        <f>"SOLAD4188S7/C1"</f>
        <v>SOLAD4188S7/C1</v>
      </c>
      <c r="E1844" s="1" t="str">
        <f>"37"</f>
        <v>37</v>
      </c>
      <c r="F1844" s="1" t="str">
        <f t="shared" si="1159"/>
        <v>BONIS SPA</v>
      </c>
      <c r="G1844" s="1" t="str">
        <f t="shared" si="1183"/>
        <v>STOCK SCAFFALE MP</v>
      </c>
      <c r="H1844" s="1" t="str">
        <f>"DKBL"</f>
        <v>DKBL</v>
      </c>
      <c r="K1844" s="1">
        <v>1</v>
      </c>
      <c r="L1844" s="1" t="str">
        <f t="shared" si="1160"/>
        <v>01</v>
      </c>
      <c r="M1844" s="1" t="str">
        <f t="shared" si="1156"/>
        <v>409</v>
      </c>
      <c r="N1844" s="1" t="str">
        <f t="shared" si="1185"/>
        <v>012</v>
      </c>
      <c r="O1844" s="1" t="str">
        <f t="shared" si="1161"/>
        <v>00</v>
      </c>
      <c r="P1844" s="1" t="str">
        <f t="shared" si="1162"/>
        <v>S</v>
      </c>
      <c r="Q1844" s="1" t="str">
        <f t="shared" si="1163"/>
        <v>P</v>
      </c>
      <c r="R1844" s="1" t="str">
        <f t="shared" si="1164"/>
        <v>01</v>
      </c>
      <c r="S1844" s="1" t="str">
        <f t="shared" si="1184"/>
        <v>04</v>
      </c>
      <c r="T1844" s="1" t="str">
        <f t="shared" si="1165"/>
        <v>False</v>
      </c>
      <c r="U1844" s="1" t="str">
        <f t="shared" si="1166"/>
        <v>True</v>
      </c>
      <c r="V1844" s="1" t="str">
        <f>"U0028097"</f>
        <v>U0028097</v>
      </c>
      <c r="W1844" s="1">
        <v>1</v>
      </c>
      <c r="Y1844" s="1">
        <v>0</v>
      </c>
      <c r="Z1844" s="1">
        <v>0</v>
      </c>
      <c r="AB1844" s="1" t="str">
        <f t="shared" si="1157"/>
        <v>SMU</v>
      </c>
      <c r="AI1844" s="1" t="str">
        <f t="shared" si="1182"/>
        <v>106</v>
      </c>
      <c r="AJ1844" s="1" t="str">
        <f t="shared" si="1174"/>
        <v>WOMAN</v>
      </c>
      <c r="AK1844" s="1" t="str">
        <f t="shared" si="1167"/>
        <v>PA</v>
      </c>
      <c r="AP1844" s="1" t="str">
        <f t="shared" si="1168"/>
        <v>False</v>
      </c>
      <c r="AR1844" s="1" t="str">
        <f>"SOLAD"</f>
        <v>SOLAD</v>
      </c>
      <c r="AY1844" s="1" t="str">
        <f t="shared" si="1169"/>
        <v>PF</v>
      </c>
      <c r="AZ1844" s="1">
        <v>0</v>
      </c>
      <c r="BA1844" s="1">
        <v>0</v>
      </c>
      <c r="BB1844" s="1">
        <v>0</v>
      </c>
      <c r="BC1844" s="1">
        <v>0</v>
      </c>
      <c r="BD1844" s="1">
        <v>0</v>
      </c>
      <c r="BE1844" s="1" t="str">
        <f>"S.CADEW  TWILL CANVAS"</f>
        <v>S.CADEW  TWILL CANVAS</v>
      </c>
      <c r="BF1844" s="1" t="str">
        <f t="shared" si="1170"/>
        <v>Bonis SpA</v>
      </c>
    </row>
    <row r="1845" spans="2:58" x14ac:dyDescent="0.25">
      <c r="B1845" s="1">
        <v>2554</v>
      </c>
      <c r="C1845" s="1" t="str">
        <f>"SOLAD4188S7/C1"</f>
        <v>SOLAD4188S7/C1</v>
      </c>
      <c r="E1845" s="1" t="str">
        <f>"36"</f>
        <v>36</v>
      </c>
      <c r="F1845" s="1" t="str">
        <f t="shared" si="1159"/>
        <v>BONIS SPA</v>
      </c>
      <c r="G1845" s="1" t="str">
        <f t="shared" si="1183"/>
        <v>STOCK SCAFFALE MP</v>
      </c>
      <c r="H1845" s="1" t="str">
        <f>"DKBL"</f>
        <v>DKBL</v>
      </c>
      <c r="K1845" s="1">
        <v>3</v>
      </c>
      <c r="L1845" s="1" t="str">
        <f t="shared" si="1160"/>
        <v>01</v>
      </c>
      <c r="M1845" s="1" t="str">
        <f t="shared" si="1156"/>
        <v>409</v>
      </c>
      <c r="N1845" s="1" t="str">
        <f t="shared" si="1185"/>
        <v>012</v>
      </c>
      <c r="O1845" s="1" t="str">
        <f t="shared" si="1161"/>
        <v>00</v>
      </c>
      <c r="P1845" s="1" t="str">
        <f t="shared" si="1162"/>
        <v>S</v>
      </c>
      <c r="Q1845" s="1" t="str">
        <f t="shared" si="1163"/>
        <v>P</v>
      </c>
      <c r="R1845" s="1" t="str">
        <f t="shared" si="1164"/>
        <v>01</v>
      </c>
      <c r="S1845" s="1" t="str">
        <f t="shared" si="1184"/>
        <v>04</v>
      </c>
      <c r="T1845" s="1" t="str">
        <f t="shared" si="1165"/>
        <v>False</v>
      </c>
      <c r="U1845" s="1" t="str">
        <f t="shared" si="1166"/>
        <v>True</v>
      </c>
      <c r="V1845" s="1" t="str">
        <f>"U0028097"</f>
        <v>U0028097</v>
      </c>
      <c r="W1845" s="1">
        <v>1</v>
      </c>
      <c r="Y1845" s="1">
        <v>0</v>
      </c>
      <c r="Z1845" s="1">
        <v>0</v>
      </c>
      <c r="AB1845" s="1" t="str">
        <f t="shared" si="1157"/>
        <v>SMU</v>
      </c>
      <c r="AI1845" s="1" t="str">
        <f t="shared" si="1182"/>
        <v>106</v>
      </c>
      <c r="AJ1845" s="1" t="str">
        <f t="shared" si="1174"/>
        <v>WOMAN</v>
      </c>
      <c r="AK1845" s="1" t="str">
        <f t="shared" si="1167"/>
        <v>PA</v>
      </c>
      <c r="AP1845" s="1" t="str">
        <f t="shared" si="1168"/>
        <v>False</v>
      </c>
      <c r="AR1845" s="1" t="str">
        <f>"SOLAD"</f>
        <v>SOLAD</v>
      </c>
      <c r="AY1845" s="1" t="str">
        <f t="shared" si="1169"/>
        <v>PF</v>
      </c>
      <c r="AZ1845" s="1">
        <v>0</v>
      </c>
      <c r="BA1845" s="1">
        <v>0</v>
      </c>
      <c r="BB1845" s="1">
        <v>0</v>
      </c>
      <c r="BC1845" s="1">
        <v>0</v>
      </c>
      <c r="BD1845" s="1">
        <v>0</v>
      </c>
      <c r="BE1845" s="1" t="str">
        <f>"S.CADEW  TWILL CANVAS"</f>
        <v>S.CADEW  TWILL CANVAS</v>
      </c>
      <c r="BF1845" s="1" t="str">
        <f t="shared" si="1170"/>
        <v>Bonis SpA</v>
      </c>
    </row>
    <row r="1846" spans="2:58" x14ac:dyDescent="0.25">
      <c r="B1846" s="1">
        <v>2554</v>
      </c>
      <c r="C1846" s="1" t="str">
        <f>"SOLAD4188S7/C1"</f>
        <v>SOLAD4188S7/C1</v>
      </c>
      <c r="E1846" s="1" t="str">
        <f>"36"</f>
        <v>36</v>
      </c>
      <c r="F1846" s="1" t="str">
        <f t="shared" si="1159"/>
        <v>BONIS SPA</v>
      </c>
      <c r="G1846" s="1" t="str">
        <f t="shared" si="1183"/>
        <v>STOCK SCAFFALE MP</v>
      </c>
      <c r="H1846" s="1" t="str">
        <f>"RED"</f>
        <v>RED</v>
      </c>
      <c r="K1846" s="1">
        <v>2</v>
      </c>
      <c r="L1846" s="1" t="str">
        <f t="shared" si="1160"/>
        <v>01</v>
      </c>
      <c r="M1846" s="1" t="str">
        <f t="shared" ref="M1846:M1909" si="1186">"409"</f>
        <v>409</v>
      </c>
      <c r="N1846" s="1" t="str">
        <f t="shared" si="1185"/>
        <v>012</v>
      </c>
      <c r="O1846" s="1" t="str">
        <f t="shared" si="1161"/>
        <v>00</v>
      </c>
      <c r="P1846" s="1" t="str">
        <f t="shared" si="1162"/>
        <v>S</v>
      </c>
      <c r="Q1846" s="1" t="str">
        <f t="shared" si="1163"/>
        <v>P</v>
      </c>
      <c r="R1846" s="1" t="str">
        <f t="shared" si="1164"/>
        <v>01</v>
      </c>
      <c r="S1846" s="1" t="str">
        <f t="shared" si="1184"/>
        <v>04</v>
      </c>
      <c r="T1846" s="1" t="str">
        <f t="shared" si="1165"/>
        <v>False</v>
      </c>
      <c r="U1846" s="1" t="str">
        <f t="shared" si="1166"/>
        <v>True</v>
      </c>
      <c r="V1846" s="1" t="str">
        <f>"U0023164"</f>
        <v>U0023164</v>
      </c>
      <c r="W1846" s="1">
        <v>1</v>
      </c>
      <c r="Y1846" s="1">
        <v>0</v>
      </c>
      <c r="Z1846" s="1">
        <v>0</v>
      </c>
      <c r="AB1846" s="1" t="str">
        <f t="shared" ref="AB1846:AB1909" si="1187">"SMU"</f>
        <v>SMU</v>
      </c>
      <c r="AI1846" s="1" t="str">
        <f>"F11"</f>
        <v>F11</v>
      </c>
      <c r="AJ1846" s="1" t="str">
        <f t="shared" si="1174"/>
        <v>WOMAN</v>
      </c>
      <c r="AK1846" s="1" t="str">
        <f t="shared" si="1167"/>
        <v>PA</v>
      </c>
      <c r="AP1846" s="1" t="str">
        <f t="shared" si="1168"/>
        <v>False</v>
      </c>
      <c r="AR1846" s="1" t="str">
        <f>"SOLAD"</f>
        <v>SOLAD</v>
      </c>
      <c r="AY1846" s="1" t="str">
        <f t="shared" si="1169"/>
        <v>PF</v>
      </c>
      <c r="AZ1846" s="1">
        <v>0</v>
      </c>
      <c r="BA1846" s="1">
        <v>0</v>
      </c>
      <c r="BB1846" s="1">
        <v>0</v>
      </c>
      <c r="BC1846" s="1">
        <v>0</v>
      </c>
      <c r="BD1846" s="1">
        <v>0</v>
      </c>
      <c r="BE1846" s="1" t="str">
        <f>"S.CADEW  TWILL CANVAS"</f>
        <v>S.CADEW  TWILL CANVAS</v>
      </c>
      <c r="BF1846" s="1" t="str">
        <f t="shared" si="1170"/>
        <v>Bonis SpA</v>
      </c>
    </row>
    <row r="1847" spans="2:58" x14ac:dyDescent="0.25">
      <c r="B1847" s="1">
        <v>2554</v>
      </c>
      <c r="C1847" s="1" t="str">
        <f>"SOLAD4188S7/C1"</f>
        <v>SOLAD4188S7/C1</v>
      </c>
      <c r="E1847" s="1" t="str">
        <f>"37"</f>
        <v>37</v>
      </c>
      <c r="F1847" s="1" t="str">
        <f t="shared" si="1159"/>
        <v>BONIS SPA</v>
      </c>
      <c r="G1847" s="1" t="str">
        <f t="shared" si="1183"/>
        <v>STOCK SCAFFALE MP</v>
      </c>
      <c r="H1847" s="1" t="str">
        <f>"RED"</f>
        <v>RED</v>
      </c>
      <c r="K1847" s="1">
        <v>5</v>
      </c>
      <c r="L1847" s="1" t="str">
        <f t="shared" si="1160"/>
        <v>01</v>
      </c>
      <c r="M1847" s="1" t="str">
        <f t="shared" si="1186"/>
        <v>409</v>
      </c>
      <c r="N1847" s="1" t="str">
        <f t="shared" si="1185"/>
        <v>012</v>
      </c>
      <c r="O1847" s="1" t="str">
        <f t="shared" si="1161"/>
        <v>00</v>
      </c>
      <c r="P1847" s="1" t="str">
        <f t="shared" si="1162"/>
        <v>S</v>
      </c>
      <c r="Q1847" s="1" t="str">
        <f t="shared" si="1163"/>
        <v>P</v>
      </c>
      <c r="R1847" s="1" t="str">
        <f t="shared" si="1164"/>
        <v>01</v>
      </c>
      <c r="S1847" s="1" t="str">
        <f t="shared" si="1184"/>
        <v>04</v>
      </c>
      <c r="T1847" s="1" t="str">
        <f t="shared" si="1165"/>
        <v>False</v>
      </c>
      <c r="U1847" s="1" t="str">
        <f t="shared" si="1166"/>
        <v>True</v>
      </c>
      <c r="V1847" s="1" t="str">
        <f>"U0023164"</f>
        <v>U0023164</v>
      </c>
      <c r="W1847" s="1">
        <v>1</v>
      </c>
      <c r="Y1847" s="1">
        <v>0</v>
      </c>
      <c r="Z1847" s="1">
        <v>0</v>
      </c>
      <c r="AB1847" s="1" t="str">
        <f t="shared" si="1187"/>
        <v>SMU</v>
      </c>
      <c r="AI1847" s="1" t="str">
        <f>"F11"</f>
        <v>F11</v>
      </c>
      <c r="AJ1847" s="1" t="str">
        <f t="shared" si="1174"/>
        <v>WOMAN</v>
      </c>
      <c r="AK1847" s="1" t="str">
        <f t="shared" si="1167"/>
        <v>PA</v>
      </c>
      <c r="AP1847" s="1" t="str">
        <f t="shared" si="1168"/>
        <v>False</v>
      </c>
      <c r="AR1847" s="1" t="str">
        <f>"SOLAD"</f>
        <v>SOLAD</v>
      </c>
      <c r="AY1847" s="1" t="str">
        <f t="shared" si="1169"/>
        <v>PF</v>
      </c>
      <c r="AZ1847" s="1">
        <v>0</v>
      </c>
      <c r="BA1847" s="1">
        <v>0</v>
      </c>
      <c r="BB1847" s="1">
        <v>0</v>
      </c>
      <c r="BC1847" s="1">
        <v>0</v>
      </c>
      <c r="BD1847" s="1">
        <v>0</v>
      </c>
      <c r="BE1847" s="1" t="str">
        <f>"S.CADEW  TWILL CANVAS"</f>
        <v>S.CADEW  TWILL CANVAS</v>
      </c>
      <c r="BF1847" s="1" t="str">
        <f t="shared" si="1170"/>
        <v>Bonis SpA</v>
      </c>
    </row>
    <row r="1848" spans="2:58" x14ac:dyDescent="0.25">
      <c r="B1848" s="1">
        <v>2554</v>
      </c>
      <c r="C1848" s="1" t="str">
        <f>"SOLAD4188S7/C1"</f>
        <v>SOLAD4188S7/C1</v>
      </c>
      <c r="E1848" s="1" t="str">
        <f>"38"</f>
        <v>38</v>
      </c>
      <c r="F1848" s="1" t="str">
        <f t="shared" si="1159"/>
        <v>BONIS SPA</v>
      </c>
      <c r="G1848" s="1" t="str">
        <f t="shared" si="1183"/>
        <v>STOCK SCAFFALE MP</v>
      </c>
      <c r="H1848" s="1" t="str">
        <f>"RED"</f>
        <v>RED</v>
      </c>
      <c r="K1848" s="1">
        <v>3</v>
      </c>
      <c r="L1848" s="1" t="str">
        <f t="shared" si="1160"/>
        <v>01</v>
      </c>
      <c r="M1848" s="1" t="str">
        <f t="shared" si="1186"/>
        <v>409</v>
      </c>
      <c r="N1848" s="1" t="str">
        <f t="shared" si="1185"/>
        <v>012</v>
      </c>
      <c r="O1848" s="1" t="str">
        <f t="shared" si="1161"/>
        <v>00</v>
      </c>
      <c r="P1848" s="1" t="str">
        <f t="shared" si="1162"/>
        <v>S</v>
      </c>
      <c r="Q1848" s="1" t="str">
        <f t="shared" si="1163"/>
        <v>P</v>
      </c>
      <c r="R1848" s="1" t="str">
        <f t="shared" si="1164"/>
        <v>01</v>
      </c>
      <c r="S1848" s="1" t="str">
        <f t="shared" si="1184"/>
        <v>04</v>
      </c>
      <c r="T1848" s="1" t="str">
        <f t="shared" si="1165"/>
        <v>False</v>
      </c>
      <c r="U1848" s="1" t="str">
        <f t="shared" si="1166"/>
        <v>True</v>
      </c>
      <c r="V1848" s="1" t="str">
        <f>"U0023164"</f>
        <v>U0023164</v>
      </c>
      <c r="W1848" s="1">
        <v>1</v>
      </c>
      <c r="Y1848" s="1">
        <v>0</v>
      </c>
      <c r="Z1848" s="1">
        <v>0</v>
      </c>
      <c r="AB1848" s="1" t="str">
        <f t="shared" si="1187"/>
        <v>SMU</v>
      </c>
      <c r="AI1848" s="1" t="str">
        <f>"F11"</f>
        <v>F11</v>
      </c>
      <c r="AJ1848" s="1" t="str">
        <f t="shared" si="1174"/>
        <v>WOMAN</v>
      </c>
      <c r="AK1848" s="1" t="str">
        <f t="shared" si="1167"/>
        <v>PA</v>
      </c>
      <c r="AP1848" s="1" t="str">
        <f t="shared" si="1168"/>
        <v>False</v>
      </c>
      <c r="AR1848" s="1" t="str">
        <f>"SOLAD"</f>
        <v>SOLAD</v>
      </c>
      <c r="AY1848" s="1" t="str">
        <f t="shared" si="1169"/>
        <v>PF</v>
      </c>
      <c r="AZ1848" s="1">
        <v>0</v>
      </c>
      <c r="BA1848" s="1">
        <v>0</v>
      </c>
      <c r="BB1848" s="1">
        <v>0</v>
      </c>
      <c r="BC1848" s="1">
        <v>0</v>
      </c>
      <c r="BD1848" s="1">
        <v>0</v>
      </c>
      <c r="BE1848" s="1" t="str">
        <f>"S.CADEW  TWILL CANVAS"</f>
        <v>S.CADEW  TWILL CANVAS</v>
      </c>
      <c r="BF1848" s="1" t="str">
        <f t="shared" si="1170"/>
        <v>Bonis SpA</v>
      </c>
    </row>
    <row r="1849" spans="2:58" x14ac:dyDescent="0.25">
      <c r="B1849" s="1">
        <v>2527</v>
      </c>
      <c r="C1849" s="1" t="str">
        <f t="shared" ref="C1849:C1874" si="1188">"GALAN4182S7/CY1"</f>
        <v>GALAN4182S7/CY1</v>
      </c>
      <c r="E1849" s="1" t="str">
        <f>"41"</f>
        <v>41</v>
      </c>
      <c r="F1849" s="1" t="str">
        <f t="shared" si="1159"/>
        <v>BONIS SPA</v>
      </c>
      <c r="G1849" s="1" t="str">
        <f t="shared" si="1183"/>
        <v>STOCK SCAFFALE MP</v>
      </c>
      <c r="H1849" s="1" t="str">
        <f>"RED"</f>
        <v>RED</v>
      </c>
      <c r="K1849" s="1">
        <v>4</v>
      </c>
      <c r="L1849" s="1" t="str">
        <f t="shared" si="1160"/>
        <v>01</v>
      </c>
      <c r="M1849" s="1" t="str">
        <f t="shared" si="1186"/>
        <v>409</v>
      </c>
      <c r="N1849" s="1" t="str">
        <f t="shared" ref="N1849:N1859" si="1189">"003"</f>
        <v>003</v>
      </c>
      <c r="O1849" s="1" t="str">
        <f t="shared" si="1161"/>
        <v>00</v>
      </c>
      <c r="P1849" s="1" t="str">
        <f t="shared" si="1162"/>
        <v>S</v>
      </c>
      <c r="Q1849" s="1" t="str">
        <f t="shared" si="1163"/>
        <v>P</v>
      </c>
      <c r="R1849" s="1" t="str">
        <f t="shared" si="1164"/>
        <v>01</v>
      </c>
      <c r="S1849" s="1" t="str">
        <f t="shared" si="1184"/>
        <v>04</v>
      </c>
      <c r="T1849" s="1" t="str">
        <f t="shared" si="1165"/>
        <v>False</v>
      </c>
      <c r="U1849" s="1" t="str">
        <f t="shared" si="1166"/>
        <v>True</v>
      </c>
      <c r="V1849" s="1" t="str">
        <f>"U0028139"</f>
        <v>U0028139</v>
      </c>
      <c r="W1849" s="1">
        <v>1</v>
      </c>
      <c r="Y1849" s="1">
        <v>0</v>
      </c>
      <c r="Z1849" s="1">
        <v>0</v>
      </c>
      <c r="AB1849" s="1" t="str">
        <f t="shared" si="1187"/>
        <v>SMU</v>
      </c>
      <c r="AI1849" s="1" t="str">
        <f t="shared" ref="AI1849:AI1858" si="1190">"P11"</f>
        <v>P11</v>
      </c>
      <c r="AJ1849" s="1" t="str">
        <f t="shared" ref="AJ1849:AJ1874" si="1191">"MAN"</f>
        <v>MAN</v>
      </c>
      <c r="AK1849" s="1" t="str">
        <f t="shared" si="1167"/>
        <v>PA</v>
      </c>
      <c r="AP1849" s="1" t="str">
        <f t="shared" si="1168"/>
        <v>False</v>
      </c>
      <c r="AR1849" s="1" t="str">
        <f t="shared" ref="AR1849:AR1874" si="1192">"GALAN"</f>
        <v>GALAN</v>
      </c>
      <c r="AY1849" s="1" t="str">
        <f t="shared" si="1169"/>
        <v>PF</v>
      </c>
      <c r="AZ1849" s="1">
        <v>0</v>
      </c>
      <c r="BA1849" s="1">
        <v>0</v>
      </c>
      <c r="BB1849" s="1">
        <v>0</v>
      </c>
      <c r="BC1849" s="1">
        <v>0</v>
      </c>
      <c r="BD1849" s="1">
        <v>0</v>
      </c>
      <c r="BE1849" s="1" t="str">
        <f t="shared" ref="BE1849:BE1874" si="1193">"LAN+TWILL CANVAS + SIN.LEATHER"</f>
        <v>LAN+TWILL CANVAS + SIN.LEATHER</v>
      </c>
      <c r="BF1849" s="1" t="str">
        <f t="shared" si="1170"/>
        <v>Bonis SpA</v>
      </c>
    </row>
    <row r="1850" spans="2:58" x14ac:dyDescent="0.25">
      <c r="B1850" s="1">
        <v>2527</v>
      </c>
      <c r="C1850" s="1" t="str">
        <f t="shared" si="1188"/>
        <v>GALAN4182S7/CY1</v>
      </c>
      <c r="E1850" s="1" t="str">
        <f>"40"</f>
        <v>40</v>
      </c>
      <c r="F1850" s="1" t="str">
        <f t="shared" si="1159"/>
        <v>BONIS SPA</v>
      </c>
      <c r="G1850" s="1" t="str">
        <f t="shared" si="1183"/>
        <v>STOCK SCAFFALE MP</v>
      </c>
      <c r="H1850" s="1" t="str">
        <f t="shared" ref="H1850:H1855" si="1194">"BLK"</f>
        <v>BLK</v>
      </c>
      <c r="K1850" s="1">
        <v>1</v>
      </c>
      <c r="L1850" s="1" t="str">
        <f t="shared" si="1160"/>
        <v>01</v>
      </c>
      <c r="M1850" s="1" t="str">
        <f t="shared" si="1186"/>
        <v>409</v>
      </c>
      <c r="N1850" s="1" t="str">
        <f t="shared" si="1189"/>
        <v>003</v>
      </c>
      <c r="O1850" s="1" t="str">
        <f t="shared" si="1161"/>
        <v>00</v>
      </c>
      <c r="P1850" s="1" t="str">
        <f t="shared" si="1162"/>
        <v>S</v>
      </c>
      <c r="Q1850" s="1" t="str">
        <f t="shared" si="1163"/>
        <v>P</v>
      </c>
      <c r="R1850" s="1" t="str">
        <f t="shared" si="1164"/>
        <v>01</v>
      </c>
      <c r="S1850" s="1" t="str">
        <f t="shared" si="1184"/>
        <v>04</v>
      </c>
      <c r="T1850" s="1" t="str">
        <f t="shared" si="1165"/>
        <v>False</v>
      </c>
      <c r="U1850" s="1" t="str">
        <f t="shared" si="1166"/>
        <v>True</v>
      </c>
      <c r="V1850" s="1" t="str">
        <f>"U0028139"</f>
        <v>U0028139</v>
      </c>
      <c r="W1850" s="1">
        <v>1</v>
      </c>
      <c r="Y1850" s="1">
        <v>0</v>
      </c>
      <c r="Z1850" s="1">
        <v>0</v>
      </c>
      <c r="AB1850" s="1" t="str">
        <f t="shared" si="1187"/>
        <v>SMU</v>
      </c>
      <c r="AI1850" s="1" t="str">
        <f t="shared" si="1190"/>
        <v>P11</v>
      </c>
      <c r="AJ1850" s="1" t="str">
        <f t="shared" si="1191"/>
        <v>MAN</v>
      </c>
      <c r="AK1850" s="1" t="str">
        <f t="shared" si="1167"/>
        <v>PA</v>
      </c>
      <c r="AP1850" s="1" t="str">
        <f t="shared" si="1168"/>
        <v>False</v>
      </c>
      <c r="AR1850" s="1" t="str">
        <f t="shared" si="1192"/>
        <v>GALAN</v>
      </c>
      <c r="AY1850" s="1" t="str">
        <f t="shared" si="1169"/>
        <v>PF</v>
      </c>
      <c r="AZ1850" s="1">
        <v>0</v>
      </c>
      <c r="BA1850" s="1">
        <v>0</v>
      </c>
      <c r="BB1850" s="1">
        <v>0</v>
      </c>
      <c r="BC1850" s="1">
        <v>0</v>
      </c>
      <c r="BD1850" s="1">
        <v>0</v>
      </c>
      <c r="BE1850" s="1" t="str">
        <f t="shared" si="1193"/>
        <v>LAN+TWILL CANVAS + SIN.LEATHER</v>
      </c>
      <c r="BF1850" s="1" t="str">
        <f t="shared" si="1170"/>
        <v>Bonis SpA</v>
      </c>
    </row>
    <row r="1851" spans="2:58" x14ac:dyDescent="0.25">
      <c r="B1851" s="1">
        <v>2527</v>
      </c>
      <c r="C1851" s="1" t="str">
        <f t="shared" si="1188"/>
        <v>GALAN4182S7/CY1</v>
      </c>
      <c r="E1851" s="1" t="str">
        <f>"44"</f>
        <v>44</v>
      </c>
      <c r="F1851" s="1" t="str">
        <f t="shared" si="1159"/>
        <v>BONIS SPA</v>
      </c>
      <c r="G1851" s="1" t="str">
        <f t="shared" si="1183"/>
        <v>STOCK SCAFFALE MP</v>
      </c>
      <c r="H1851" s="1" t="str">
        <f t="shared" si="1194"/>
        <v>BLK</v>
      </c>
      <c r="K1851" s="1">
        <v>1</v>
      </c>
      <c r="L1851" s="1" t="str">
        <f t="shared" si="1160"/>
        <v>01</v>
      </c>
      <c r="M1851" s="1" t="str">
        <f t="shared" si="1186"/>
        <v>409</v>
      </c>
      <c r="N1851" s="1" t="str">
        <f t="shared" si="1189"/>
        <v>003</v>
      </c>
      <c r="O1851" s="1" t="str">
        <f t="shared" si="1161"/>
        <v>00</v>
      </c>
      <c r="P1851" s="1" t="str">
        <f t="shared" si="1162"/>
        <v>S</v>
      </c>
      <c r="Q1851" s="1" t="str">
        <f t="shared" si="1163"/>
        <v>P</v>
      </c>
      <c r="R1851" s="1" t="str">
        <f t="shared" si="1164"/>
        <v>01</v>
      </c>
      <c r="S1851" s="1" t="str">
        <f t="shared" si="1184"/>
        <v>04</v>
      </c>
      <c r="T1851" s="1" t="str">
        <f t="shared" si="1165"/>
        <v>False</v>
      </c>
      <c r="U1851" s="1" t="str">
        <f t="shared" si="1166"/>
        <v>True</v>
      </c>
      <c r="V1851" s="1" t="str">
        <f>"U0028139"</f>
        <v>U0028139</v>
      </c>
      <c r="W1851" s="1">
        <v>1</v>
      </c>
      <c r="Y1851" s="1">
        <v>0</v>
      </c>
      <c r="Z1851" s="1">
        <v>0</v>
      </c>
      <c r="AB1851" s="1" t="str">
        <f t="shared" si="1187"/>
        <v>SMU</v>
      </c>
      <c r="AI1851" s="1" t="str">
        <f t="shared" si="1190"/>
        <v>P11</v>
      </c>
      <c r="AJ1851" s="1" t="str">
        <f t="shared" si="1191"/>
        <v>MAN</v>
      </c>
      <c r="AK1851" s="1" t="str">
        <f t="shared" si="1167"/>
        <v>PA</v>
      </c>
      <c r="AP1851" s="1" t="str">
        <f t="shared" si="1168"/>
        <v>False</v>
      </c>
      <c r="AR1851" s="1" t="str">
        <f t="shared" si="1192"/>
        <v>GALAN</v>
      </c>
      <c r="AY1851" s="1" t="str">
        <f t="shared" si="1169"/>
        <v>PF</v>
      </c>
      <c r="AZ1851" s="1">
        <v>0</v>
      </c>
      <c r="BA1851" s="1">
        <v>0</v>
      </c>
      <c r="BB1851" s="1">
        <v>0</v>
      </c>
      <c r="BC1851" s="1">
        <v>0</v>
      </c>
      <c r="BD1851" s="1">
        <v>0</v>
      </c>
      <c r="BE1851" s="1" t="str">
        <f t="shared" si="1193"/>
        <v>LAN+TWILL CANVAS + SIN.LEATHER</v>
      </c>
      <c r="BF1851" s="1" t="str">
        <f t="shared" si="1170"/>
        <v>Bonis SpA</v>
      </c>
    </row>
    <row r="1852" spans="2:58" x14ac:dyDescent="0.25">
      <c r="B1852" s="1">
        <v>2527</v>
      </c>
      <c r="C1852" s="1" t="str">
        <f t="shared" si="1188"/>
        <v>GALAN4182S7/CY1</v>
      </c>
      <c r="E1852" s="1" t="str">
        <f>"41"</f>
        <v>41</v>
      </c>
      <c r="F1852" s="1" t="str">
        <f t="shared" si="1159"/>
        <v>BONIS SPA</v>
      </c>
      <c r="G1852" s="1" t="str">
        <f t="shared" si="1183"/>
        <v>STOCK SCAFFALE MP</v>
      </c>
      <c r="H1852" s="1" t="str">
        <f t="shared" si="1194"/>
        <v>BLK</v>
      </c>
      <c r="K1852" s="1">
        <v>2</v>
      </c>
      <c r="L1852" s="1" t="str">
        <f t="shared" si="1160"/>
        <v>01</v>
      </c>
      <c r="M1852" s="1" t="str">
        <f t="shared" si="1186"/>
        <v>409</v>
      </c>
      <c r="N1852" s="1" t="str">
        <f t="shared" si="1189"/>
        <v>003</v>
      </c>
      <c r="O1852" s="1" t="str">
        <f t="shared" si="1161"/>
        <v>00</v>
      </c>
      <c r="P1852" s="1" t="str">
        <f t="shared" si="1162"/>
        <v>S</v>
      </c>
      <c r="Q1852" s="1" t="str">
        <f t="shared" si="1163"/>
        <v>P</v>
      </c>
      <c r="R1852" s="1" t="str">
        <f t="shared" si="1164"/>
        <v>01</v>
      </c>
      <c r="S1852" s="1" t="str">
        <f t="shared" si="1184"/>
        <v>04</v>
      </c>
      <c r="T1852" s="1" t="str">
        <f t="shared" si="1165"/>
        <v>False</v>
      </c>
      <c r="U1852" s="1" t="str">
        <f t="shared" si="1166"/>
        <v>True</v>
      </c>
      <c r="V1852" s="1" t="str">
        <f>"U0028139"</f>
        <v>U0028139</v>
      </c>
      <c r="W1852" s="1">
        <v>1</v>
      </c>
      <c r="Y1852" s="1">
        <v>0</v>
      </c>
      <c r="Z1852" s="1">
        <v>0</v>
      </c>
      <c r="AB1852" s="1" t="str">
        <f t="shared" si="1187"/>
        <v>SMU</v>
      </c>
      <c r="AI1852" s="1" t="str">
        <f t="shared" si="1190"/>
        <v>P11</v>
      </c>
      <c r="AJ1852" s="1" t="str">
        <f t="shared" si="1191"/>
        <v>MAN</v>
      </c>
      <c r="AK1852" s="1" t="str">
        <f t="shared" si="1167"/>
        <v>PA</v>
      </c>
      <c r="AP1852" s="1" t="str">
        <f t="shared" si="1168"/>
        <v>False</v>
      </c>
      <c r="AR1852" s="1" t="str">
        <f t="shared" si="1192"/>
        <v>GALAN</v>
      </c>
      <c r="AY1852" s="1" t="str">
        <f t="shared" si="1169"/>
        <v>PF</v>
      </c>
      <c r="AZ1852" s="1">
        <v>0</v>
      </c>
      <c r="BA1852" s="1">
        <v>0</v>
      </c>
      <c r="BB1852" s="1">
        <v>0</v>
      </c>
      <c r="BC1852" s="1">
        <v>0</v>
      </c>
      <c r="BD1852" s="1">
        <v>0</v>
      </c>
      <c r="BE1852" s="1" t="str">
        <f t="shared" si="1193"/>
        <v>LAN+TWILL CANVAS + SIN.LEATHER</v>
      </c>
      <c r="BF1852" s="1" t="str">
        <f t="shared" si="1170"/>
        <v>Bonis SpA</v>
      </c>
    </row>
    <row r="1853" spans="2:58" x14ac:dyDescent="0.25">
      <c r="B1853" s="1">
        <v>2527</v>
      </c>
      <c r="C1853" s="1" t="str">
        <f t="shared" si="1188"/>
        <v>GALAN4182S7/CY1</v>
      </c>
      <c r="E1853" s="1" t="str">
        <f>"41"</f>
        <v>41</v>
      </c>
      <c r="F1853" s="1" t="str">
        <f t="shared" si="1159"/>
        <v>BONIS SPA</v>
      </c>
      <c r="G1853" s="1" t="str">
        <f t="shared" si="1183"/>
        <v>STOCK SCAFFALE MP</v>
      </c>
      <c r="H1853" s="1" t="str">
        <f t="shared" si="1194"/>
        <v>BLK</v>
      </c>
      <c r="K1853" s="1">
        <v>6</v>
      </c>
      <c r="L1853" s="1" t="str">
        <f t="shared" si="1160"/>
        <v>01</v>
      </c>
      <c r="M1853" s="1" t="str">
        <f t="shared" si="1186"/>
        <v>409</v>
      </c>
      <c r="N1853" s="1" t="str">
        <f t="shared" si="1189"/>
        <v>003</v>
      </c>
      <c r="O1853" s="1" t="str">
        <f t="shared" si="1161"/>
        <v>00</v>
      </c>
      <c r="P1853" s="1" t="str">
        <f t="shared" si="1162"/>
        <v>S</v>
      </c>
      <c r="Q1853" s="1" t="str">
        <f t="shared" si="1163"/>
        <v>P</v>
      </c>
      <c r="R1853" s="1" t="str">
        <f t="shared" si="1164"/>
        <v>01</v>
      </c>
      <c r="S1853" s="1" t="str">
        <f t="shared" si="1184"/>
        <v>04</v>
      </c>
      <c r="T1853" s="1" t="str">
        <f t="shared" si="1165"/>
        <v>False</v>
      </c>
      <c r="U1853" s="1" t="str">
        <f t="shared" si="1166"/>
        <v>True</v>
      </c>
      <c r="V1853" s="1" t="str">
        <f>"U0028140"</f>
        <v>U0028140</v>
      </c>
      <c r="W1853" s="1">
        <v>1</v>
      </c>
      <c r="Y1853" s="1">
        <v>0</v>
      </c>
      <c r="Z1853" s="1">
        <v>0</v>
      </c>
      <c r="AB1853" s="1" t="str">
        <f t="shared" si="1187"/>
        <v>SMU</v>
      </c>
      <c r="AI1853" s="1" t="str">
        <f t="shared" si="1190"/>
        <v>P11</v>
      </c>
      <c r="AJ1853" s="1" t="str">
        <f t="shared" si="1191"/>
        <v>MAN</v>
      </c>
      <c r="AK1853" s="1" t="str">
        <f t="shared" si="1167"/>
        <v>PA</v>
      </c>
      <c r="AP1853" s="1" t="str">
        <f t="shared" si="1168"/>
        <v>False</v>
      </c>
      <c r="AR1853" s="1" t="str">
        <f t="shared" si="1192"/>
        <v>GALAN</v>
      </c>
      <c r="AY1853" s="1" t="str">
        <f t="shared" si="1169"/>
        <v>PF</v>
      </c>
      <c r="AZ1853" s="1">
        <v>0</v>
      </c>
      <c r="BA1853" s="1">
        <v>0</v>
      </c>
      <c r="BB1853" s="1">
        <v>0</v>
      </c>
      <c r="BC1853" s="1">
        <v>0</v>
      </c>
      <c r="BD1853" s="1">
        <v>0</v>
      </c>
      <c r="BE1853" s="1" t="str">
        <f t="shared" si="1193"/>
        <v>LAN+TWILL CANVAS + SIN.LEATHER</v>
      </c>
      <c r="BF1853" s="1" t="str">
        <f t="shared" si="1170"/>
        <v>Bonis SpA</v>
      </c>
    </row>
    <row r="1854" spans="2:58" x14ac:dyDescent="0.25">
      <c r="B1854" s="1">
        <v>2527</v>
      </c>
      <c r="C1854" s="1" t="str">
        <f t="shared" si="1188"/>
        <v>GALAN4182S7/CY1</v>
      </c>
      <c r="E1854" s="1" t="str">
        <f>"43"</f>
        <v>43</v>
      </c>
      <c r="F1854" s="1" t="str">
        <f t="shared" si="1159"/>
        <v>BONIS SPA</v>
      </c>
      <c r="G1854" s="1" t="str">
        <f t="shared" si="1183"/>
        <v>STOCK SCAFFALE MP</v>
      </c>
      <c r="H1854" s="1" t="str">
        <f t="shared" si="1194"/>
        <v>BLK</v>
      </c>
      <c r="K1854" s="1">
        <v>4</v>
      </c>
      <c r="L1854" s="1" t="str">
        <f t="shared" si="1160"/>
        <v>01</v>
      </c>
      <c r="M1854" s="1" t="str">
        <f t="shared" si="1186"/>
        <v>409</v>
      </c>
      <c r="N1854" s="1" t="str">
        <f t="shared" si="1189"/>
        <v>003</v>
      </c>
      <c r="O1854" s="1" t="str">
        <f t="shared" si="1161"/>
        <v>00</v>
      </c>
      <c r="P1854" s="1" t="str">
        <f t="shared" si="1162"/>
        <v>S</v>
      </c>
      <c r="Q1854" s="1" t="str">
        <f t="shared" si="1163"/>
        <v>P</v>
      </c>
      <c r="R1854" s="1" t="str">
        <f t="shared" si="1164"/>
        <v>01</v>
      </c>
      <c r="S1854" s="1" t="str">
        <f t="shared" si="1184"/>
        <v>04</v>
      </c>
      <c r="T1854" s="1" t="str">
        <f t="shared" si="1165"/>
        <v>False</v>
      </c>
      <c r="U1854" s="1" t="str">
        <f t="shared" si="1166"/>
        <v>True</v>
      </c>
      <c r="V1854" s="1" t="str">
        <f>"U0028140"</f>
        <v>U0028140</v>
      </c>
      <c r="W1854" s="1">
        <v>1</v>
      </c>
      <c r="Y1854" s="1">
        <v>0</v>
      </c>
      <c r="Z1854" s="1">
        <v>0</v>
      </c>
      <c r="AB1854" s="1" t="str">
        <f t="shared" si="1187"/>
        <v>SMU</v>
      </c>
      <c r="AI1854" s="1" t="str">
        <f t="shared" si="1190"/>
        <v>P11</v>
      </c>
      <c r="AJ1854" s="1" t="str">
        <f t="shared" si="1191"/>
        <v>MAN</v>
      </c>
      <c r="AK1854" s="1" t="str">
        <f t="shared" si="1167"/>
        <v>PA</v>
      </c>
      <c r="AP1854" s="1" t="str">
        <f t="shared" si="1168"/>
        <v>False</v>
      </c>
      <c r="AR1854" s="1" t="str">
        <f t="shared" si="1192"/>
        <v>GALAN</v>
      </c>
      <c r="AY1854" s="1" t="str">
        <f t="shared" si="1169"/>
        <v>PF</v>
      </c>
      <c r="AZ1854" s="1">
        <v>0</v>
      </c>
      <c r="BA1854" s="1">
        <v>0</v>
      </c>
      <c r="BB1854" s="1">
        <v>0</v>
      </c>
      <c r="BC1854" s="1">
        <v>0</v>
      </c>
      <c r="BD1854" s="1">
        <v>0</v>
      </c>
      <c r="BE1854" s="1" t="str">
        <f t="shared" si="1193"/>
        <v>LAN+TWILL CANVAS + SIN.LEATHER</v>
      </c>
      <c r="BF1854" s="1" t="str">
        <f t="shared" si="1170"/>
        <v>Bonis SpA</v>
      </c>
    </row>
    <row r="1855" spans="2:58" x14ac:dyDescent="0.25">
      <c r="B1855" s="1">
        <v>2527</v>
      </c>
      <c r="C1855" s="1" t="str">
        <f t="shared" si="1188"/>
        <v>GALAN4182S7/CY1</v>
      </c>
      <c r="E1855" s="1" t="str">
        <f>"44"</f>
        <v>44</v>
      </c>
      <c r="F1855" s="1" t="str">
        <f t="shared" si="1159"/>
        <v>BONIS SPA</v>
      </c>
      <c r="G1855" s="1" t="str">
        <f t="shared" si="1183"/>
        <v>STOCK SCAFFALE MP</v>
      </c>
      <c r="H1855" s="1" t="str">
        <f t="shared" si="1194"/>
        <v>BLK</v>
      </c>
      <c r="K1855" s="1">
        <v>2</v>
      </c>
      <c r="L1855" s="1" t="str">
        <f t="shared" si="1160"/>
        <v>01</v>
      </c>
      <c r="M1855" s="1" t="str">
        <f t="shared" si="1186"/>
        <v>409</v>
      </c>
      <c r="N1855" s="1" t="str">
        <f t="shared" si="1189"/>
        <v>003</v>
      </c>
      <c r="O1855" s="1" t="str">
        <f t="shared" si="1161"/>
        <v>00</v>
      </c>
      <c r="P1855" s="1" t="str">
        <f t="shared" si="1162"/>
        <v>S</v>
      </c>
      <c r="Q1855" s="1" t="str">
        <f t="shared" si="1163"/>
        <v>P</v>
      </c>
      <c r="R1855" s="1" t="str">
        <f t="shared" si="1164"/>
        <v>01</v>
      </c>
      <c r="S1855" s="1" t="str">
        <f t="shared" si="1184"/>
        <v>04</v>
      </c>
      <c r="T1855" s="1" t="str">
        <f t="shared" si="1165"/>
        <v>False</v>
      </c>
      <c r="U1855" s="1" t="str">
        <f t="shared" si="1166"/>
        <v>True</v>
      </c>
      <c r="V1855" s="1" t="str">
        <f>"U0028140"</f>
        <v>U0028140</v>
      </c>
      <c r="W1855" s="1">
        <v>1</v>
      </c>
      <c r="Y1855" s="1">
        <v>0</v>
      </c>
      <c r="Z1855" s="1">
        <v>0</v>
      </c>
      <c r="AB1855" s="1" t="str">
        <f t="shared" si="1187"/>
        <v>SMU</v>
      </c>
      <c r="AI1855" s="1" t="str">
        <f t="shared" si="1190"/>
        <v>P11</v>
      </c>
      <c r="AJ1855" s="1" t="str">
        <f t="shared" si="1191"/>
        <v>MAN</v>
      </c>
      <c r="AK1855" s="1" t="str">
        <f t="shared" si="1167"/>
        <v>PA</v>
      </c>
      <c r="AP1855" s="1" t="str">
        <f t="shared" si="1168"/>
        <v>False</v>
      </c>
      <c r="AR1855" s="1" t="str">
        <f t="shared" si="1192"/>
        <v>GALAN</v>
      </c>
      <c r="AY1855" s="1" t="str">
        <f t="shared" si="1169"/>
        <v>PF</v>
      </c>
      <c r="AZ1855" s="1">
        <v>0</v>
      </c>
      <c r="BA1855" s="1">
        <v>0</v>
      </c>
      <c r="BB1855" s="1">
        <v>0</v>
      </c>
      <c r="BC1855" s="1">
        <v>0</v>
      </c>
      <c r="BD1855" s="1">
        <v>0</v>
      </c>
      <c r="BE1855" s="1" t="str">
        <f t="shared" si="1193"/>
        <v>LAN+TWILL CANVAS + SIN.LEATHER</v>
      </c>
      <c r="BF1855" s="1" t="str">
        <f t="shared" si="1170"/>
        <v>Bonis SpA</v>
      </c>
    </row>
    <row r="1856" spans="2:58" x14ac:dyDescent="0.25">
      <c r="B1856" s="1">
        <v>2527</v>
      </c>
      <c r="C1856" s="1" t="str">
        <f t="shared" si="1188"/>
        <v>GALAN4182S7/CY1</v>
      </c>
      <c r="E1856" s="1" t="str">
        <f>"40"</f>
        <v>40</v>
      </c>
      <c r="F1856" s="1" t="str">
        <f t="shared" si="1159"/>
        <v>BONIS SPA</v>
      </c>
      <c r="G1856" s="1" t="str">
        <f t="shared" si="1183"/>
        <v>STOCK SCAFFALE MP</v>
      </c>
      <c r="H1856" s="1" t="str">
        <f>"RED"</f>
        <v>RED</v>
      </c>
      <c r="K1856" s="1">
        <v>10</v>
      </c>
      <c r="L1856" s="1" t="str">
        <f t="shared" si="1160"/>
        <v>01</v>
      </c>
      <c r="M1856" s="1" t="str">
        <f t="shared" si="1186"/>
        <v>409</v>
      </c>
      <c r="N1856" s="1" t="str">
        <f t="shared" si="1189"/>
        <v>003</v>
      </c>
      <c r="O1856" s="1" t="str">
        <f t="shared" si="1161"/>
        <v>00</v>
      </c>
      <c r="P1856" s="1" t="str">
        <f t="shared" si="1162"/>
        <v>S</v>
      </c>
      <c r="Q1856" s="1" t="str">
        <f t="shared" si="1163"/>
        <v>P</v>
      </c>
      <c r="R1856" s="1" t="str">
        <f t="shared" si="1164"/>
        <v>01</v>
      </c>
      <c r="S1856" s="1" t="str">
        <f t="shared" si="1184"/>
        <v>04</v>
      </c>
      <c r="T1856" s="1" t="str">
        <f t="shared" si="1165"/>
        <v>False</v>
      </c>
      <c r="U1856" s="1" t="str">
        <f t="shared" si="1166"/>
        <v>True</v>
      </c>
      <c r="V1856" s="1" t="str">
        <f>"U0028141"</f>
        <v>U0028141</v>
      </c>
      <c r="W1856" s="1">
        <v>1</v>
      </c>
      <c r="Y1856" s="1">
        <v>0</v>
      </c>
      <c r="Z1856" s="1">
        <v>0</v>
      </c>
      <c r="AB1856" s="1" t="str">
        <f t="shared" si="1187"/>
        <v>SMU</v>
      </c>
      <c r="AI1856" s="1" t="str">
        <f t="shared" si="1190"/>
        <v>P11</v>
      </c>
      <c r="AJ1856" s="1" t="str">
        <f t="shared" si="1191"/>
        <v>MAN</v>
      </c>
      <c r="AK1856" s="1" t="str">
        <f t="shared" si="1167"/>
        <v>PA</v>
      </c>
      <c r="AP1856" s="1" t="str">
        <f t="shared" si="1168"/>
        <v>False</v>
      </c>
      <c r="AR1856" s="1" t="str">
        <f t="shared" si="1192"/>
        <v>GALAN</v>
      </c>
      <c r="AY1856" s="1" t="str">
        <f t="shared" si="1169"/>
        <v>PF</v>
      </c>
      <c r="AZ1856" s="1">
        <v>0</v>
      </c>
      <c r="BA1856" s="1">
        <v>0</v>
      </c>
      <c r="BB1856" s="1">
        <v>0</v>
      </c>
      <c r="BC1856" s="1">
        <v>0</v>
      </c>
      <c r="BD1856" s="1">
        <v>0</v>
      </c>
      <c r="BE1856" s="1" t="str">
        <f t="shared" si="1193"/>
        <v>LAN+TWILL CANVAS + SIN.LEATHER</v>
      </c>
      <c r="BF1856" s="1" t="str">
        <f t="shared" si="1170"/>
        <v>Bonis SpA</v>
      </c>
    </row>
    <row r="1857" spans="2:58" x14ac:dyDescent="0.25">
      <c r="B1857" s="1">
        <v>2527</v>
      </c>
      <c r="C1857" s="1" t="str">
        <f t="shared" si="1188"/>
        <v>GALAN4182S7/CY1</v>
      </c>
      <c r="E1857" s="1" t="str">
        <f>"41"</f>
        <v>41</v>
      </c>
      <c r="F1857" s="1" t="str">
        <f t="shared" si="1159"/>
        <v>BONIS SPA</v>
      </c>
      <c r="G1857" s="1" t="str">
        <f t="shared" si="1183"/>
        <v>STOCK SCAFFALE MP</v>
      </c>
      <c r="H1857" s="1" t="str">
        <f>"RED"</f>
        <v>RED</v>
      </c>
      <c r="K1857" s="1">
        <v>2</v>
      </c>
      <c r="L1857" s="1" t="str">
        <f t="shared" si="1160"/>
        <v>01</v>
      </c>
      <c r="M1857" s="1" t="str">
        <f t="shared" si="1186"/>
        <v>409</v>
      </c>
      <c r="N1857" s="1" t="str">
        <f t="shared" si="1189"/>
        <v>003</v>
      </c>
      <c r="O1857" s="1" t="str">
        <f t="shared" si="1161"/>
        <v>00</v>
      </c>
      <c r="P1857" s="1" t="str">
        <f t="shared" si="1162"/>
        <v>S</v>
      </c>
      <c r="Q1857" s="1" t="str">
        <f t="shared" si="1163"/>
        <v>P</v>
      </c>
      <c r="R1857" s="1" t="str">
        <f t="shared" si="1164"/>
        <v>01</v>
      </c>
      <c r="S1857" s="1" t="str">
        <f t="shared" si="1184"/>
        <v>04</v>
      </c>
      <c r="T1857" s="1" t="str">
        <f t="shared" si="1165"/>
        <v>False</v>
      </c>
      <c r="U1857" s="1" t="str">
        <f t="shared" si="1166"/>
        <v>True</v>
      </c>
      <c r="V1857" s="1" t="str">
        <f>"U0028141"</f>
        <v>U0028141</v>
      </c>
      <c r="W1857" s="1">
        <v>1</v>
      </c>
      <c r="Y1857" s="1">
        <v>0</v>
      </c>
      <c r="Z1857" s="1">
        <v>0</v>
      </c>
      <c r="AB1857" s="1" t="str">
        <f t="shared" si="1187"/>
        <v>SMU</v>
      </c>
      <c r="AI1857" s="1" t="str">
        <f t="shared" si="1190"/>
        <v>P11</v>
      </c>
      <c r="AJ1857" s="1" t="str">
        <f t="shared" si="1191"/>
        <v>MAN</v>
      </c>
      <c r="AK1857" s="1" t="str">
        <f t="shared" si="1167"/>
        <v>PA</v>
      </c>
      <c r="AP1857" s="1" t="str">
        <f t="shared" si="1168"/>
        <v>False</v>
      </c>
      <c r="AR1857" s="1" t="str">
        <f t="shared" si="1192"/>
        <v>GALAN</v>
      </c>
      <c r="AY1857" s="1" t="str">
        <f t="shared" si="1169"/>
        <v>PF</v>
      </c>
      <c r="AZ1857" s="1">
        <v>0</v>
      </c>
      <c r="BA1857" s="1">
        <v>0</v>
      </c>
      <c r="BB1857" s="1">
        <v>0</v>
      </c>
      <c r="BC1857" s="1">
        <v>0</v>
      </c>
      <c r="BD1857" s="1">
        <v>0</v>
      </c>
      <c r="BE1857" s="1" t="str">
        <f t="shared" si="1193"/>
        <v>LAN+TWILL CANVAS + SIN.LEATHER</v>
      </c>
      <c r="BF1857" s="1" t="str">
        <f t="shared" si="1170"/>
        <v>Bonis SpA</v>
      </c>
    </row>
    <row r="1858" spans="2:58" x14ac:dyDescent="0.25">
      <c r="B1858" s="1">
        <v>2527</v>
      </c>
      <c r="C1858" s="1" t="str">
        <f t="shared" si="1188"/>
        <v>GALAN4182S7/CY1</v>
      </c>
      <c r="E1858" s="1" t="str">
        <f>"42"</f>
        <v>42</v>
      </c>
      <c r="F1858" s="1" t="str">
        <f t="shared" ref="F1858:F1921" si="1195">"BONIS SPA"</f>
        <v>BONIS SPA</v>
      </c>
      <c r="G1858" s="1" t="str">
        <f t="shared" si="1183"/>
        <v>STOCK SCAFFALE MP</v>
      </c>
      <c r="H1858" s="1" t="str">
        <f>"RED"</f>
        <v>RED</v>
      </c>
      <c r="K1858" s="1">
        <v>8</v>
      </c>
      <c r="L1858" s="1" t="str">
        <f t="shared" ref="L1858:L1921" si="1196">"01"</f>
        <v>01</v>
      </c>
      <c r="M1858" s="1" t="str">
        <f t="shared" si="1186"/>
        <v>409</v>
      </c>
      <c r="N1858" s="1" t="str">
        <f t="shared" si="1189"/>
        <v>003</v>
      </c>
      <c r="O1858" s="1" t="str">
        <f t="shared" ref="O1858:O1921" si="1197">"00"</f>
        <v>00</v>
      </c>
      <c r="P1858" s="1" t="str">
        <f t="shared" ref="P1858:P1921" si="1198">"S"</f>
        <v>S</v>
      </c>
      <c r="Q1858" s="1" t="str">
        <f t="shared" ref="Q1858:Q1921" si="1199">"P"</f>
        <v>P</v>
      </c>
      <c r="R1858" s="1" t="str">
        <f t="shared" ref="R1858:R1921" si="1200">"01"</f>
        <v>01</v>
      </c>
      <c r="S1858" s="1" t="str">
        <f t="shared" si="1184"/>
        <v>04</v>
      </c>
      <c r="T1858" s="1" t="str">
        <f t="shared" ref="T1858:T1921" si="1201">"False"</f>
        <v>False</v>
      </c>
      <c r="U1858" s="1" t="str">
        <f t="shared" ref="U1858:U1921" si="1202">"True"</f>
        <v>True</v>
      </c>
      <c r="V1858" s="1" t="str">
        <f>"U0023161"</f>
        <v>U0023161</v>
      </c>
      <c r="W1858" s="1">
        <v>1</v>
      </c>
      <c r="Y1858" s="1">
        <v>0</v>
      </c>
      <c r="Z1858" s="1">
        <v>0</v>
      </c>
      <c r="AB1858" s="1" t="str">
        <f t="shared" si="1187"/>
        <v>SMU</v>
      </c>
      <c r="AI1858" s="1" t="str">
        <f t="shared" si="1190"/>
        <v>P11</v>
      </c>
      <c r="AJ1858" s="1" t="str">
        <f t="shared" si="1191"/>
        <v>MAN</v>
      </c>
      <c r="AK1858" s="1" t="str">
        <f t="shared" ref="AK1858:AK1921" si="1203">"PA"</f>
        <v>PA</v>
      </c>
      <c r="AP1858" s="1" t="str">
        <f t="shared" ref="AP1858:AP1921" si="1204">"False"</f>
        <v>False</v>
      </c>
      <c r="AR1858" s="1" t="str">
        <f t="shared" si="1192"/>
        <v>GALAN</v>
      </c>
      <c r="AY1858" s="1" t="str">
        <f t="shared" ref="AY1858:AY1921" si="1205">"PF"</f>
        <v>PF</v>
      </c>
      <c r="AZ1858" s="1">
        <v>0</v>
      </c>
      <c r="BA1858" s="1">
        <v>0</v>
      </c>
      <c r="BB1858" s="1">
        <v>0</v>
      </c>
      <c r="BC1858" s="1">
        <v>0</v>
      </c>
      <c r="BD1858" s="1">
        <v>0</v>
      </c>
      <c r="BE1858" s="1" t="str">
        <f t="shared" si="1193"/>
        <v>LAN+TWILL CANVAS + SIN.LEATHER</v>
      </c>
      <c r="BF1858" s="1" t="str">
        <f t="shared" ref="BF1858:BF1921" si="1206">"Bonis SpA"</f>
        <v>Bonis SpA</v>
      </c>
    </row>
    <row r="1859" spans="2:58" x14ac:dyDescent="0.25">
      <c r="B1859" s="1">
        <v>2527</v>
      </c>
      <c r="C1859" s="1" t="str">
        <f t="shared" si="1188"/>
        <v>GALAN4182S7/CY1</v>
      </c>
      <c r="E1859" s="1" t="str">
        <f>"44"</f>
        <v>44</v>
      </c>
      <c r="F1859" s="1" t="str">
        <f t="shared" si="1195"/>
        <v>BONIS SPA</v>
      </c>
      <c r="G1859" s="1" t="str">
        <f t="shared" si="1183"/>
        <v>STOCK SCAFFALE MP</v>
      </c>
      <c r="H1859" s="1" t="str">
        <f>"RED"</f>
        <v>RED</v>
      </c>
      <c r="K1859" s="1">
        <v>11</v>
      </c>
      <c r="L1859" s="1" t="str">
        <f t="shared" si="1196"/>
        <v>01</v>
      </c>
      <c r="M1859" s="1" t="str">
        <f t="shared" si="1186"/>
        <v>409</v>
      </c>
      <c r="N1859" s="1" t="str">
        <f t="shared" si="1189"/>
        <v>003</v>
      </c>
      <c r="O1859" s="1" t="str">
        <f t="shared" si="1197"/>
        <v>00</v>
      </c>
      <c r="P1859" s="1" t="str">
        <f t="shared" si="1198"/>
        <v>S</v>
      </c>
      <c r="Q1859" s="1" t="str">
        <f t="shared" si="1199"/>
        <v>P</v>
      </c>
      <c r="R1859" s="1" t="str">
        <f t="shared" si="1200"/>
        <v>01</v>
      </c>
      <c r="S1859" s="1" t="str">
        <f t="shared" si="1184"/>
        <v>04</v>
      </c>
      <c r="T1859" s="1" t="str">
        <f t="shared" si="1201"/>
        <v>False</v>
      </c>
      <c r="U1859" s="1" t="str">
        <f t="shared" si="1202"/>
        <v>True</v>
      </c>
      <c r="V1859" s="1" t="str">
        <f>"U0028134"</f>
        <v>U0028134</v>
      </c>
      <c r="W1859" s="1">
        <v>1</v>
      </c>
      <c r="Y1859" s="1">
        <v>0</v>
      </c>
      <c r="Z1859" s="1">
        <v>0</v>
      </c>
      <c r="AB1859" s="1" t="str">
        <f t="shared" si="1187"/>
        <v>SMU</v>
      </c>
      <c r="AI1859" s="1" t="str">
        <f>"F06"</f>
        <v>F06</v>
      </c>
      <c r="AJ1859" s="1" t="str">
        <f t="shared" si="1191"/>
        <v>MAN</v>
      </c>
      <c r="AK1859" s="1" t="str">
        <f t="shared" si="1203"/>
        <v>PA</v>
      </c>
      <c r="AP1859" s="1" t="str">
        <f t="shared" si="1204"/>
        <v>False</v>
      </c>
      <c r="AR1859" s="1" t="str">
        <f t="shared" si="1192"/>
        <v>GALAN</v>
      </c>
      <c r="AY1859" s="1" t="str">
        <f t="shared" si="1205"/>
        <v>PF</v>
      </c>
      <c r="AZ1859" s="1">
        <v>0</v>
      </c>
      <c r="BA1859" s="1">
        <v>0</v>
      </c>
      <c r="BB1859" s="1">
        <v>0</v>
      </c>
      <c r="BC1859" s="1">
        <v>0</v>
      </c>
      <c r="BD1859" s="1">
        <v>0</v>
      </c>
      <c r="BE1859" s="1" t="str">
        <f t="shared" si="1193"/>
        <v>LAN+TWILL CANVAS + SIN.LEATHER</v>
      </c>
      <c r="BF1859" s="1" t="str">
        <f t="shared" si="1206"/>
        <v>Bonis SpA</v>
      </c>
    </row>
    <row r="1860" spans="2:58" x14ac:dyDescent="0.25">
      <c r="B1860" s="1">
        <v>2539</v>
      </c>
      <c r="C1860" s="1" t="str">
        <f t="shared" si="1188"/>
        <v>GALAN4182S7/CY1</v>
      </c>
      <c r="E1860" s="1" t="str">
        <f>"43"</f>
        <v>43</v>
      </c>
      <c r="F1860" s="1" t="str">
        <f t="shared" si="1195"/>
        <v>BONIS SPA</v>
      </c>
      <c r="G1860" s="1" t="str">
        <f t="shared" si="1183"/>
        <v>STOCK SCAFFALE MP</v>
      </c>
      <c r="H1860" s="1" t="str">
        <f>"BLK"</f>
        <v>BLK</v>
      </c>
      <c r="K1860" s="1">
        <v>4</v>
      </c>
      <c r="L1860" s="1" t="str">
        <f t="shared" si="1196"/>
        <v>01</v>
      </c>
      <c r="M1860" s="1" t="str">
        <f t="shared" si="1186"/>
        <v>409</v>
      </c>
      <c r="N1860" s="1" t="str">
        <f>"007"</f>
        <v>007</v>
      </c>
      <c r="O1860" s="1" t="str">
        <f t="shared" si="1197"/>
        <v>00</v>
      </c>
      <c r="P1860" s="1" t="str">
        <f t="shared" si="1198"/>
        <v>S</v>
      </c>
      <c r="Q1860" s="1" t="str">
        <f t="shared" si="1199"/>
        <v>P</v>
      </c>
      <c r="R1860" s="1" t="str">
        <f t="shared" si="1200"/>
        <v>01</v>
      </c>
      <c r="S1860" s="1" t="str">
        <f t="shared" si="1184"/>
        <v>04</v>
      </c>
      <c r="T1860" s="1" t="str">
        <f t="shared" si="1201"/>
        <v>False</v>
      </c>
      <c r="U1860" s="1" t="str">
        <f t="shared" si="1202"/>
        <v>True</v>
      </c>
      <c r="V1860" s="1" t="str">
        <f>"U0032600"</f>
        <v>U0032600</v>
      </c>
      <c r="W1860" s="1">
        <v>1</v>
      </c>
      <c r="Y1860" s="1">
        <v>0</v>
      </c>
      <c r="Z1860" s="1">
        <v>0</v>
      </c>
      <c r="AB1860" s="1" t="str">
        <f t="shared" si="1187"/>
        <v>SMU</v>
      </c>
      <c r="AI1860" s="1" t="str">
        <f>"F11"</f>
        <v>F11</v>
      </c>
      <c r="AJ1860" s="1" t="str">
        <f t="shared" si="1191"/>
        <v>MAN</v>
      </c>
      <c r="AK1860" s="1" t="str">
        <f t="shared" si="1203"/>
        <v>PA</v>
      </c>
      <c r="AP1860" s="1" t="str">
        <f t="shared" si="1204"/>
        <v>False</v>
      </c>
      <c r="AR1860" s="1" t="str">
        <f t="shared" si="1192"/>
        <v>GALAN</v>
      </c>
      <c r="AY1860" s="1" t="str">
        <f t="shared" si="1205"/>
        <v>PF</v>
      </c>
      <c r="AZ1860" s="1">
        <v>0</v>
      </c>
      <c r="BA1860" s="1">
        <v>0</v>
      </c>
      <c r="BB1860" s="1">
        <v>0</v>
      </c>
      <c r="BC1860" s="1">
        <v>0</v>
      </c>
      <c r="BD1860" s="1">
        <v>0</v>
      </c>
      <c r="BE1860" s="1" t="str">
        <f t="shared" si="1193"/>
        <v>LAN+TWILL CANVAS + SIN.LEATHER</v>
      </c>
      <c r="BF1860" s="1" t="str">
        <f t="shared" si="1206"/>
        <v>Bonis SpA</v>
      </c>
    </row>
    <row r="1861" spans="2:58" x14ac:dyDescent="0.25">
      <c r="B1861" s="1">
        <v>2539</v>
      </c>
      <c r="C1861" s="1" t="str">
        <f t="shared" si="1188"/>
        <v>GALAN4182S7/CY1</v>
      </c>
      <c r="E1861" s="1" t="str">
        <f>"44"</f>
        <v>44</v>
      </c>
      <c r="F1861" s="1" t="str">
        <f t="shared" si="1195"/>
        <v>BONIS SPA</v>
      </c>
      <c r="G1861" s="1" t="str">
        <f t="shared" si="1183"/>
        <v>STOCK SCAFFALE MP</v>
      </c>
      <c r="H1861" s="1" t="str">
        <f>"BLK"</f>
        <v>BLK</v>
      </c>
      <c r="K1861" s="1">
        <v>4</v>
      </c>
      <c r="L1861" s="1" t="str">
        <f t="shared" si="1196"/>
        <v>01</v>
      </c>
      <c r="M1861" s="1" t="str">
        <f t="shared" si="1186"/>
        <v>409</v>
      </c>
      <c r="N1861" s="1" t="str">
        <f>"007"</f>
        <v>007</v>
      </c>
      <c r="O1861" s="1" t="str">
        <f t="shared" si="1197"/>
        <v>00</v>
      </c>
      <c r="P1861" s="1" t="str">
        <f t="shared" si="1198"/>
        <v>S</v>
      </c>
      <c r="Q1861" s="1" t="str">
        <f t="shared" si="1199"/>
        <v>P</v>
      </c>
      <c r="R1861" s="1" t="str">
        <f t="shared" si="1200"/>
        <v>01</v>
      </c>
      <c r="S1861" s="1" t="str">
        <f t="shared" si="1184"/>
        <v>04</v>
      </c>
      <c r="T1861" s="1" t="str">
        <f t="shared" si="1201"/>
        <v>False</v>
      </c>
      <c r="U1861" s="1" t="str">
        <f t="shared" si="1202"/>
        <v>True</v>
      </c>
      <c r="V1861" s="1" t="str">
        <f>"U0032600"</f>
        <v>U0032600</v>
      </c>
      <c r="W1861" s="1">
        <v>1</v>
      </c>
      <c r="Y1861" s="1">
        <v>0</v>
      </c>
      <c r="Z1861" s="1">
        <v>0</v>
      </c>
      <c r="AB1861" s="1" t="str">
        <f t="shared" si="1187"/>
        <v>SMU</v>
      </c>
      <c r="AI1861" s="1" t="str">
        <f>"F11"</f>
        <v>F11</v>
      </c>
      <c r="AJ1861" s="1" t="str">
        <f t="shared" si="1191"/>
        <v>MAN</v>
      </c>
      <c r="AK1861" s="1" t="str">
        <f t="shared" si="1203"/>
        <v>PA</v>
      </c>
      <c r="AP1861" s="1" t="str">
        <f t="shared" si="1204"/>
        <v>False</v>
      </c>
      <c r="AR1861" s="1" t="str">
        <f t="shared" si="1192"/>
        <v>GALAN</v>
      </c>
      <c r="AY1861" s="1" t="str">
        <f t="shared" si="1205"/>
        <v>PF</v>
      </c>
      <c r="AZ1861" s="1">
        <v>0</v>
      </c>
      <c r="BA1861" s="1">
        <v>0</v>
      </c>
      <c r="BB1861" s="1">
        <v>0</v>
      </c>
      <c r="BC1861" s="1">
        <v>0</v>
      </c>
      <c r="BD1861" s="1">
        <v>0</v>
      </c>
      <c r="BE1861" s="1" t="str">
        <f t="shared" si="1193"/>
        <v>LAN+TWILL CANVAS + SIN.LEATHER</v>
      </c>
      <c r="BF1861" s="1" t="str">
        <f t="shared" si="1206"/>
        <v>Bonis SpA</v>
      </c>
    </row>
    <row r="1862" spans="2:58" x14ac:dyDescent="0.25">
      <c r="B1862" s="1">
        <v>2527</v>
      </c>
      <c r="C1862" s="1" t="str">
        <f t="shared" si="1188"/>
        <v>GALAN4182S7/CY1</v>
      </c>
      <c r="E1862" s="1" t="str">
        <f>"42"</f>
        <v>42</v>
      </c>
      <c r="F1862" s="1" t="str">
        <f t="shared" si="1195"/>
        <v>BONIS SPA</v>
      </c>
      <c r="G1862" s="1" t="str">
        <f t="shared" si="1183"/>
        <v>STOCK SCAFFALE MP</v>
      </c>
      <c r="H1862" s="1" t="str">
        <f>"BLK"</f>
        <v>BLK</v>
      </c>
      <c r="K1862" s="1">
        <v>11</v>
      </c>
      <c r="L1862" s="1" t="str">
        <f t="shared" si="1196"/>
        <v>01</v>
      </c>
      <c r="M1862" s="1" t="str">
        <f t="shared" si="1186"/>
        <v>409</v>
      </c>
      <c r="N1862" s="1" t="str">
        <f t="shared" ref="N1862:N1874" si="1207">"003"</f>
        <v>003</v>
      </c>
      <c r="O1862" s="1" t="str">
        <f t="shared" si="1197"/>
        <v>00</v>
      </c>
      <c r="P1862" s="1" t="str">
        <f t="shared" si="1198"/>
        <v>S</v>
      </c>
      <c r="Q1862" s="1" t="str">
        <f t="shared" si="1199"/>
        <v>P</v>
      </c>
      <c r="R1862" s="1" t="str">
        <f t="shared" si="1200"/>
        <v>01</v>
      </c>
      <c r="S1862" s="1" t="str">
        <f t="shared" si="1184"/>
        <v>04</v>
      </c>
      <c r="T1862" s="1" t="str">
        <f t="shared" si="1201"/>
        <v>False</v>
      </c>
      <c r="U1862" s="1" t="str">
        <f t="shared" si="1202"/>
        <v>True</v>
      </c>
      <c r="V1862" s="1" t="str">
        <f>"U0032601"</f>
        <v>U0032601</v>
      </c>
      <c r="W1862" s="1">
        <v>1</v>
      </c>
      <c r="Y1862" s="1">
        <v>0</v>
      </c>
      <c r="Z1862" s="1">
        <v>0</v>
      </c>
      <c r="AB1862" s="1" t="str">
        <f t="shared" si="1187"/>
        <v>SMU</v>
      </c>
      <c r="AI1862" s="1" t="str">
        <f>"P11"</f>
        <v>P11</v>
      </c>
      <c r="AJ1862" s="1" t="str">
        <f t="shared" si="1191"/>
        <v>MAN</v>
      </c>
      <c r="AK1862" s="1" t="str">
        <f t="shared" si="1203"/>
        <v>PA</v>
      </c>
      <c r="AP1862" s="1" t="str">
        <f t="shared" si="1204"/>
        <v>False</v>
      </c>
      <c r="AR1862" s="1" t="str">
        <f t="shared" si="1192"/>
        <v>GALAN</v>
      </c>
      <c r="AY1862" s="1" t="str">
        <f t="shared" si="1205"/>
        <v>PF</v>
      </c>
      <c r="AZ1862" s="1">
        <v>0</v>
      </c>
      <c r="BA1862" s="1">
        <v>0</v>
      </c>
      <c r="BB1862" s="1">
        <v>0</v>
      </c>
      <c r="BC1862" s="1">
        <v>0</v>
      </c>
      <c r="BD1862" s="1">
        <v>0</v>
      </c>
      <c r="BE1862" s="1" t="str">
        <f t="shared" si="1193"/>
        <v>LAN+TWILL CANVAS + SIN.LEATHER</v>
      </c>
      <c r="BF1862" s="1" t="str">
        <f t="shared" si="1206"/>
        <v>Bonis SpA</v>
      </c>
    </row>
    <row r="1863" spans="2:58" x14ac:dyDescent="0.25">
      <c r="B1863" s="1">
        <v>2527</v>
      </c>
      <c r="C1863" s="1" t="str">
        <f t="shared" si="1188"/>
        <v>GALAN4182S7/CY1</v>
      </c>
      <c r="E1863" s="1" t="str">
        <f>"43"</f>
        <v>43</v>
      </c>
      <c r="F1863" s="1" t="str">
        <f t="shared" si="1195"/>
        <v>BONIS SPA</v>
      </c>
      <c r="G1863" s="1" t="str">
        <f t="shared" si="1183"/>
        <v>STOCK SCAFFALE MP</v>
      </c>
      <c r="H1863" s="1" t="str">
        <f>"BLK"</f>
        <v>BLK</v>
      </c>
      <c r="K1863" s="1">
        <v>1</v>
      </c>
      <c r="L1863" s="1" t="str">
        <f t="shared" si="1196"/>
        <v>01</v>
      </c>
      <c r="M1863" s="1" t="str">
        <f t="shared" si="1186"/>
        <v>409</v>
      </c>
      <c r="N1863" s="1" t="str">
        <f t="shared" si="1207"/>
        <v>003</v>
      </c>
      <c r="O1863" s="1" t="str">
        <f t="shared" si="1197"/>
        <v>00</v>
      </c>
      <c r="P1863" s="1" t="str">
        <f t="shared" si="1198"/>
        <v>S</v>
      </c>
      <c r="Q1863" s="1" t="str">
        <f t="shared" si="1199"/>
        <v>P</v>
      </c>
      <c r="R1863" s="1" t="str">
        <f t="shared" si="1200"/>
        <v>01</v>
      </c>
      <c r="S1863" s="1" t="str">
        <f t="shared" si="1184"/>
        <v>04</v>
      </c>
      <c r="T1863" s="1" t="str">
        <f t="shared" si="1201"/>
        <v>False</v>
      </c>
      <c r="U1863" s="1" t="str">
        <f t="shared" si="1202"/>
        <v>True</v>
      </c>
      <c r="V1863" s="1" t="str">
        <f>"U0032601"</f>
        <v>U0032601</v>
      </c>
      <c r="W1863" s="1">
        <v>1</v>
      </c>
      <c r="Y1863" s="1">
        <v>0</v>
      </c>
      <c r="Z1863" s="1">
        <v>0</v>
      </c>
      <c r="AB1863" s="1" t="str">
        <f t="shared" si="1187"/>
        <v>SMU</v>
      </c>
      <c r="AI1863" s="1" t="str">
        <f>"P11"</f>
        <v>P11</v>
      </c>
      <c r="AJ1863" s="1" t="str">
        <f t="shared" si="1191"/>
        <v>MAN</v>
      </c>
      <c r="AK1863" s="1" t="str">
        <f t="shared" si="1203"/>
        <v>PA</v>
      </c>
      <c r="AP1863" s="1" t="str">
        <f t="shared" si="1204"/>
        <v>False</v>
      </c>
      <c r="AR1863" s="1" t="str">
        <f t="shared" si="1192"/>
        <v>GALAN</v>
      </c>
      <c r="AY1863" s="1" t="str">
        <f t="shared" si="1205"/>
        <v>PF</v>
      </c>
      <c r="AZ1863" s="1">
        <v>0</v>
      </c>
      <c r="BA1863" s="1">
        <v>0</v>
      </c>
      <c r="BB1863" s="1">
        <v>0</v>
      </c>
      <c r="BC1863" s="1">
        <v>0</v>
      </c>
      <c r="BD1863" s="1">
        <v>0</v>
      </c>
      <c r="BE1863" s="1" t="str">
        <f t="shared" si="1193"/>
        <v>LAN+TWILL CANVAS + SIN.LEATHER</v>
      </c>
      <c r="BF1863" s="1" t="str">
        <f t="shared" si="1206"/>
        <v>Bonis SpA</v>
      </c>
    </row>
    <row r="1864" spans="2:58" x14ac:dyDescent="0.25">
      <c r="B1864" s="1">
        <v>2527</v>
      </c>
      <c r="C1864" s="1" t="str">
        <f t="shared" si="1188"/>
        <v>GALAN4182S7/CY1</v>
      </c>
      <c r="E1864" s="1" t="str">
        <f>"42"</f>
        <v>42</v>
      </c>
      <c r="F1864" s="1" t="str">
        <f t="shared" si="1195"/>
        <v>BONIS SPA</v>
      </c>
      <c r="G1864" s="1" t="str">
        <f t="shared" si="1183"/>
        <v>STOCK SCAFFALE MP</v>
      </c>
      <c r="H1864" s="1" t="str">
        <f>"RED"</f>
        <v>RED</v>
      </c>
      <c r="K1864" s="1">
        <v>6</v>
      </c>
      <c r="L1864" s="1" t="str">
        <f t="shared" si="1196"/>
        <v>01</v>
      </c>
      <c r="M1864" s="1" t="str">
        <f t="shared" si="1186"/>
        <v>409</v>
      </c>
      <c r="N1864" s="1" t="str">
        <f t="shared" si="1207"/>
        <v>003</v>
      </c>
      <c r="O1864" s="1" t="str">
        <f t="shared" si="1197"/>
        <v>00</v>
      </c>
      <c r="P1864" s="1" t="str">
        <f t="shared" si="1198"/>
        <v>S</v>
      </c>
      <c r="Q1864" s="1" t="str">
        <f t="shared" si="1199"/>
        <v>P</v>
      </c>
      <c r="R1864" s="1" t="str">
        <f t="shared" si="1200"/>
        <v>01</v>
      </c>
      <c r="S1864" s="1" t="str">
        <f t="shared" si="1184"/>
        <v>04</v>
      </c>
      <c r="T1864" s="1" t="str">
        <f t="shared" si="1201"/>
        <v>False</v>
      </c>
      <c r="U1864" s="1" t="str">
        <f t="shared" si="1202"/>
        <v>True</v>
      </c>
      <c r="V1864" s="1" t="str">
        <f>"U0028131"</f>
        <v>U0028131</v>
      </c>
      <c r="W1864" s="1">
        <v>1</v>
      </c>
      <c r="Y1864" s="1">
        <v>0</v>
      </c>
      <c r="Z1864" s="1">
        <v>0</v>
      </c>
      <c r="AB1864" s="1" t="str">
        <f t="shared" si="1187"/>
        <v>SMU</v>
      </c>
      <c r="AI1864" s="1" t="str">
        <f>"F06"</f>
        <v>F06</v>
      </c>
      <c r="AJ1864" s="1" t="str">
        <f t="shared" si="1191"/>
        <v>MAN</v>
      </c>
      <c r="AK1864" s="1" t="str">
        <f t="shared" si="1203"/>
        <v>PA</v>
      </c>
      <c r="AP1864" s="1" t="str">
        <f t="shared" si="1204"/>
        <v>False</v>
      </c>
      <c r="AR1864" s="1" t="str">
        <f t="shared" si="1192"/>
        <v>GALAN</v>
      </c>
      <c r="AY1864" s="1" t="str">
        <f t="shared" si="1205"/>
        <v>PF</v>
      </c>
      <c r="AZ1864" s="1">
        <v>0</v>
      </c>
      <c r="BA1864" s="1">
        <v>0</v>
      </c>
      <c r="BB1864" s="1">
        <v>0</v>
      </c>
      <c r="BC1864" s="1">
        <v>0</v>
      </c>
      <c r="BD1864" s="1">
        <v>0</v>
      </c>
      <c r="BE1864" s="1" t="str">
        <f t="shared" si="1193"/>
        <v>LAN+TWILL CANVAS + SIN.LEATHER</v>
      </c>
      <c r="BF1864" s="1" t="str">
        <f t="shared" si="1206"/>
        <v>Bonis SpA</v>
      </c>
    </row>
    <row r="1865" spans="2:58" x14ac:dyDescent="0.25">
      <c r="B1865" s="1">
        <v>2527</v>
      </c>
      <c r="C1865" s="1" t="str">
        <f t="shared" si="1188"/>
        <v>GALAN4182S7/CY1</v>
      </c>
      <c r="E1865" s="1" t="str">
        <f>"43"</f>
        <v>43</v>
      </c>
      <c r="F1865" s="1" t="str">
        <f t="shared" si="1195"/>
        <v>BONIS SPA</v>
      </c>
      <c r="G1865" s="1" t="str">
        <f t="shared" si="1183"/>
        <v>STOCK SCAFFALE MP</v>
      </c>
      <c r="H1865" s="1" t="str">
        <f>"RED"</f>
        <v>RED</v>
      </c>
      <c r="K1865" s="1">
        <v>5</v>
      </c>
      <c r="L1865" s="1" t="str">
        <f t="shared" si="1196"/>
        <v>01</v>
      </c>
      <c r="M1865" s="1" t="str">
        <f t="shared" si="1186"/>
        <v>409</v>
      </c>
      <c r="N1865" s="1" t="str">
        <f t="shared" si="1207"/>
        <v>003</v>
      </c>
      <c r="O1865" s="1" t="str">
        <f t="shared" si="1197"/>
        <v>00</v>
      </c>
      <c r="P1865" s="1" t="str">
        <f t="shared" si="1198"/>
        <v>S</v>
      </c>
      <c r="Q1865" s="1" t="str">
        <f t="shared" si="1199"/>
        <v>P</v>
      </c>
      <c r="R1865" s="1" t="str">
        <f t="shared" si="1200"/>
        <v>01</v>
      </c>
      <c r="S1865" s="1" t="str">
        <f t="shared" si="1184"/>
        <v>04</v>
      </c>
      <c r="T1865" s="1" t="str">
        <f t="shared" si="1201"/>
        <v>False</v>
      </c>
      <c r="U1865" s="1" t="str">
        <f t="shared" si="1202"/>
        <v>True</v>
      </c>
      <c r="V1865" s="1" t="str">
        <f>"U0023581"</f>
        <v>U0023581</v>
      </c>
      <c r="W1865" s="1">
        <v>1</v>
      </c>
      <c r="Y1865" s="1">
        <v>0</v>
      </c>
      <c r="Z1865" s="1">
        <v>0</v>
      </c>
      <c r="AB1865" s="1" t="str">
        <f t="shared" si="1187"/>
        <v>SMU</v>
      </c>
      <c r="AI1865" s="1" t="str">
        <f>"106"</f>
        <v>106</v>
      </c>
      <c r="AJ1865" s="1" t="str">
        <f t="shared" si="1191"/>
        <v>MAN</v>
      </c>
      <c r="AK1865" s="1" t="str">
        <f t="shared" si="1203"/>
        <v>PA</v>
      </c>
      <c r="AP1865" s="1" t="str">
        <f t="shared" si="1204"/>
        <v>False</v>
      </c>
      <c r="AR1865" s="1" t="str">
        <f t="shared" si="1192"/>
        <v>GALAN</v>
      </c>
      <c r="AY1865" s="1" t="str">
        <f t="shared" si="1205"/>
        <v>PF</v>
      </c>
      <c r="AZ1865" s="1">
        <v>0</v>
      </c>
      <c r="BA1865" s="1">
        <v>0</v>
      </c>
      <c r="BB1865" s="1">
        <v>0</v>
      </c>
      <c r="BC1865" s="1">
        <v>0</v>
      </c>
      <c r="BD1865" s="1">
        <v>0</v>
      </c>
      <c r="BE1865" s="1" t="str">
        <f t="shared" si="1193"/>
        <v>LAN+TWILL CANVAS + SIN.LEATHER</v>
      </c>
      <c r="BF1865" s="1" t="str">
        <f t="shared" si="1206"/>
        <v>Bonis SpA</v>
      </c>
    </row>
    <row r="1866" spans="2:58" x14ac:dyDescent="0.25">
      <c r="B1866" s="1">
        <v>2527</v>
      </c>
      <c r="C1866" s="1" t="str">
        <f t="shared" si="1188"/>
        <v>GALAN4182S7/CY1</v>
      </c>
      <c r="E1866" s="1" t="str">
        <f>"43"</f>
        <v>43</v>
      </c>
      <c r="F1866" s="1" t="str">
        <f t="shared" si="1195"/>
        <v>BONIS SPA</v>
      </c>
      <c r="G1866" s="1" t="str">
        <f t="shared" si="1183"/>
        <v>STOCK SCAFFALE MP</v>
      </c>
      <c r="H1866" s="1" t="str">
        <f>"RED"</f>
        <v>RED</v>
      </c>
      <c r="K1866" s="1">
        <v>5</v>
      </c>
      <c r="L1866" s="1" t="str">
        <f t="shared" si="1196"/>
        <v>01</v>
      </c>
      <c r="M1866" s="1" t="str">
        <f t="shared" si="1186"/>
        <v>409</v>
      </c>
      <c r="N1866" s="1" t="str">
        <f t="shared" si="1207"/>
        <v>003</v>
      </c>
      <c r="O1866" s="1" t="str">
        <f t="shared" si="1197"/>
        <v>00</v>
      </c>
      <c r="P1866" s="1" t="str">
        <f t="shared" si="1198"/>
        <v>S</v>
      </c>
      <c r="Q1866" s="1" t="str">
        <f t="shared" si="1199"/>
        <v>P</v>
      </c>
      <c r="R1866" s="1" t="str">
        <f t="shared" si="1200"/>
        <v>01</v>
      </c>
      <c r="S1866" s="1" t="str">
        <f t="shared" si="1184"/>
        <v>04</v>
      </c>
      <c r="T1866" s="1" t="str">
        <f t="shared" si="1201"/>
        <v>False</v>
      </c>
      <c r="U1866" s="1" t="str">
        <f t="shared" si="1202"/>
        <v>True</v>
      </c>
      <c r="V1866" s="1" t="str">
        <f>"U0028131"</f>
        <v>U0028131</v>
      </c>
      <c r="W1866" s="1">
        <v>1</v>
      </c>
      <c r="Y1866" s="1">
        <v>0</v>
      </c>
      <c r="Z1866" s="1">
        <v>0</v>
      </c>
      <c r="AB1866" s="1" t="str">
        <f t="shared" si="1187"/>
        <v>SMU</v>
      </c>
      <c r="AI1866" s="1" t="str">
        <f>"106"</f>
        <v>106</v>
      </c>
      <c r="AJ1866" s="1" t="str">
        <f t="shared" si="1191"/>
        <v>MAN</v>
      </c>
      <c r="AK1866" s="1" t="str">
        <f t="shared" si="1203"/>
        <v>PA</v>
      </c>
      <c r="AP1866" s="1" t="str">
        <f t="shared" si="1204"/>
        <v>False</v>
      </c>
      <c r="AR1866" s="1" t="str">
        <f t="shared" si="1192"/>
        <v>GALAN</v>
      </c>
      <c r="AY1866" s="1" t="str">
        <f t="shared" si="1205"/>
        <v>PF</v>
      </c>
      <c r="AZ1866" s="1">
        <v>0</v>
      </c>
      <c r="BA1866" s="1">
        <v>0</v>
      </c>
      <c r="BB1866" s="1">
        <v>0</v>
      </c>
      <c r="BC1866" s="1">
        <v>0</v>
      </c>
      <c r="BD1866" s="1">
        <v>0</v>
      </c>
      <c r="BE1866" s="1" t="str">
        <f t="shared" si="1193"/>
        <v>LAN+TWILL CANVAS + SIN.LEATHER</v>
      </c>
      <c r="BF1866" s="1" t="str">
        <f t="shared" si="1206"/>
        <v>Bonis SpA</v>
      </c>
    </row>
    <row r="1867" spans="2:58" x14ac:dyDescent="0.25">
      <c r="B1867" s="1">
        <v>2527</v>
      </c>
      <c r="C1867" s="1" t="str">
        <f t="shared" si="1188"/>
        <v>GALAN4182S7/CY1</v>
      </c>
      <c r="E1867" s="1" t="str">
        <f>"41"</f>
        <v>41</v>
      </c>
      <c r="F1867" s="1" t="str">
        <f t="shared" si="1195"/>
        <v>BONIS SPA</v>
      </c>
      <c r="G1867" s="1" t="str">
        <f t="shared" si="1183"/>
        <v>STOCK SCAFFALE MP</v>
      </c>
      <c r="H1867" s="1" t="str">
        <f>"RED"</f>
        <v>RED</v>
      </c>
      <c r="K1867" s="1">
        <v>10</v>
      </c>
      <c r="L1867" s="1" t="str">
        <f t="shared" si="1196"/>
        <v>01</v>
      </c>
      <c r="M1867" s="1" t="str">
        <f t="shared" si="1186"/>
        <v>409</v>
      </c>
      <c r="N1867" s="1" t="str">
        <f t="shared" si="1207"/>
        <v>003</v>
      </c>
      <c r="O1867" s="1" t="str">
        <f t="shared" si="1197"/>
        <v>00</v>
      </c>
      <c r="P1867" s="1" t="str">
        <f t="shared" si="1198"/>
        <v>S</v>
      </c>
      <c r="Q1867" s="1" t="str">
        <f t="shared" si="1199"/>
        <v>P</v>
      </c>
      <c r="R1867" s="1" t="str">
        <f t="shared" si="1200"/>
        <v>01</v>
      </c>
      <c r="S1867" s="1" t="str">
        <f t="shared" si="1184"/>
        <v>04</v>
      </c>
      <c r="T1867" s="1" t="str">
        <f t="shared" si="1201"/>
        <v>False</v>
      </c>
      <c r="U1867" s="1" t="str">
        <f t="shared" si="1202"/>
        <v>True</v>
      </c>
      <c r="V1867" s="1" t="str">
        <f>"U0023632"</f>
        <v>U0023632</v>
      </c>
      <c r="W1867" s="1">
        <v>1</v>
      </c>
      <c r="Y1867" s="1">
        <v>0</v>
      </c>
      <c r="Z1867" s="1">
        <v>0</v>
      </c>
      <c r="AB1867" s="1" t="str">
        <f t="shared" si="1187"/>
        <v>SMU</v>
      </c>
      <c r="AI1867" s="1" t="str">
        <f>"P11"</f>
        <v>P11</v>
      </c>
      <c r="AJ1867" s="1" t="str">
        <f t="shared" si="1191"/>
        <v>MAN</v>
      </c>
      <c r="AK1867" s="1" t="str">
        <f t="shared" si="1203"/>
        <v>PA</v>
      </c>
      <c r="AP1867" s="1" t="str">
        <f t="shared" si="1204"/>
        <v>False</v>
      </c>
      <c r="AR1867" s="1" t="str">
        <f t="shared" si="1192"/>
        <v>GALAN</v>
      </c>
      <c r="AY1867" s="1" t="str">
        <f t="shared" si="1205"/>
        <v>PF</v>
      </c>
      <c r="AZ1867" s="1">
        <v>0</v>
      </c>
      <c r="BA1867" s="1">
        <v>0</v>
      </c>
      <c r="BB1867" s="1">
        <v>0</v>
      </c>
      <c r="BC1867" s="1">
        <v>0</v>
      </c>
      <c r="BD1867" s="1">
        <v>0</v>
      </c>
      <c r="BE1867" s="1" t="str">
        <f t="shared" si="1193"/>
        <v>LAN+TWILL CANVAS + SIN.LEATHER</v>
      </c>
      <c r="BF1867" s="1" t="str">
        <f t="shared" si="1206"/>
        <v>Bonis SpA</v>
      </c>
    </row>
    <row r="1868" spans="2:58" x14ac:dyDescent="0.25">
      <c r="B1868" s="1">
        <v>2527</v>
      </c>
      <c r="C1868" s="1" t="str">
        <f t="shared" si="1188"/>
        <v>GALAN4182S7/CY1</v>
      </c>
      <c r="E1868" s="1" t="str">
        <f>"43"</f>
        <v>43</v>
      </c>
      <c r="F1868" s="1" t="str">
        <f t="shared" si="1195"/>
        <v>BONIS SPA</v>
      </c>
      <c r="G1868" s="1" t="str">
        <f t="shared" si="1183"/>
        <v>STOCK SCAFFALE MP</v>
      </c>
      <c r="H1868" s="1" t="str">
        <f>"BEI"</f>
        <v>BEI</v>
      </c>
      <c r="K1868" s="1">
        <v>9</v>
      </c>
      <c r="L1868" s="1" t="str">
        <f t="shared" si="1196"/>
        <v>01</v>
      </c>
      <c r="M1868" s="1" t="str">
        <f t="shared" si="1186"/>
        <v>409</v>
      </c>
      <c r="N1868" s="1" t="str">
        <f t="shared" si="1207"/>
        <v>003</v>
      </c>
      <c r="O1868" s="1" t="str">
        <f t="shared" si="1197"/>
        <v>00</v>
      </c>
      <c r="P1868" s="1" t="str">
        <f t="shared" si="1198"/>
        <v>S</v>
      </c>
      <c r="Q1868" s="1" t="str">
        <f t="shared" si="1199"/>
        <v>P</v>
      </c>
      <c r="R1868" s="1" t="str">
        <f t="shared" si="1200"/>
        <v>01</v>
      </c>
      <c r="S1868" s="1" t="str">
        <f t="shared" si="1184"/>
        <v>04</v>
      </c>
      <c r="T1868" s="1" t="str">
        <f t="shared" si="1201"/>
        <v>False</v>
      </c>
      <c r="U1868" s="1" t="str">
        <f t="shared" si="1202"/>
        <v>True</v>
      </c>
      <c r="V1868" s="1" t="str">
        <f>"U0028142"</f>
        <v>U0028142</v>
      </c>
      <c r="W1868" s="1">
        <v>1</v>
      </c>
      <c r="Y1868" s="1">
        <v>0</v>
      </c>
      <c r="Z1868" s="1">
        <v>0</v>
      </c>
      <c r="AB1868" s="1" t="str">
        <f t="shared" si="1187"/>
        <v>SMU</v>
      </c>
      <c r="AI1868" s="1" t="str">
        <f>"106"</f>
        <v>106</v>
      </c>
      <c r="AJ1868" s="1" t="str">
        <f t="shared" si="1191"/>
        <v>MAN</v>
      </c>
      <c r="AK1868" s="1" t="str">
        <f t="shared" si="1203"/>
        <v>PA</v>
      </c>
      <c r="AP1868" s="1" t="str">
        <f t="shared" si="1204"/>
        <v>False</v>
      </c>
      <c r="AR1868" s="1" t="str">
        <f t="shared" si="1192"/>
        <v>GALAN</v>
      </c>
      <c r="AY1868" s="1" t="str">
        <f t="shared" si="1205"/>
        <v>PF</v>
      </c>
      <c r="AZ1868" s="1">
        <v>0</v>
      </c>
      <c r="BA1868" s="1">
        <v>0</v>
      </c>
      <c r="BB1868" s="1">
        <v>0</v>
      </c>
      <c r="BC1868" s="1">
        <v>0</v>
      </c>
      <c r="BD1868" s="1">
        <v>0</v>
      </c>
      <c r="BE1868" s="1" t="str">
        <f t="shared" si="1193"/>
        <v>LAN+TWILL CANVAS + SIN.LEATHER</v>
      </c>
      <c r="BF1868" s="1" t="str">
        <f t="shared" si="1206"/>
        <v>Bonis SpA</v>
      </c>
    </row>
    <row r="1869" spans="2:58" x14ac:dyDescent="0.25">
      <c r="B1869" s="1">
        <v>2527</v>
      </c>
      <c r="C1869" s="1" t="str">
        <f t="shared" si="1188"/>
        <v>GALAN4182S7/CY1</v>
      </c>
      <c r="E1869" s="1" t="str">
        <f>"43"</f>
        <v>43</v>
      </c>
      <c r="F1869" s="1" t="str">
        <f t="shared" si="1195"/>
        <v>BONIS SPA</v>
      </c>
      <c r="G1869" s="1" t="str">
        <f t="shared" si="1183"/>
        <v>STOCK SCAFFALE MP</v>
      </c>
      <c r="H1869" s="1" t="str">
        <f>"BEI"</f>
        <v>BEI</v>
      </c>
      <c r="K1869" s="1">
        <v>1</v>
      </c>
      <c r="L1869" s="1" t="str">
        <f t="shared" si="1196"/>
        <v>01</v>
      </c>
      <c r="M1869" s="1" t="str">
        <f t="shared" si="1186"/>
        <v>409</v>
      </c>
      <c r="N1869" s="1" t="str">
        <f t="shared" si="1207"/>
        <v>003</v>
      </c>
      <c r="O1869" s="1" t="str">
        <f t="shared" si="1197"/>
        <v>00</v>
      </c>
      <c r="P1869" s="1" t="str">
        <f t="shared" si="1198"/>
        <v>S</v>
      </c>
      <c r="Q1869" s="1" t="str">
        <f t="shared" si="1199"/>
        <v>P</v>
      </c>
      <c r="R1869" s="1" t="str">
        <f t="shared" si="1200"/>
        <v>01</v>
      </c>
      <c r="S1869" s="1" t="str">
        <f t="shared" si="1184"/>
        <v>04</v>
      </c>
      <c r="T1869" s="1" t="str">
        <f t="shared" si="1201"/>
        <v>False</v>
      </c>
      <c r="U1869" s="1" t="str">
        <f t="shared" si="1202"/>
        <v>True</v>
      </c>
      <c r="V1869" s="1" t="str">
        <f>"U0023581"</f>
        <v>U0023581</v>
      </c>
      <c r="W1869" s="1">
        <v>1</v>
      </c>
      <c r="Y1869" s="1">
        <v>0</v>
      </c>
      <c r="Z1869" s="1">
        <v>0</v>
      </c>
      <c r="AB1869" s="1" t="str">
        <f t="shared" si="1187"/>
        <v>SMU</v>
      </c>
      <c r="AI1869" s="1" t="str">
        <f>"106"</f>
        <v>106</v>
      </c>
      <c r="AJ1869" s="1" t="str">
        <f t="shared" si="1191"/>
        <v>MAN</v>
      </c>
      <c r="AK1869" s="1" t="str">
        <f t="shared" si="1203"/>
        <v>PA</v>
      </c>
      <c r="AP1869" s="1" t="str">
        <f t="shared" si="1204"/>
        <v>False</v>
      </c>
      <c r="AR1869" s="1" t="str">
        <f t="shared" si="1192"/>
        <v>GALAN</v>
      </c>
      <c r="AY1869" s="1" t="str">
        <f t="shared" si="1205"/>
        <v>PF</v>
      </c>
      <c r="AZ1869" s="1">
        <v>0</v>
      </c>
      <c r="BA1869" s="1">
        <v>0</v>
      </c>
      <c r="BB1869" s="1">
        <v>0</v>
      </c>
      <c r="BC1869" s="1">
        <v>0</v>
      </c>
      <c r="BD1869" s="1">
        <v>0</v>
      </c>
      <c r="BE1869" s="1" t="str">
        <f t="shared" si="1193"/>
        <v>LAN+TWILL CANVAS + SIN.LEATHER</v>
      </c>
      <c r="BF1869" s="1" t="str">
        <f t="shared" si="1206"/>
        <v>Bonis SpA</v>
      </c>
    </row>
    <row r="1870" spans="2:58" x14ac:dyDescent="0.25">
      <c r="B1870" s="1">
        <v>2527</v>
      </c>
      <c r="C1870" s="1" t="str">
        <f t="shared" si="1188"/>
        <v>GALAN4182S7/CY1</v>
      </c>
      <c r="E1870" s="1" t="str">
        <f>"44"</f>
        <v>44</v>
      </c>
      <c r="F1870" s="1" t="str">
        <f t="shared" si="1195"/>
        <v>BONIS SPA</v>
      </c>
      <c r="G1870" s="1" t="str">
        <f t="shared" si="1183"/>
        <v>STOCK SCAFFALE MP</v>
      </c>
      <c r="H1870" s="1" t="str">
        <f>"DKBL"</f>
        <v>DKBL</v>
      </c>
      <c r="K1870" s="1">
        <v>1</v>
      </c>
      <c r="L1870" s="1" t="str">
        <f t="shared" si="1196"/>
        <v>01</v>
      </c>
      <c r="M1870" s="1" t="str">
        <f t="shared" si="1186"/>
        <v>409</v>
      </c>
      <c r="N1870" s="1" t="str">
        <f t="shared" si="1207"/>
        <v>003</v>
      </c>
      <c r="O1870" s="1" t="str">
        <f t="shared" si="1197"/>
        <v>00</v>
      </c>
      <c r="P1870" s="1" t="str">
        <f t="shared" si="1198"/>
        <v>S</v>
      </c>
      <c r="Q1870" s="1" t="str">
        <f t="shared" si="1199"/>
        <v>P</v>
      </c>
      <c r="R1870" s="1" t="str">
        <f t="shared" si="1200"/>
        <v>01</v>
      </c>
      <c r="S1870" s="1" t="str">
        <f t="shared" si="1184"/>
        <v>04</v>
      </c>
      <c r="T1870" s="1" t="str">
        <f t="shared" si="1201"/>
        <v>False</v>
      </c>
      <c r="U1870" s="1" t="str">
        <f t="shared" si="1202"/>
        <v>True</v>
      </c>
      <c r="V1870" s="1" t="str">
        <f>"U0023581"</f>
        <v>U0023581</v>
      </c>
      <c r="W1870" s="1">
        <v>1</v>
      </c>
      <c r="Y1870" s="1">
        <v>0</v>
      </c>
      <c r="Z1870" s="1">
        <v>0</v>
      </c>
      <c r="AB1870" s="1" t="str">
        <f t="shared" si="1187"/>
        <v>SMU</v>
      </c>
      <c r="AI1870" s="1" t="str">
        <f>"106"</f>
        <v>106</v>
      </c>
      <c r="AJ1870" s="1" t="str">
        <f t="shared" si="1191"/>
        <v>MAN</v>
      </c>
      <c r="AK1870" s="1" t="str">
        <f t="shared" si="1203"/>
        <v>PA</v>
      </c>
      <c r="AP1870" s="1" t="str">
        <f t="shared" si="1204"/>
        <v>False</v>
      </c>
      <c r="AR1870" s="1" t="str">
        <f t="shared" si="1192"/>
        <v>GALAN</v>
      </c>
      <c r="AY1870" s="1" t="str">
        <f t="shared" si="1205"/>
        <v>PF</v>
      </c>
      <c r="AZ1870" s="1">
        <v>0</v>
      </c>
      <c r="BA1870" s="1">
        <v>0</v>
      </c>
      <c r="BB1870" s="1">
        <v>0</v>
      </c>
      <c r="BC1870" s="1">
        <v>0</v>
      </c>
      <c r="BD1870" s="1">
        <v>0</v>
      </c>
      <c r="BE1870" s="1" t="str">
        <f t="shared" si="1193"/>
        <v>LAN+TWILL CANVAS + SIN.LEATHER</v>
      </c>
      <c r="BF1870" s="1" t="str">
        <f t="shared" si="1206"/>
        <v>Bonis SpA</v>
      </c>
    </row>
    <row r="1871" spans="2:58" x14ac:dyDescent="0.25">
      <c r="B1871" s="1">
        <v>2527</v>
      </c>
      <c r="C1871" s="1" t="str">
        <f t="shared" si="1188"/>
        <v>GALAN4182S7/CY1</v>
      </c>
      <c r="E1871" s="1" t="str">
        <f>"45"</f>
        <v>45</v>
      </c>
      <c r="F1871" s="1" t="str">
        <f t="shared" si="1195"/>
        <v>BONIS SPA</v>
      </c>
      <c r="G1871" s="1" t="str">
        <f t="shared" si="1183"/>
        <v>STOCK SCAFFALE MP</v>
      </c>
      <c r="H1871" s="1" t="str">
        <f>"BEI"</f>
        <v>BEI</v>
      </c>
      <c r="K1871" s="1">
        <v>2</v>
      </c>
      <c r="L1871" s="1" t="str">
        <f t="shared" si="1196"/>
        <v>01</v>
      </c>
      <c r="M1871" s="1" t="str">
        <f t="shared" si="1186"/>
        <v>409</v>
      </c>
      <c r="N1871" s="1" t="str">
        <f t="shared" si="1207"/>
        <v>003</v>
      </c>
      <c r="O1871" s="1" t="str">
        <f t="shared" si="1197"/>
        <v>00</v>
      </c>
      <c r="P1871" s="1" t="str">
        <f t="shared" si="1198"/>
        <v>S</v>
      </c>
      <c r="Q1871" s="1" t="str">
        <f t="shared" si="1199"/>
        <v>P</v>
      </c>
      <c r="R1871" s="1" t="str">
        <f t="shared" si="1200"/>
        <v>01</v>
      </c>
      <c r="S1871" s="1" t="str">
        <f t="shared" si="1184"/>
        <v>04</v>
      </c>
      <c r="T1871" s="1" t="str">
        <f t="shared" si="1201"/>
        <v>False</v>
      </c>
      <c r="U1871" s="1" t="str">
        <f t="shared" si="1202"/>
        <v>True</v>
      </c>
      <c r="V1871" s="1" t="str">
        <f>"U0023581"</f>
        <v>U0023581</v>
      </c>
      <c r="W1871" s="1">
        <v>1</v>
      </c>
      <c r="Y1871" s="1">
        <v>0</v>
      </c>
      <c r="Z1871" s="1">
        <v>0</v>
      </c>
      <c r="AB1871" s="1" t="str">
        <f t="shared" si="1187"/>
        <v>SMU</v>
      </c>
      <c r="AI1871" s="1" t="str">
        <f>"106"</f>
        <v>106</v>
      </c>
      <c r="AJ1871" s="1" t="str">
        <f t="shared" si="1191"/>
        <v>MAN</v>
      </c>
      <c r="AK1871" s="1" t="str">
        <f t="shared" si="1203"/>
        <v>PA</v>
      </c>
      <c r="AP1871" s="1" t="str">
        <f t="shared" si="1204"/>
        <v>False</v>
      </c>
      <c r="AR1871" s="1" t="str">
        <f t="shared" si="1192"/>
        <v>GALAN</v>
      </c>
      <c r="AY1871" s="1" t="str">
        <f t="shared" si="1205"/>
        <v>PF</v>
      </c>
      <c r="AZ1871" s="1">
        <v>0</v>
      </c>
      <c r="BA1871" s="1">
        <v>0</v>
      </c>
      <c r="BB1871" s="1">
        <v>0</v>
      </c>
      <c r="BC1871" s="1">
        <v>0</v>
      </c>
      <c r="BD1871" s="1">
        <v>0</v>
      </c>
      <c r="BE1871" s="1" t="str">
        <f t="shared" si="1193"/>
        <v>LAN+TWILL CANVAS + SIN.LEATHER</v>
      </c>
      <c r="BF1871" s="1" t="str">
        <f t="shared" si="1206"/>
        <v>Bonis SpA</v>
      </c>
    </row>
    <row r="1872" spans="2:58" x14ac:dyDescent="0.25">
      <c r="B1872" s="1">
        <v>2527</v>
      </c>
      <c r="C1872" s="1" t="str">
        <f t="shared" si="1188"/>
        <v>GALAN4182S7/CY1</v>
      </c>
      <c r="E1872" s="1" t="str">
        <f>"40"</f>
        <v>40</v>
      </c>
      <c r="F1872" s="1" t="str">
        <f t="shared" si="1195"/>
        <v>BONIS SPA</v>
      </c>
      <c r="G1872" s="1" t="str">
        <f t="shared" si="1183"/>
        <v>STOCK SCAFFALE MP</v>
      </c>
      <c r="H1872" s="1" t="str">
        <f>"BEI"</f>
        <v>BEI</v>
      </c>
      <c r="K1872" s="1">
        <v>3</v>
      </c>
      <c r="L1872" s="1" t="str">
        <f t="shared" si="1196"/>
        <v>01</v>
      </c>
      <c r="M1872" s="1" t="str">
        <f t="shared" si="1186"/>
        <v>409</v>
      </c>
      <c r="N1872" s="1" t="str">
        <f t="shared" si="1207"/>
        <v>003</v>
      </c>
      <c r="O1872" s="1" t="str">
        <f t="shared" si="1197"/>
        <v>00</v>
      </c>
      <c r="P1872" s="1" t="str">
        <f t="shared" si="1198"/>
        <v>S</v>
      </c>
      <c r="Q1872" s="1" t="str">
        <f t="shared" si="1199"/>
        <v>P</v>
      </c>
      <c r="R1872" s="1" t="str">
        <f t="shared" si="1200"/>
        <v>01</v>
      </c>
      <c r="S1872" s="1" t="str">
        <f t="shared" si="1184"/>
        <v>04</v>
      </c>
      <c r="T1872" s="1" t="str">
        <f t="shared" si="1201"/>
        <v>False</v>
      </c>
      <c r="U1872" s="1" t="str">
        <f t="shared" si="1202"/>
        <v>True</v>
      </c>
      <c r="V1872" s="1" t="str">
        <f>"U0023581"</f>
        <v>U0023581</v>
      </c>
      <c r="W1872" s="1">
        <v>1</v>
      </c>
      <c r="Y1872" s="1">
        <v>0</v>
      </c>
      <c r="Z1872" s="1">
        <v>0</v>
      </c>
      <c r="AB1872" s="1" t="str">
        <f t="shared" si="1187"/>
        <v>SMU</v>
      </c>
      <c r="AI1872" s="1" t="str">
        <f>"106"</f>
        <v>106</v>
      </c>
      <c r="AJ1872" s="1" t="str">
        <f t="shared" si="1191"/>
        <v>MAN</v>
      </c>
      <c r="AK1872" s="1" t="str">
        <f t="shared" si="1203"/>
        <v>PA</v>
      </c>
      <c r="AP1872" s="1" t="str">
        <f t="shared" si="1204"/>
        <v>False</v>
      </c>
      <c r="AR1872" s="1" t="str">
        <f t="shared" si="1192"/>
        <v>GALAN</v>
      </c>
      <c r="AY1872" s="1" t="str">
        <f t="shared" si="1205"/>
        <v>PF</v>
      </c>
      <c r="AZ1872" s="1">
        <v>0</v>
      </c>
      <c r="BA1872" s="1">
        <v>0</v>
      </c>
      <c r="BB1872" s="1">
        <v>0</v>
      </c>
      <c r="BC1872" s="1">
        <v>0</v>
      </c>
      <c r="BD1872" s="1">
        <v>0</v>
      </c>
      <c r="BE1872" s="1" t="str">
        <f t="shared" si="1193"/>
        <v>LAN+TWILL CANVAS + SIN.LEATHER</v>
      </c>
      <c r="BF1872" s="1" t="str">
        <f t="shared" si="1206"/>
        <v>Bonis SpA</v>
      </c>
    </row>
    <row r="1873" spans="2:58" x14ac:dyDescent="0.25">
      <c r="B1873" s="1">
        <v>2527</v>
      </c>
      <c r="C1873" s="1" t="str">
        <f t="shared" si="1188"/>
        <v>GALAN4182S7/CY1</v>
      </c>
      <c r="E1873" s="1" t="str">
        <f>"41"</f>
        <v>41</v>
      </c>
      <c r="F1873" s="1" t="str">
        <f t="shared" si="1195"/>
        <v>BONIS SPA</v>
      </c>
      <c r="G1873" s="1" t="str">
        <f t="shared" si="1183"/>
        <v>STOCK SCAFFALE MP</v>
      </c>
      <c r="H1873" s="1" t="str">
        <f>"BEI"</f>
        <v>BEI</v>
      </c>
      <c r="K1873" s="1">
        <v>5</v>
      </c>
      <c r="L1873" s="1" t="str">
        <f t="shared" si="1196"/>
        <v>01</v>
      </c>
      <c r="M1873" s="1" t="str">
        <f t="shared" si="1186"/>
        <v>409</v>
      </c>
      <c r="N1873" s="1" t="str">
        <f t="shared" si="1207"/>
        <v>003</v>
      </c>
      <c r="O1873" s="1" t="str">
        <f t="shared" si="1197"/>
        <v>00</v>
      </c>
      <c r="P1873" s="1" t="str">
        <f t="shared" si="1198"/>
        <v>S</v>
      </c>
      <c r="Q1873" s="1" t="str">
        <f t="shared" si="1199"/>
        <v>P</v>
      </c>
      <c r="R1873" s="1" t="str">
        <f t="shared" si="1200"/>
        <v>01</v>
      </c>
      <c r="S1873" s="1" t="str">
        <f t="shared" si="1184"/>
        <v>04</v>
      </c>
      <c r="T1873" s="1" t="str">
        <f t="shared" si="1201"/>
        <v>False</v>
      </c>
      <c r="U1873" s="1" t="str">
        <f t="shared" si="1202"/>
        <v>True</v>
      </c>
      <c r="V1873" s="1" t="str">
        <f>"U0032599"</f>
        <v>U0032599</v>
      </c>
      <c r="W1873" s="1">
        <v>1</v>
      </c>
      <c r="Y1873" s="1">
        <v>0</v>
      </c>
      <c r="Z1873" s="1">
        <v>0</v>
      </c>
      <c r="AB1873" s="1" t="str">
        <f t="shared" si="1187"/>
        <v>SMU</v>
      </c>
      <c r="AI1873" s="1" t="str">
        <f>"P11"</f>
        <v>P11</v>
      </c>
      <c r="AJ1873" s="1" t="str">
        <f t="shared" si="1191"/>
        <v>MAN</v>
      </c>
      <c r="AK1873" s="1" t="str">
        <f t="shared" si="1203"/>
        <v>PA</v>
      </c>
      <c r="AP1873" s="1" t="str">
        <f t="shared" si="1204"/>
        <v>False</v>
      </c>
      <c r="AR1873" s="1" t="str">
        <f t="shared" si="1192"/>
        <v>GALAN</v>
      </c>
      <c r="AY1873" s="1" t="str">
        <f t="shared" si="1205"/>
        <v>PF</v>
      </c>
      <c r="AZ1873" s="1">
        <v>0</v>
      </c>
      <c r="BA1873" s="1">
        <v>0</v>
      </c>
      <c r="BB1873" s="1">
        <v>0</v>
      </c>
      <c r="BC1873" s="1">
        <v>0</v>
      </c>
      <c r="BD1873" s="1">
        <v>0</v>
      </c>
      <c r="BE1873" s="1" t="str">
        <f t="shared" si="1193"/>
        <v>LAN+TWILL CANVAS + SIN.LEATHER</v>
      </c>
      <c r="BF1873" s="1" t="str">
        <f t="shared" si="1206"/>
        <v>Bonis SpA</v>
      </c>
    </row>
    <row r="1874" spans="2:58" x14ac:dyDescent="0.25">
      <c r="B1874" s="1">
        <v>2527</v>
      </c>
      <c r="C1874" s="1" t="str">
        <f t="shared" si="1188"/>
        <v>GALAN4182S7/CY1</v>
      </c>
      <c r="E1874" s="1" t="str">
        <f>"42"</f>
        <v>42</v>
      </c>
      <c r="F1874" s="1" t="str">
        <f t="shared" si="1195"/>
        <v>BONIS SPA</v>
      </c>
      <c r="G1874" s="1" t="str">
        <f t="shared" si="1183"/>
        <v>STOCK SCAFFALE MP</v>
      </c>
      <c r="H1874" s="1" t="str">
        <f>"BEI"</f>
        <v>BEI</v>
      </c>
      <c r="K1874" s="1">
        <v>6</v>
      </c>
      <c r="L1874" s="1" t="str">
        <f t="shared" si="1196"/>
        <v>01</v>
      </c>
      <c r="M1874" s="1" t="str">
        <f t="shared" si="1186"/>
        <v>409</v>
      </c>
      <c r="N1874" s="1" t="str">
        <f t="shared" si="1207"/>
        <v>003</v>
      </c>
      <c r="O1874" s="1" t="str">
        <f t="shared" si="1197"/>
        <v>00</v>
      </c>
      <c r="P1874" s="1" t="str">
        <f t="shared" si="1198"/>
        <v>S</v>
      </c>
      <c r="Q1874" s="1" t="str">
        <f t="shared" si="1199"/>
        <v>P</v>
      </c>
      <c r="R1874" s="1" t="str">
        <f t="shared" si="1200"/>
        <v>01</v>
      </c>
      <c r="S1874" s="1" t="str">
        <f t="shared" si="1184"/>
        <v>04</v>
      </c>
      <c r="T1874" s="1" t="str">
        <f t="shared" si="1201"/>
        <v>False</v>
      </c>
      <c r="U1874" s="1" t="str">
        <f t="shared" si="1202"/>
        <v>True</v>
      </c>
      <c r="V1874" s="1" t="str">
        <f>"U0032599"</f>
        <v>U0032599</v>
      </c>
      <c r="W1874" s="1">
        <v>1</v>
      </c>
      <c r="Y1874" s="1">
        <v>0</v>
      </c>
      <c r="Z1874" s="1">
        <v>0</v>
      </c>
      <c r="AB1874" s="1" t="str">
        <f t="shared" si="1187"/>
        <v>SMU</v>
      </c>
      <c r="AI1874" s="1" t="str">
        <f>"P11"</f>
        <v>P11</v>
      </c>
      <c r="AJ1874" s="1" t="str">
        <f t="shared" si="1191"/>
        <v>MAN</v>
      </c>
      <c r="AK1874" s="1" t="str">
        <f t="shared" si="1203"/>
        <v>PA</v>
      </c>
      <c r="AP1874" s="1" t="str">
        <f t="shared" si="1204"/>
        <v>False</v>
      </c>
      <c r="AR1874" s="1" t="str">
        <f t="shared" si="1192"/>
        <v>GALAN</v>
      </c>
      <c r="AY1874" s="1" t="str">
        <f t="shared" si="1205"/>
        <v>PF</v>
      </c>
      <c r="AZ1874" s="1">
        <v>0</v>
      </c>
      <c r="BA1874" s="1">
        <v>0</v>
      </c>
      <c r="BB1874" s="1">
        <v>0</v>
      </c>
      <c r="BC1874" s="1">
        <v>0</v>
      </c>
      <c r="BD1874" s="1">
        <v>0</v>
      </c>
      <c r="BE1874" s="1" t="str">
        <f t="shared" si="1193"/>
        <v>LAN+TWILL CANVAS + SIN.LEATHER</v>
      </c>
      <c r="BF1874" s="1" t="str">
        <f t="shared" si="1206"/>
        <v>Bonis SpA</v>
      </c>
    </row>
    <row r="1875" spans="2:58" x14ac:dyDescent="0.25">
      <c r="B1875" s="1">
        <v>2530</v>
      </c>
      <c r="C1875" s="1" t="str">
        <f>"SOLAD4188S7/C1"</f>
        <v>SOLAD4188S7/C1</v>
      </c>
      <c r="E1875" s="1" t="str">
        <f>"41"</f>
        <v>41</v>
      </c>
      <c r="F1875" s="1" t="str">
        <f t="shared" si="1195"/>
        <v>BONIS SPA</v>
      </c>
      <c r="G1875" s="1" t="str">
        <f t="shared" si="1183"/>
        <v>STOCK SCAFFALE MP</v>
      </c>
      <c r="H1875" s="1" t="str">
        <f>"RED"</f>
        <v>RED</v>
      </c>
      <c r="K1875" s="1">
        <v>1</v>
      </c>
      <c r="L1875" s="1" t="str">
        <f t="shared" si="1196"/>
        <v>01</v>
      </c>
      <c r="M1875" s="1" t="str">
        <f t="shared" si="1186"/>
        <v>409</v>
      </c>
      <c r="N1875" s="1" t="str">
        <f>"004"</f>
        <v>004</v>
      </c>
      <c r="O1875" s="1" t="str">
        <f t="shared" si="1197"/>
        <v>00</v>
      </c>
      <c r="P1875" s="1" t="str">
        <f t="shared" si="1198"/>
        <v>S</v>
      </c>
      <c r="Q1875" s="1" t="str">
        <f t="shared" si="1199"/>
        <v>P</v>
      </c>
      <c r="R1875" s="1" t="str">
        <f t="shared" si="1200"/>
        <v>01</v>
      </c>
      <c r="S1875" s="1" t="str">
        <f t="shared" si="1184"/>
        <v>04</v>
      </c>
      <c r="T1875" s="1" t="str">
        <f t="shared" si="1201"/>
        <v>False</v>
      </c>
      <c r="U1875" s="1" t="str">
        <f t="shared" si="1202"/>
        <v>True</v>
      </c>
      <c r="V1875" s="1" t="str">
        <f>"U0032598"</f>
        <v>U0032598</v>
      </c>
      <c r="W1875" s="1">
        <v>1</v>
      </c>
      <c r="Y1875" s="1">
        <v>0</v>
      </c>
      <c r="Z1875" s="1">
        <v>0</v>
      </c>
      <c r="AB1875" s="1" t="str">
        <f t="shared" si="1187"/>
        <v>SMU</v>
      </c>
      <c r="AI1875" s="1" t="str">
        <f>"P11"</f>
        <v>P11</v>
      </c>
      <c r="AJ1875" s="1" t="str">
        <f>"WOMAN"</f>
        <v>WOMAN</v>
      </c>
      <c r="AK1875" s="1" t="str">
        <f t="shared" si="1203"/>
        <v>PA</v>
      </c>
      <c r="AP1875" s="1" t="str">
        <f t="shared" si="1204"/>
        <v>False</v>
      </c>
      <c r="AR1875" s="1" t="str">
        <f>"SOLAD"</f>
        <v>SOLAD</v>
      </c>
      <c r="AY1875" s="1" t="str">
        <f t="shared" si="1205"/>
        <v>PF</v>
      </c>
      <c r="AZ1875" s="1">
        <v>0</v>
      </c>
      <c r="BA1875" s="1">
        <v>0</v>
      </c>
      <c r="BB1875" s="1">
        <v>0</v>
      </c>
      <c r="BC1875" s="1">
        <v>0</v>
      </c>
      <c r="BD1875" s="1">
        <v>0</v>
      </c>
      <c r="BE1875" s="1" t="str">
        <f>"S.CADEW  TWILL CANVAS"</f>
        <v>S.CADEW  TWILL CANVAS</v>
      </c>
      <c r="BF1875" s="1" t="str">
        <f t="shared" si="1206"/>
        <v>Bonis SpA</v>
      </c>
    </row>
    <row r="1876" spans="2:58" x14ac:dyDescent="0.25">
      <c r="B1876" s="1">
        <v>2530</v>
      </c>
      <c r="C1876" s="1" t="str">
        <f>"SOLAD4188S7/C1"</f>
        <v>SOLAD4188S7/C1</v>
      </c>
      <c r="E1876" s="1" t="str">
        <f>"40"</f>
        <v>40</v>
      </c>
      <c r="F1876" s="1" t="str">
        <f t="shared" si="1195"/>
        <v>BONIS SPA</v>
      </c>
      <c r="G1876" s="1" t="str">
        <f t="shared" si="1183"/>
        <v>STOCK SCAFFALE MP</v>
      </c>
      <c r="H1876" s="1" t="str">
        <f>"RED"</f>
        <v>RED</v>
      </c>
      <c r="K1876" s="1">
        <v>2</v>
      </c>
      <c r="L1876" s="1" t="str">
        <f t="shared" si="1196"/>
        <v>01</v>
      </c>
      <c r="M1876" s="1" t="str">
        <f t="shared" si="1186"/>
        <v>409</v>
      </c>
      <c r="N1876" s="1" t="str">
        <f>"004"</f>
        <v>004</v>
      </c>
      <c r="O1876" s="1" t="str">
        <f t="shared" si="1197"/>
        <v>00</v>
      </c>
      <c r="P1876" s="1" t="str">
        <f t="shared" si="1198"/>
        <v>S</v>
      </c>
      <c r="Q1876" s="1" t="str">
        <f t="shared" si="1199"/>
        <v>P</v>
      </c>
      <c r="R1876" s="1" t="str">
        <f t="shared" si="1200"/>
        <v>01</v>
      </c>
      <c r="S1876" s="1" t="str">
        <f t="shared" si="1184"/>
        <v>04</v>
      </c>
      <c r="T1876" s="1" t="str">
        <f t="shared" si="1201"/>
        <v>False</v>
      </c>
      <c r="U1876" s="1" t="str">
        <f t="shared" si="1202"/>
        <v>True</v>
      </c>
      <c r="V1876" s="1" t="str">
        <f>"U0032598"</f>
        <v>U0032598</v>
      </c>
      <c r="W1876" s="1">
        <v>1</v>
      </c>
      <c r="Y1876" s="1">
        <v>0</v>
      </c>
      <c r="Z1876" s="1">
        <v>0</v>
      </c>
      <c r="AB1876" s="1" t="str">
        <f t="shared" si="1187"/>
        <v>SMU</v>
      </c>
      <c r="AI1876" s="1" t="str">
        <f>"P11"</f>
        <v>P11</v>
      </c>
      <c r="AJ1876" s="1" t="str">
        <f>"WOMAN"</f>
        <v>WOMAN</v>
      </c>
      <c r="AK1876" s="1" t="str">
        <f t="shared" si="1203"/>
        <v>PA</v>
      </c>
      <c r="AP1876" s="1" t="str">
        <f t="shared" si="1204"/>
        <v>False</v>
      </c>
      <c r="AR1876" s="1" t="str">
        <f>"SOLAD"</f>
        <v>SOLAD</v>
      </c>
      <c r="AY1876" s="1" t="str">
        <f t="shared" si="1205"/>
        <v>PF</v>
      </c>
      <c r="AZ1876" s="1">
        <v>0</v>
      </c>
      <c r="BA1876" s="1">
        <v>0</v>
      </c>
      <c r="BB1876" s="1">
        <v>0</v>
      </c>
      <c r="BC1876" s="1">
        <v>0</v>
      </c>
      <c r="BD1876" s="1">
        <v>0</v>
      </c>
      <c r="BE1876" s="1" t="str">
        <f>"S.CADEW  TWILL CANVAS"</f>
        <v>S.CADEW  TWILL CANVAS</v>
      </c>
      <c r="BF1876" s="1" t="str">
        <f t="shared" si="1206"/>
        <v>Bonis SpA</v>
      </c>
    </row>
    <row r="1877" spans="2:58" x14ac:dyDescent="0.25">
      <c r="B1877" s="1">
        <v>2527</v>
      </c>
      <c r="C1877" s="1" t="str">
        <f t="shared" ref="C1877:C1884" si="1208">"GALAN4182S7/CY1"</f>
        <v>GALAN4182S7/CY1</v>
      </c>
      <c r="E1877" s="1" t="str">
        <f>"44"</f>
        <v>44</v>
      </c>
      <c r="F1877" s="1" t="str">
        <f t="shared" si="1195"/>
        <v>BONIS SPA</v>
      </c>
      <c r="G1877" s="1" t="str">
        <f t="shared" si="1183"/>
        <v>STOCK SCAFFALE MP</v>
      </c>
      <c r="H1877" s="1" t="str">
        <f>"WHI"</f>
        <v>WHI</v>
      </c>
      <c r="K1877" s="1">
        <v>8</v>
      </c>
      <c r="L1877" s="1" t="str">
        <f t="shared" si="1196"/>
        <v>01</v>
      </c>
      <c r="M1877" s="1" t="str">
        <f t="shared" si="1186"/>
        <v>409</v>
      </c>
      <c r="N1877" s="1" t="str">
        <f t="shared" ref="N1877:N1884" si="1209">"003"</f>
        <v>003</v>
      </c>
      <c r="O1877" s="1" t="str">
        <f t="shared" si="1197"/>
        <v>00</v>
      </c>
      <c r="P1877" s="1" t="str">
        <f t="shared" si="1198"/>
        <v>S</v>
      </c>
      <c r="Q1877" s="1" t="str">
        <f t="shared" si="1199"/>
        <v>P</v>
      </c>
      <c r="R1877" s="1" t="str">
        <f t="shared" si="1200"/>
        <v>01</v>
      </c>
      <c r="S1877" s="1" t="str">
        <f t="shared" si="1184"/>
        <v>04</v>
      </c>
      <c r="T1877" s="1" t="str">
        <f t="shared" si="1201"/>
        <v>False</v>
      </c>
      <c r="U1877" s="1" t="str">
        <f t="shared" si="1202"/>
        <v>True</v>
      </c>
      <c r="V1877" s="1" t="str">
        <f>"U0028127"</f>
        <v>U0028127</v>
      </c>
      <c r="W1877" s="1">
        <v>1</v>
      </c>
      <c r="Y1877" s="1">
        <v>0</v>
      </c>
      <c r="Z1877" s="1">
        <v>0</v>
      </c>
      <c r="AB1877" s="1" t="str">
        <f t="shared" si="1187"/>
        <v>SMU</v>
      </c>
      <c r="AI1877" s="1" t="str">
        <f>"P11"</f>
        <v>P11</v>
      </c>
      <c r="AJ1877" s="1" t="str">
        <f t="shared" ref="AJ1877:AJ1884" si="1210">"MAN"</f>
        <v>MAN</v>
      </c>
      <c r="AK1877" s="1" t="str">
        <f t="shared" si="1203"/>
        <v>PA</v>
      </c>
      <c r="AP1877" s="1" t="str">
        <f t="shared" si="1204"/>
        <v>False</v>
      </c>
      <c r="AR1877" s="1" t="str">
        <f t="shared" ref="AR1877:AR1884" si="1211">"GALAN"</f>
        <v>GALAN</v>
      </c>
      <c r="AY1877" s="1" t="str">
        <f t="shared" si="1205"/>
        <v>PF</v>
      </c>
      <c r="AZ1877" s="1">
        <v>0</v>
      </c>
      <c r="BA1877" s="1">
        <v>0</v>
      </c>
      <c r="BB1877" s="1">
        <v>0</v>
      </c>
      <c r="BC1877" s="1">
        <v>0</v>
      </c>
      <c r="BD1877" s="1">
        <v>0</v>
      </c>
      <c r="BE1877" s="1" t="str">
        <f t="shared" ref="BE1877:BE1884" si="1212">"LAN+TWILL CANVAS + SIN.LEATHER"</f>
        <v>LAN+TWILL CANVAS + SIN.LEATHER</v>
      </c>
      <c r="BF1877" s="1" t="str">
        <f t="shared" si="1206"/>
        <v>Bonis SpA</v>
      </c>
    </row>
    <row r="1878" spans="2:58" x14ac:dyDescent="0.25">
      <c r="B1878" s="1">
        <v>2527</v>
      </c>
      <c r="C1878" s="1" t="str">
        <f t="shared" si="1208"/>
        <v>GALAN4182S7/CY1</v>
      </c>
      <c r="E1878" s="1" t="str">
        <f>"40"</f>
        <v>40</v>
      </c>
      <c r="F1878" s="1" t="str">
        <f t="shared" si="1195"/>
        <v>BONIS SPA</v>
      </c>
      <c r="G1878" s="1" t="str">
        <f t="shared" si="1183"/>
        <v>STOCK SCAFFALE MP</v>
      </c>
      <c r="H1878" s="1" t="str">
        <f>"DKBL"</f>
        <v>DKBL</v>
      </c>
      <c r="K1878" s="1">
        <v>2</v>
      </c>
      <c r="L1878" s="1" t="str">
        <f t="shared" si="1196"/>
        <v>01</v>
      </c>
      <c r="M1878" s="1" t="str">
        <f t="shared" si="1186"/>
        <v>409</v>
      </c>
      <c r="N1878" s="1" t="str">
        <f t="shared" si="1209"/>
        <v>003</v>
      </c>
      <c r="O1878" s="1" t="str">
        <f t="shared" si="1197"/>
        <v>00</v>
      </c>
      <c r="P1878" s="1" t="str">
        <f t="shared" si="1198"/>
        <v>S</v>
      </c>
      <c r="Q1878" s="1" t="str">
        <f t="shared" si="1199"/>
        <v>P</v>
      </c>
      <c r="R1878" s="1" t="str">
        <f t="shared" si="1200"/>
        <v>01</v>
      </c>
      <c r="S1878" s="1" t="str">
        <f t="shared" si="1184"/>
        <v>04</v>
      </c>
      <c r="T1878" s="1" t="str">
        <f t="shared" si="1201"/>
        <v>False</v>
      </c>
      <c r="U1878" s="1" t="str">
        <f t="shared" si="1202"/>
        <v>True</v>
      </c>
      <c r="V1878" s="1" t="str">
        <f>"U0028122"</f>
        <v>U0028122</v>
      </c>
      <c r="W1878" s="1">
        <v>1</v>
      </c>
      <c r="Y1878" s="1">
        <v>0</v>
      </c>
      <c r="Z1878" s="1">
        <v>0</v>
      </c>
      <c r="AB1878" s="1" t="str">
        <f t="shared" si="1187"/>
        <v>SMU</v>
      </c>
      <c r="AI1878" s="1" t="str">
        <f t="shared" ref="AI1878:AI1889" si="1213">"106"</f>
        <v>106</v>
      </c>
      <c r="AJ1878" s="1" t="str">
        <f t="shared" si="1210"/>
        <v>MAN</v>
      </c>
      <c r="AK1878" s="1" t="str">
        <f t="shared" si="1203"/>
        <v>PA</v>
      </c>
      <c r="AP1878" s="1" t="str">
        <f t="shared" si="1204"/>
        <v>False</v>
      </c>
      <c r="AR1878" s="1" t="str">
        <f t="shared" si="1211"/>
        <v>GALAN</v>
      </c>
      <c r="AY1878" s="1" t="str">
        <f t="shared" si="1205"/>
        <v>PF</v>
      </c>
      <c r="AZ1878" s="1">
        <v>0</v>
      </c>
      <c r="BA1878" s="1">
        <v>0</v>
      </c>
      <c r="BB1878" s="1">
        <v>0</v>
      </c>
      <c r="BC1878" s="1">
        <v>0</v>
      </c>
      <c r="BD1878" s="1">
        <v>0</v>
      </c>
      <c r="BE1878" s="1" t="str">
        <f t="shared" si="1212"/>
        <v>LAN+TWILL CANVAS + SIN.LEATHER</v>
      </c>
      <c r="BF1878" s="1" t="str">
        <f t="shared" si="1206"/>
        <v>Bonis SpA</v>
      </c>
    </row>
    <row r="1879" spans="2:58" x14ac:dyDescent="0.25">
      <c r="B1879" s="1">
        <v>2527</v>
      </c>
      <c r="C1879" s="1" t="str">
        <f t="shared" si="1208"/>
        <v>GALAN4182S7/CY1</v>
      </c>
      <c r="E1879" s="1" t="str">
        <f>"42"</f>
        <v>42</v>
      </c>
      <c r="F1879" s="1" t="str">
        <f t="shared" si="1195"/>
        <v>BONIS SPA</v>
      </c>
      <c r="G1879" s="1" t="str">
        <f t="shared" si="1183"/>
        <v>STOCK SCAFFALE MP</v>
      </c>
      <c r="H1879" s="1" t="str">
        <f t="shared" ref="H1879:H1884" si="1214">"WHI"</f>
        <v>WHI</v>
      </c>
      <c r="K1879" s="1">
        <v>2</v>
      </c>
      <c r="L1879" s="1" t="str">
        <f t="shared" si="1196"/>
        <v>01</v>
      </c>
      <c r="M1879" s="1" t="str">
        <f t="shared" si="1186"/>
        <v>409</v>
      </c>
      <c r="N1879" s="1" t="str">
        <f t="shared" si="1209"/>
        <v>003</v>
      </c>
      <c r="O1879" s="1" t="str">
        <f t="shared" si="1197"/>
        <v>00</v>
      </c>
      <c r="P1879" s="1" t="str">
        <f t="shared" si="1198"/>
        <v>S</v>
      </c>
      <c r="Q1879" s="1" t="str">
        <f t="shared" si="1199"/>
        <v>P</v>
      </c>
      <c r="R1879" s="1" t="str">
        <f t="shared" si="1200"/>
        <v>01</v>
      </c>
      <c r="S1879" s="1" t="str">
        <f t="shared" si="1184"/>
        <v>04</v>
      </c>
      <c r="T1879" s="1" t="str">
        <f t="shared" si="1201"/>
        <v>False</v>
      </c>
      <c r="U1879" s="1" t="str">
        <f t="shared" si="1202"/>
        <v>True</v>
      </c>
      <c r="V1879" s="1" t="str">
        <f>"U0028122"</f>
        <v>U0028122</v>
      </c>
      <c r="W1879" s="1">
        <v>1</v>
      </c>
      <c r="Y1879" s="1">
        <v>0</v>
      </c>
      <c r="Z1879" s="1">
        <v>0</v>
      </c>
      <c r="AB1879" s="1" t="str">
        <f t="shared" si="1187"/>
        <v>SMU</v>
      </c>
      <c r="AI1879" s="1" t="str">
        <f t="shared" si="1213"/>
        <v>106</v>
      </c>
      <c r="AJ1879" s="1" t="str">
        <f t="shared" si="1210"/>
        <v>MAN</v>
      </c>
      <c r="AK1879" s="1" t="str">
        <f t="shared" si="1203"/>
        <v>PA</v>
      </c>
      <c r="AP1879" s="1" t="str">
        <f t="shared" si="1204"/>
        <v>False</v>
      </c>
      <c r="AR1879" s="1" t="str">
        <f t="shared" si="1211"/>
        <v>GALAN</v>
      </c>
      <c r="AY1879" s="1" t="str">
        <f t="shared" si="1205"/>
        <v>PF</v>
      </c>
      <c r="AZ1879" s="1">
        <v>0</v>
      </c>
      <c r="BA1879" s="1">
        <v>0</v>
      </c>
      <c r="BB1879" s="1">
        <v>0</v>
      </c>
      <c r="BC1879" s="1">
        <v>0</v>
      </c>
      <c r="BD1879" s="1">
        <v>0</v>
      </c>
      <c r="BE1879" s="1" t="str">
        <f t="shared" si="1212"/>
        <v>LAN+TWILL CANVAS + SIN.LEATHER</v>
      </c>
      <c r="BF1879" s="1" t="str">
        <f t="shared" si="1206"/>
        <v>Bonis SpA</v>
      </c>
    </row>
    <row r="1880" spans="2:58" x14ac:dyDescent="0.25">
      <c r="B1880" s="1">
        <v>2527</v>
      </c>
      <c r="C1880" s="1" t="str">
        <f t="shared" si="1208"/>
        <v>GALAN4182S7/CY1</v>
      </c>
      <c r="E1880" s="1" t="str">
        <f>"42"</f>
        <v>42</v>
      </c>
      <c r="F1880" s="1" t="str">
        <f t="shared" si="1195"/>
        <v>BONIS SPA</v>
      </c>
      <c r="G1880" s="1" t="str">
        <f t="shared" si="1183"/>
        <v>STOCK SCAFFALE MP</v>
      </c>
      <c r="H1880" s="1" t="str">
        <f t="shared" si="1214"/>
        <v>WHI</v>
      </c>
      <c r="K1880" s="1">
        <v>1</v>
      </c>
      <c r="L1880" s="1" t="str">
        <f t="shared" si="1196"/>
        <v>01</v>
      </c>
      <c r="M1880" s="1" t="str">
        <f t="shared" si="1186"/>
        <v>409</v>
      </c>
      <c r="N1880" s="1" t="str">
        <f t="shared" si="1209"/>
        <v>003</v>
      </c>
      <c r="O1880" s="1" t="str">
        <f t="shared" si="1197"/>
        <v>00</v>
      </c>
      <c r="P1880" s="1" t="str">
        <f t="shared" si="1198"/>
        <v>S</v>
      </c>
      <c r="Q1880" s="1" t="str">
        <f t="shared" si="1199"/>
        <v>P</v>
      </c>
      <c r="R1880" s="1" t="str">
        <f t="shared" si="1200"/>
        <v>01</v>
      </c>
      <c r="S1880" s="1" t="str">
        <f t="shared" si="1184"/>
        <v>04</v>
      </c>
      <c r="T1880" s="1" t="str">
        <f t="shared" si="1201"/>
        <v>False</v>
      </c>
      <c r="U1880" s="1" t="str">
        <f t="shared" si="1202"/>
        <v>True</v>
      </c>
      <c r="V1880" s="1" t="str">
        <f>"U0028131"</f>
        <v>U0028131</v>
      </c>
      <c r="W1880" s="1">
        <v>1</v>
      </c>
      <c r="Y1880" s="1">
        <v>0</v>
      </c>
      <c r="Z1880" s="1">
        <v>0</v>
      </c>
      <c r="AB1880" s="1" t="str">
        <f t="shared" si="1187"/>
        <v>SMU</v>
      </c>
      <c r="AI1880" s="1" t="str">
        <f t="shared" si="1213"/>
        <v>106</v>
      </c>
      <c r="AJ1880" s="1" t="str">
        <f t="shared" si="1210"/>
        <v>MAN</v>
      </c>
      <c r="AK1880" s="1" t="str">
        <f t="shared" si="1203"/>
        <v>PA</v>
      </c>
      <c r="AP1880" s="1" t="str">
        <f t="shared" si="1204"/>
        <v>False</v>
      </c>
      <c r="AR1880" s="1" t="str">
        <f t="shared" si="1211"/>
        <v>GALAN</v>
      </c>
      <c r="AY1880" s="1" t="str">
        <f t="shared" si="1205"/>
        <v>PF</v>
      </c>
      <c r="AZ1880" s="1">
        <v>0</v>
      </c>
      <c r="BA1880" s="1">
        <v>0</v>
      </c>
      <c r="BB1880" s="1">
        <v>0</v>
      </c>
      <c r="BC1880" s="1">
        <v>0</v>
      </c>
      <c r="BD1880" s="1">
        <v>0</v>
      </c>
      <c r="BE1880" s="1" t="str">
        <f t="shared" si="1212"/>
        <v>LAN+TWILL CANVAS + SIN.LEATHER</v>
      </c>
      <c r="BF1880" s="1" t="str">
        <f t="shared" si="1206"/>
        <v>Bonis SpA</v>
      </c>
    </row>
    <row r="1881" spans="2:58" x14ac:dyDescent="0.25">
      <c r="B1881" s="1">
        <v>2527</v>
      </c>
      <c r="C1881" s="1" t="str">
        <f t="shared" si="1208"/>
        <v>GALAN4182S7/CY1</v>
      </c>
      <c r="E1881" s="1" t="str">
        <f>"43"</f>
        <v>43</v>
      </c>
      <c r="F1881" s="1" t="str">
        <f t="shared" si="1195"/>
        <v>BONIS SPA</v>
      </c>
      <c r="G1881" s="1" t="str">
        <f t="shared" si="1183"/>
        <v>STOCK SCAFFALE MP</v>
      </c>
      <c r="H1881" s="1" t="str">
        <f t="shared" si="1214"/>
        <v>WHI</v>
      </c>
      <c r="K1881" s="1">
        <v>8</v>
      </c>
      <c r="L1881" s="1" t="str">
        <f t="shared" si="1196"/>
        <v>01</v>
      </c>
      <c r="M1881" s="1" t="str">
        <f t="shared" si="1186"/>
        <v>409</v>
      </c>
      <c r="N1881" s="1" t="str">
        <f t="shared" si="1209"/>
        <v>003</v>
      </c>
      <c r="O1881" s="1" t="str">
        <f t="shared" si="1197"/>
        <v>00</v>
      </c>
      <c r="P1881" s="1" t="str">
        <f t="shared" si="1198"/>
        <v>S</v>
      </c>
      <c r="Q1881" s="1" t="str">
        <f t="shared" si="1199"/>
        <v>P</v>
      </c>
      <c r="R1881" s="1" t="str">
        <f t="shared" si="1200"/>
        <v>01</v>
      </c>
      <c r="S1881" s="1" t="str">
        <f t="shared" si="1184"/>
        <v>04</v>
      </c>
      <c r="T1881" s="1" t="str">
        <f t="shared" si="1201"/>
        <v>False</v>
      </c>
      <c r="U1881" s="1" t="str">
        <f t="shared" si="1202"/>
        <v>True</v>
      </c>
      <c r="V1881" s="1" t="str">
        <f>"U0028122"</f>
        <v>U0028122</v>
      </c>
      <c r="W1881" s="1">
        <v>1</v>
      </c>
      <c r="Y1881" s="1">
        <v>0</v>
      </c>
      <c r="Z1881" s="1">
        <v>0</v>
      </c>
      <c r="AB1881" s="1" t="str">
        <f t="shared" si="1187"/>
        <v>SMU</v>
      </c>
      <c r="AI1881" s="1" t="str">
        <f t="shared" si="1213"/>
        <v>106</v>
      </c>
      <c r="AJ1881" s="1" t="str">
        <f t="shared" si="1210"/>
        <v>MAN</v>
      </c>
      <c r="AK1881" s="1" t="str">
        <f t="shared" si="1203"/>
        <v>PA</v>
      </c>
      <c r="AP1881" s="1" t="str">
        <f t="shared" si="1204"/>
        <v>False</v>
      </c>
      <c r="AR1881" s="1" t="str">
        <f t="shared" si="1211"/>
        <v>GALAN</v>
      </c>
      <c r="AY1881" s="1" t="str">
        <f t="shared" si="1205"/>
        <v>PF</v>
      </c>
      <c r="AZ1881" s="1">
        <v>0</v>
      </c>
      <c r="BA1881" s="1">
        <v>0</v>
      </c>
      <c r="BB1881" s="1">
        <v>0</v>
      </c>
      <c r="BC1881" s="1">
        <v>0</v>
      </c>
      <c r="BD1881" s="1">
        <v>0</v>
      </c>
      <c r="BE1881" s="1" t="str">
        <f t="shared" si="1212"/>
        <v>LAN+TWILL CANVAS + SIN.LEATHER</v>
      </c>
      <c r="BF1881" s="1" t="str">
        <f t="shared" si="1206"/>
        <v>Bonis SpA</v>
      </c>
    </row>
    <row r="1882" spans="2:58" x14ac:dyDescent="0.25">
      <c r="B1882" s="1">
        <v>2527</v>
      </c>
      <c r="C1882" s="1" t="str">
        <f t="shared" si="1208"/>
        <v>GALAN4182S7/CY1</v>
      </c>
      <c r="E1882" s="1" t="str">
        <f>"43"</f>
        <v>43</v>
      </c>
      <c r="F1882" s="1" t="str">
        <f t="shared" si="1195"/>
        <v>BONIS SPA</v>
      </c>
      <c r="G1882" s="1" t="str">
        <f t="shared" si="1183"/>
        <v>STOCK SCAFFALE MP</v>
      </c>
      <c r="H1882" s="1" t="str">
        <f t="shared" si="1214"/>
        <v>WHI</v>
      </c>
      <c r="K1882" s="1">
        <v>1</v>
      </c>
      <c r="L1882" s="1" t="str">
        <f t="shared" si="1196"/>
        <v>01</v>
      </c>
      <c r="M1882" s="1" t="str">
        <f t="shared" si="1186"/>
        <v>409</v>
      </c>
      <c r="N1882" s="1" t="str">
        <f t="shared" si="1209"/>
        <v>003</v>
      </c>
      <c r="O1882" s="1" t="str">
        <f t="shared" si="1197"/>
        <v>00</v>
      </c>
      <c r="P1882" s="1" t="str">
        <f t="shared" si="1198"/>
        <v>S</v>
      </c>
      <c r="Q1882" s="1" t="str">
        <f t="shared" si="1199"/>
        <v>P</v>
      </c>
      <c r="R1882" s="1" t="str">
        <f t="shared" si="1200"/>
        <v>01</v>
      </c>
      <c r="S1882" s="1" t="str">
        <f t="shared" si="1184"/>
        <v>04</v>
      </c>
      <c r="T1882" s="1" t="str">
        <f t="shared" si="1201"/>
        <v>False</v>
      </c>
      <c r="U1882" s="1" t="str">
        <f t="shared" si="1202"/>
        <v>True</v>
      </c>
      <c r="V1882" s="1" t="str">
        <f>"U0032599"</f>
        <v>U0032599</v>
      </c>
      <c r="W1882" s="1">
        <v>1</v>
      </c>
      <c r="Y1882" s="1">
        <v>0</v>
      </c>
      <c r="Z1882" s="1">
        <v>0</v>
      </c>
      <c r="AB1882" s="1" t="str">
        <f t="shared" si="1187"/>
        <v>SMU</v>
      </c>
      <c r="AI1882" s="1" t="str">
        <f t="shared" si="1213"/>
        <v>106</v>
      </c>
      <c r="AJ1882" s="1" t="str">
        <f t="shared" si="1210"/>
        <v>MAN</v>
      </c>
      <c r="AK1882" s="1" t="str">
        <f t="shared" si="1203"/>
        <v>PA</v>
      </c>
      <c r="AP1882" s="1" t="str">
        <f t="shared" si="1204"/>
        <v>False</v>
      </c>
      <c r="AR1882" s="1" t="str">
        <f t="shared" si="1211"/>
        <v>GALAN</v>
      </c>
      <c r="AY1882" s="1" t="str">
        <f t="shared" si="1205"/>
        <v>PF</v>
      </c>
      <c r="AZ1882" s="1">
        <v>0</v>
      </c>
      <c r="BA1882" s="1">
        <v>0</v>
      </c>
      <c r="BB1882" s="1">
        <v>0</v>
      </c>
      <c r="BC1882" s="1">
        <v>0</v>
      </c>
      <c r="BD1882" s="1">
        <v>0</v>
      </c>
      <c r="BE1882" s="1" t="str">
        <f t="shared" si="1212"/>
        <v>LAN+TWILL CANVAS + SIN.LEATHER</v>
      </c>
      <c r="BF1882" s="1" t="str">
        <f t="shared" si="1206"/>
        <v>Bonis SpA</v>
      </c>
    </row>
    <row r="1883" spans="2:58" x14ac:dyDescent="0.25">
      <c r="B1883" s="1">
        <v>2527</v>
      </c>
      <c r="C1883" s="1" t="str">
        <f t="shared" si="1208"/>
        <v>GALAN4182S7/CY1</v>
      </c>
      <c r="E1883" s="1" t="str">
        <f>"41"</f>
        <v>41</v>
      </c>
      <c r="F1883" s="1" t="str">
        <f t="shared" si="1195"/>
        <v>BONIS SPA</v>
      </c>
      <c r="G1883" s="1" t="str">
        <f t="shared" si="1183"/>
        <v>STOCK SCAFFALE MP</v>
      </c>
      <c r="H1883" s="1" t="str">
        <f t="shared" si="1214"/>
        <v>WHI</v>
      </c>
      <c r="K1883" s="1">
        <v>3</v>
      </c>
      <c r="L1883" s="1" t="str">
        <f t="shared" si="1196"/>
        <v>01</v>
      </c>
      <c r="M1883" s="1" t="str">
        <f t="shared" si="1186"/>
        <v>409</v>
      </c>
      <c r="N1883" s="1" t="str">
        <f t="shared" si="1209"/>
        <v>003</v>
      </c>
      <c r="O1883" s="1" t="str">
        <f t="shared" si="1197"/>
        <v>00</v>
      </c>
      <c r="P1883" s="1" t="str">
        <f t="shared" si="1198"/>
        <v>S</v>
      </c>
      <c r="Q1883" s="1" t="str">
        <f t="shared" si="1199"/>
        <v>P</v>
      </c>
      <c r="R1883" s="1" t="str">
        <f t="shared" si="1200"/>
        <v>01</v>
      </c>
      <c r="S1883" s="1" t="str">
        <f t="shared" si="1184"/>
        <v>04</v>
      </c>
      <c r="T1883" s="1" t="str">
        <f t="shared" si="1201"/>
        <v>False</v>
      </c>
      <c r="U1883" s="1" t="str">
        <f t="shared" si="1202"/>
        <v>True</v>
      </c>
      <c r="V1883" s="1" t="str">
        <f>"U0028142"</f>
        <v>U0028142</v>
      </c>
      <c r="W1883" s="1">
        <v>1</v>
      </c>
      <c r="Y1883" s="1">
        <v>0</v>
      </c>
      <c r="Z1883" s="1">
        <v>0</v>
      </c>
      <c r="AB1883" s="1" t="str">
        <f t="shared" si="1187"/>
        <v>SMU</v>
      </c>
      <c r="AI1883" s="1" t="str">
        <f t="shared" si="1213"/>
        <v>106</v>
      </c>
      <c r="AJ1883" s="1" t="str">
        <f t="shared" si="1210"/>
        <v>MAN</v>
      </c>
      <c r="AK1883" s="1" t="str">
        <f t="shared" si="1203"/>
        <v>PA</v>
      </c>
      <c r="AP1883" s="1" t="str">
        <f t="shared" si="1204"/>
        <v>False</v>
      </c>
      <c r="AR1883" s="1" t="str">
        <f t="shared" si="1211"/>
        <v>GALAN</v>
      </c>
      <c r="AY1883" s="1" t="str">
        <f t="shared" si="1205"/>
        <v>PF</v>
      </c>
      <c r="AZ1883" s="1">
        <v>0</v>
      </c>
      <c r="BA1883" s="1">
        <v>0</v>
      </c>
      <c r="BB1883" s="1">
        <v>0</v>
      </c>
      <c r="BC1883" s="1">
        <v>0</v>
      </c>
      <c r="BD1883" s="1">
        <v>0</v>
      </c>
      <c r="BE1883" s="1" t="str">
        <f t="shared" si="1212"/>
        <v>LAN+TWILL CANVAS + SIN.LEATHER</v>
      </c>
      <c r="BF1883" s="1" t="str">
        <f t="shared" si="1206"/>
        <v>Bonis SpA</v>
      </c>
    </row>
    <row r="1884" spans="2:58" x14ac:dyDescent="0.25">
      <c r="B1884" s="1">
        <v>2527</v>
      </c>
      <c r="C1884" s="1" t="str">
        <f t="shared" si="1208"/>
        <v>GALAN4182S7/CY1</v>
      </c>
      <c r="E1884" s="1" t="str">
        <f>"41"</f>
        <v>41</v>
      </c>
      <c r="F1884" s="1" t="str">
        <f t="shared" si="1195"/>
        <v>BONIS SPA</v>
      </c>
      <c r="G1884" s="1" t="str">
        <f t="shared" si="1183"/>
        <v>STOCK SCAFFALE MP</v>
      </c>
      <c r="H1884" s="1" t="str">
        <f t="shared" si="1214"/>
        <v>WHI</v>
      </c>
      <c r="K1884" s="1">
        <v>4</v>
      </c>
      <c r="L1884" s="1" t="str">
        <f t="shared" si="1196"/>
        <v>01</v>
      </c>
      <c r="M1884" s="1" t="str">
        <f t="shared" si="1186"/>
        <v>409</v>
      </c>
      <c r="N1884" s="1" t="str">
        <f t="shared" si="1209"/>
        <v>003</v>
      </c>
      <c r="O1884" s="1" t="str">
        <f t="shared" si="1197"/>
        <v>00</v>
      </c>
      <c r="P1884" s="1" t="str">
        <f t="shared" si="1198"/>
        <v>S</v>
      </c>
      <c r="Q1884" s="1" t="str">
        <f t="shared" si="1199"/>
        <v>P</v>
      </c>
      <c r="R1884" s="1" t="str">
        <f t="shared" si="1200"/>
        <v>01</v>
      </c>
      <c r="S1884" s="1" t="str">
        <f t="shared" si="1184"/>
        <v>04</v>
      </c>
      <c r="T1884" s="1" t="str">
        <f t="shared" si="1201"/>
        <v>False</v>
      </c>
      <c r="U1884" s="1" t="str">
        <f t="shared" si="1202"/>
        <v>True</v>
      </c>
      <c r="V1884" s="1" t="str">
        <f>"U0028127"</f>
        <v>U0028127</v>
      </c>
      <c r="W1884" s="1">
        <v>1</v>
      </c>
      <c r="Y1884" s="1">
        <v>0</v>
      </c>
      <c r="Z1884" s="1">
        <v>0</v>
      </c>
      <c r="AB1884" s="1" t="str">
        <f t="shared" si="1187"/>
        <v>SMU</v>
      </c>
      <c r="AI1884" s="1" t="str">
        <f t="shared" si="1213"/>
        <v>106</v>
      </c>
      <c r="AJ1884" s="1" t="str">
        <f t="shared" si="1210"/>
        <v>MAN</v>
      </c>
      <c r="AK1884" s="1" t="str">
        <f t="shared" si="1203"/>
        <v>PA</v>
      </c>
      <c r="AP1884" s="1" t="str">
        <f t="shared" si="1204"/>
        <v>False</v>
      </c>
      <c r="AR1884" s="1" t="str">
        <f t="shared" si="1211"/>
        <v>GALAN</v>
      </c>
      <c r="AY1884" s="1" t="str">
        <f t="shared" si="1205"/>
        <v>PF</v>
      </c>
      <c r="AZ1884" s="1">
        <v>0</v>
      </c>
      <c r="BA1884" s="1">
        <v>0</v>
      </c>
      <c r="BB1884" s="1">
        <v>0</v>
      </c>
      <c r="BC1884" s="1">
        <v>0</v>
      </c>
      <c r="BD1884" s="1">
        <v>0</v>
      </c>
      <c r="BE1884" s="1" t="str">
        <f t="shared" si="1212"/>
        <v>LAN+TWILL CANVAS + SIN.LEATHER</v>
      </c>
      <c r="BF1884" s="1" t="str">
        <f t="shared" si="1206"/>
        <v>Bonis SpA</v>
      </c>
    </row>
    <row r="1885" spans="2:58" x14ac:dyDescent="0.25">
      <c r="B1885" s="1">
        <v>2554</v>
      </c>
      <c r="C1885" s="1" t="str">
        <f t="shared" ref="C1885:C1924" si="1215">"GALAD4184S7/CY1"</f>
        <v>GALAD4184S7/CY1</v>
      </c>
      <c r="E1885" s="1" t="str">
        <f>"36"</f>
        <v>36</v>
      </c>
      <c r="F1885" s="1" t="str">
        <f t="shared" si="1195"/>
        <v>BONIS SPA</v>
      </c>
      <c r="G1885" s="1" t="str">
        <f t="shared" si="1183"/>
        <v>STOCK SCAFFALE MP</v>
      </c>
      <c r="H1885" s="1" t="str">
        <f t="shared" ref="H1885:H1891" si="1216">"RED"</f>
        <v>RED</v>
      </c>
      <c r="K1885" s="1">
        <v>1</v>
      </c>
      <c r="L1885" s="1" t="str">
        <f t="shared" si="1196"/>
        <v>01</v>
      </c>
      <c r="M1885" s="1" t="str">
        <f t="shared" si="1186"/>
        <v>409</v>
      </c>
      <c r="N1885" s="1" t="str">
        <f t="shared" ref="N1885:N1910" si="1217">"012"</f>
        <v>012</v>
      </c>
      <c r="O1885" s="1" t="str">
        <f t="shared" si="1197"/>
        <v>00</v>
      </c>
      <c r="P1885" s="1" t="str">
        <f t="shared" si="1198"/>
        <v>S</v>
      </c>
      <c r="Q1885" s="1" t="str">
        <f t="shared" si="1199"/>
        <v>P</v>
      </c>
      <c r="R1885" s="1" t="str">
        <f t="shared" si="1200"/>
        <v>01</v>
      </c>
      <c r="S1885" s="1" t="str">
        <f t="shared" si="1184"/>
        <v>04</v>
      </c>
      <c r="T1885" s="1" t="str">
        <f t="shared" si="1201"/>
        <v>False</v>
      </c>
      <c r="U1885" s="1" t="str">
        <f t="shared" si="1202"/>
        <v>True</v>
      </c>
      <c r="V1885" s="1" t="str">
        <f>"U0023197"</f>
        <v>U0023197</v>
      </c>
      <c r="W1885" s="1">
        <v>1</v>
      </c>
      <c r="Y1885" s="1">
        <v>0</v>
      </c>
      <c r="Z1885" s="1">
        <v>0</v>
      </c>
      <c r="AB1885" s="1" t="str">
        <f t="shared" si="1187"/>
        <v>SMU</v>
      </c>
      <c r="AI1885" s="1" t="str">
        <f t="shared" si="1213"/>
        <v>106</v>
      </c>
      <c r="AJ1885" s="1" t="str">
        <f t="shared" ref="AJ1885:AJ1916" si="1218">"WOMAN"</f>
        <v>WOMAN</v>
      </c>
      <c r="AK1885" s="1" t="str">
        <f t="shared" si="1203"/>
        <v>PA</v>
      </c>
      <c r="AP1885" s="1" t="str">
        <f t="shared" si="1204"/>
        <v>False</v>
      </c>
      <c r="AR1885" s="1" t="str">
        <f t="shared" ref="AR1885:AR1916" si="1219">"GALAD"</f>
        <v>GALAD</v>
      </c>
      <c r="AY1885" s="1" t="str">
        <f t="shared" si="1205"/>
        <v>PF</v>
      </c>
      <c r="AZ1885" s="1">
        <v>0</v>
      </c>
      <c r="BA1885" s="1">
        <v>0</v>
      </c>
      <c r="BB1885" s="1">
        <v>0</v>
      </c>
      <c r="BC1885" s="1">
        <v>0</v>
      </c>
      <c r="BD1885" s="1">
        <v>0</v>
      </c>
      <c r="BE1885" s="1" t="str">
        <f t="shared" ref="BE1885:BE1916" si="1220">"D GOMMA D.H.TWILL CANVAS+SINT."</f>
        <v>D GOMMA D.H.TWILL CANVAS+SINT.</v>
      </c>
      <c r="BF1885" s="1" t="str">
        <f t="shared" si="1206"/>
        <v>Bonis SpA</v>
      </c>
    </row>
    <row r="1886" spans="2:58" x14ac:dyDescent="0.25">
      <c r="B1886" s="1">
        <v>2554</v>
      </c>
      <c r="C1886" s="1" t="str">
        <f t="shared" si="1215"/>
        <v>GALAD4184S7/CY1</v>
      </c>
      <c r="E1886" s="1" t="str">
        <f>"36"</f>
        <v>36</v>
      </c>
      <c r="F1886" s="1" t="str">
        <f t="shared" si="1195"/>
        <v>BONIS SPA</v>
      </c>
      <c r="G1886" s="1" t="str">
        <f t="shared" si="1183"/>
        <v>STOCK SCAFFALE MP</v>
      </c>
      <c r="H1886" s="1" t="str">
        <f t="shared" si="1216"/>
        <v>RED</v>
      </c>
      <c r="K1886" s="1">
        <v>1</v>
      </c>
      <c r="L1886" s="1" t="str">
        <f t="shared" si="1196"/>
        <v>01</v>
      </c>
      <c r="M1886" s="1" t="str">
        <f t="shared" si="1186"/>
        <v>409</v>
      </c>
      <c r="N1886" s="1" t="str">
        <f t="shared" si="1217"/>
        <v>012</v>
      </c>
      <c r="O1886" s="1" t="str">
        <f t="shared" si="1197"/>
        <v>00</v>
      </c>
      <c r="P1886" s="1" t="str">
        <f t="shared" si="1198"/>
        <v>S</v>
      </c>
      <c r="Q1886" s="1" t="str">
        <f t="shared" si="1199"/>
        <v>P</v>
      </c>
      <c r="R1886" s="1" t="str">
        <f t="shared" si="1200"/>
        <v>01</v>
      </c>
      <c r="S1886" s="1" t="str">
        <f t="shared" si="1184"/>
        <v>04</v>
      </c>
      <c r="T1886" s="1" t="str">
        <f t="shared" si="1201"/>
        <v>False</v>
      </c>
      <c r="U1886" s="1" t="str">
        <f t="shared" si="1202"/>
        <v>True</v>
      </c>
      <c r="V1886" s="1" t="str">
        <f>"U0023194"</f>
        <v>U0023194</v>
      </c>
      <c r="W1886" s="1">
        <v>1</v>
      </c>
      <c r="Y1886" s="1">
        <v>0</v>
      </c>
      <c r="Z1886" s="1">
        <v>0</v>
      </c>
      <c r="AB1886" s="1" t="str">
        <f t="shared" si="1187"/>
        <v>SMU</v>
      </c>
      <c r="AI1886" s="1" t="str">
        <f t="shared" si="1213"/>
        <v>106</v>
      </c>
      <c r="AJ1886" s="1" t="str">
        <f t="shared" si="1218"/>
        <v>WOMAN</v>
      </c>
      <c r="AK1886" s="1" t="str">
        <f t="shared" si="1203"/>
        <v>PA</v>
      </c>
      <c r="AP1886" s="1" t="str">
        <f t="shared" si="1204"/>
        <v>False</v>
      </c>
      <c r="AR1886" s="1" t="str">
        <f t="shared" si="1219"/>
        <v>GALAD</v>
      </c>
      <c r="AY1886" s="1" t="str">
        <f t="shared" si="1205"/>
        <v>PF</v>
      </c>
      <c r="AZ1886" s="1">
        <v>0</v>
      </c>
      <c r="BA1886" s="1">
        <v>0</v>
      </c>
      <c r="BB1886" s="1">
        <v>0</v>
      </c>
      <c r="BC1886" s="1">
        <v>0</v>
      </c>
      <c r="BD1886" s="1">
        <v>0</v>
      </c>
      <c r="BE1886" s="1" t="str">
        <f t="shared" si="1220"/>
        <v>D GOMMA D.H.TWILL CANVAS+SINT.</v>
      </c>
      <c r="BF1886" s="1" t="str">
        <f t="shared" si="1206"/>
        <v>Bonis SpA</v>
      </c>
    </row>
    <row r="1887" spans="2:58" x14ac:dyDescent="0.25">
      <c r="B1887" s="1">
        <v>2554</v>
      </c>
      <c r="C1887" s="1" t="str">
        <f t="shared" si="1215"/>
        <v>GALAD4184S7/CY1</v>
      </c>
      <c r="E1887" s="1" t="str">
        <f>"37"</f>
        <v>37</v>
      </c>
      <c r="F1887" s="1" t="str">
        <f t="shared" si="1195"/>
        <v>BONIS SPA</v>
      </c>
      <c r="G1887" s="1" t="str">
        <f t="shared" si="1183"/>
        <v>STOCK SCAFFALE MP</v>
      </c>
      <c r="H1887" s="1" t="str">
        <f t="shared" si="1216"/>
        <v>RED</v>
      </c>
      <c r="K1887" s="1">
        <v>4</v>
      </c>
      <c r="L1887" s="1" t="str">
        <f t="shared" si="1196"/>
        <v>01</v>
      </c>
      <c r="M1887" s="1" t="str">
        <f t="shared" si="1186"/>
        <v>409</v>
      </c>
      <c r="N1887" s="1" t="str">
        <f t="shared" si="1217"/>
        <v>012</v>
      </c>
      <c r="O1887" s="1" t="str">
        <f t="shared" si="1197"/>
        <v>00</v>
      </c>
      <c r="P1887" s="1" t="str">
        <f t="shared" si="1198"/>
        <v>S</v>
      </c>
      <c r="Q1887" s="1" t="str">
        <f t="shared" si="1199"/>
        <v>P</v>
      </c>
      <c r="R1887" s="1" t="str">
        <f t="shared" si="1200"/>
        <v>01</v>
      </c>
      <c r="S1887" s="1" t="str">
        <f t="shared" si="1184"/>
        <v>04</v>
      </c>
      <c r="T1887" s="1" t="str">
        <f t="shared" si="1201"/>
        <v>False</v>
      </c>
      <c r="U1887" s="1" t="str">
        <f t="shared" si="1202"/>
        <v>True</v>
      </c>
      <c r="V1887" s="1" t="str">
        <f>"U0023194"</f>
        <v>U0023194</v>
      </c>
      <c r="W1887" s="1">
        <v>1</v>
      </c>
      <c r="Y1887" s="1">
        <v>0</v>
      </c>
      <c r="Z1887" s="1">
        <v>0</v>
      </c>
      <c r="AB1887" s="1" t="str">
        <f t="shared" si="1187"/>
        <v>SMU</v>
      </c>
      <c r="AI1887" s="1" t="str">
        <f t="shared" si="1213"/>
        <v>106</v>
      </c>
      <c r="AJ1887" s="1" t="str">
        <f t="shared" si="1218"/>
        <v>WOMAN</v>
      </c>
      <c r="AK1887" s="1" t="str">
        <f t="shared" si="1203"/>
        <v>PA</v>
      </c>
      <c r="AP1887" s="1" t="str">
        <f t="shared" si="1204"/>
        <v>False</v>
      </c>
      <c r="AR1887" s="1" t="str">
        <f t="shared" si="1219"/>
        <v>GALAD</v>
      </c>
      <c r="AY1887" s="1" t="str">
        <f t="shared" si="1205"/>
        <v>PF</v>
      </c>
      <c r="AZ1887" s="1">
        <v>0</v>
      </c>
      <c r="BA1887" s="1">
        <v>0</v>
      </c>
      <c r="BB1887" s="1">
        <v>0</v>
      </c>
      <c r="BC1887" s="1">
        <v>0</v>
      </c>
      <c r="BD1887" s="1">
        <v>0</v>
      </c>
      <c r="BE1887" s="1" t="str">
        <f t="shared" si="1220"/>
        <v>D GOMMA D.H.TWILL CANVAS+SINT.</v>
      </c>
      <c r="BF1887" s="1" t="str">
        <f t="shared" si="1206"/>
        <v>Bonis SpA</v>
      </c>
    </row>
    <row r="1888" spans="2:58" x14ac:dyDescent="0.25">
      <c r="B1888" s="1">
        <v>2554</v>
      </c>
      <c r="C1888" s="1" t="str">
        <f t="shared" si="1215"/>
        <v>GALAD4184S7/CY1</v>
      </c>
      <c r="E1888" s="1" t="str">
        <f>"37"</f>
        <v>37</v>
      </c>
      <c r="F1888" s="1" t="str">
        <f t="shared" si="1195"/>
        <v>BONIS SPA</v>
      </c>
      <c r="G1888" s="1" t="str">
        <f t="shared" si="1183"/>
        <v>STOCK SCAFFALE MP</v>
      </c>
      <c r="H1888" s="1" t="str">
        <f t="shared" si="1216"/>
        <v>RED</v>
      </c>
      <c r="K1888" s="1">
        <v>1</v>
      </c>
      <c r="L1888" s="1" t="str">
        <f t="shared" si="1196"/>
        <v>01</v>
      </c>
      <c r="M1888" s="1" t="str">
        <f t="shared" si="1186"/>
        <v>409</v>
      </c>
      <c r="N1888" s="1" t="str">
        <f t="shared" si="1217"/>
        <v>012</v>
      </c>
      <c r="O1888" s="1" t="str">
        <f t="shared" si="1197"/>
        <v>00</v>
      </c>
      <c r="P1888" s="1" t="str">
        <f t="shared" si="1198"/>
        <v>S</v>
      </c>
      <c r="Q1888" s="1" t="str">
        <f t="shared" si="1199"/>
        <v>P</v>
      </c>
      <c r="R1888" s="1" t="str">
        <f t="shared" si="1200"/>
        <v>01</v>
      </c>
      <c r="S1888" s="1" t="str">
        <f t="shared" si="1184"/>
        <v>04</v>
      </c>
      <c r="T1888" s="1" t="str">
        <f t="shared" si="1201"/>
        <v>False</v>
      </c>
      <c r="U1888" s="1" t="str">
        <f t="shared" si="1202"/>
        <v>True</v>
      </c>
      <c r="V1888" s="1" t="str">
        <f>"U0023758"</f>
        <v>U0023758</v>
      </c>
      <c r="W1888" s="1">
        <v>1</v>
      </c>
      <c r="Y1888" s="1">
        <v>0</v>
      </c>
      <c r="Z1888" s="1">
        <v>0</v>
      </c>
      <c r="AB1888" s="1" t="str">
        <f t="shared" si="1187"/>
        <v>SMU</v>
      </c>
      <c r="AI1888" s="1" t="str">
        <f t="shared" si="1213"/>
        <v>106</v>
      </c>
      <c r="AJ1888" s="1" t="str">
        <f t="shared" si="1218"/>
        <v>WOMAN</v>
      </c>
      <c r="AK1888" s="1" t="str">
        <f t="shared" si="1203"/>
        <v>PA</v>
      </c>
      <c r="AP1888" s="1" t="str">
        <f t="shared" si="1204"/>
        <v>False</v>
      </c>
      <c r="AR1888" s="1" t="str">
        <f t="shared" si="1219"/>
        <v>GALAD</v>
      </c>
      <c r="AY1888" s="1" t="str">
        <f t="shared" si="1205"/>
        <v>PF</v>
      </c>
      <c r="AZ1888" s="1">
        <v>0</v>
      </c>
      <c r="BA1888" s="1">
        <v>0</v>
      </c>
      <c r="BB1888" s="1">
        <v>0</v>
      </c>
      <c r="BC1888" s="1">
        <v>0</v>
      </c>
      <c r="BD1888" s="1">
        <v>0</v>
      </c>
      <c r="BE1888" s="1" t="str">
        <f t="shared" si="1220"/>
        <v>D GOMMA D.H.TWILL CANVAS+SINT.</v>
      </c>
      <c r="BF1888" s="1" t="str">
        <f t="shared" si="1206"/>
        <v>Bonis SpA</v>
      </c>
    </row>
    <row r="1889" spans="2:58" x14ac:dyDescent="0.25">
      <c r="B1889" s="1">
        <v>2554</v>
      </c>
      <c r="C1889" s="1" t="str">
        <f t="shared" si="1215"/>
        <v>GALAD4184S7/CY1</v>
      </c>
      <c r="E1889" s="1" t="str">
        <f>"38"</f>
        <v>38</v>
      </c>
      <c r="F1889" s="1" t="str">
        <f t="shared" si="1195"/>
        <v>BONIS SPA</v>
      </c>
      <c r="G1889" s="1" t="str">
        <f t="shared" si="1183"/>
        <v>STOCK SCAFFALE MP</v>
      </c>
      <c r="H1889" s="1" t="str">
        <f t="shared" si="1216"/>
        <v>RED</v>
      </c>
      <c r="K1889" s="1">
        <v>1</v>
      </c>
      <c r="L1889" s="1" t="str">
        <f t="shared" si="1196"/>
        <v>01</v>
      </c>
      <c r="M1889" s="1" t="str">
        <f t="shared" si="1186"/>
        <v>409</v>
      </c>
      <c r="N1889" s="1" t="str">
        <f t="shared" si="1217"/>
        <v>012</v>
      </c>
      <c r="O1889" s="1" t="str">
        <f t="shared" si="1197"/>
        <v>00</v>
      </c>
      <c r="P1889" s="1" t="str">
        <f t="shared" si="1198"/>
        <v>S</v>
      </c>
      <c r="Q1889" s="1" t="str">
        <f t="shared" si="1199"/>
        <v>P</v>
      </c>
      <c r="R1889" s="1" t="str">
        <f t="shared" si="1200"/>
        <v>01</v>
      </c>
      <c r="S1889" s="1" t="str">
        <f t="shared" si="1184"/>
        <v>04</v>
      </c>
      <c r="T1889" s="1" t="str">
        <f t="shared" si="1201"/>
        <v>False</v>
      </c>
      <c r="U1889" s="1" t="str">
        <f t="shared" si="1202"/>
        <v>True</v>
      </c>
      <c r="V1889" s="1" t="str">
        <f>"U0027750"</f>
        <v>U0027750</v>
      </c>
      <c r="W1889" s="1">
        <v>1</v>
      </c>
      <c r="Y1889" s="1">
        <v>0</v>
      </c>
      <c r="Z1889" s="1">
        <v>0</v>
      </c>
      <c r="AB1889" s="1" t="str">
        <f t="shared" si="1187"/>
        <v>SMU</v>
      </c>
      <c r="AI1889" s="1" t="str">
        <f t="shared" si="1213"/>
        <v>106</v>
      </c>
      <c r="AJ1889" s="1" t="str">
        <f t="shared" si="1218"/>
        <v>WOMAN</v>
      </c>
      <c r="AK1889" s="1" t="str">
        <f t="shared" si="1203"/>
        <v>PA</v>
      </c>
      <c r="AP1889" s="1" t="str">
        <f t="shared" si="1204"/>
        <v>False</v>
      </c>
      <c r="AR1889" s="1" t="str">
        <f t="shared" si="1219"/>
        <v>GALAD</v>
      </c>
      <c r="AY1889" s="1" t="str">
        <f t="shared" si="1205"/>
        <v>PF</v>
      </c>
      <c r="AZ1889" s="1">
        <v>0</v>
      </c>
      <c r="BA1889" s="1">
        <v>0</v>
      </c>
      <c r="BB1889" s="1">
        <v>0</v>
      </c>
      <c r="BC1889" s="1">
        <v>0</v>
      </c>
      <c r="BD1889" s="1">
        <v>0</v>
      </c>
      <c r="BE1889" s="1" t="str">
        <f t="shared" si="1220"/>
        <v>D GOMMA D.H.TWILL CANVAS+SINT.</v>
      </c>
      <c r="BF1889" s="1" t="str">
        <f t="shared" si="1206"/>
        <v>Bonis SpA</v>
      </c>
    </row>
    <row r="1890" spans="2:58" x14ac:dyDescent="0.25">
      <c r="B1890" s="1">
        <v>2554</v>
      </c>
      <c r="C1890" s="1" t="str">
        <f t="shared" si="1215"/>
        <v>GALAD4184S7/CY1</v>
      </c>
      <c r="E1890" s="1" t="str">
        <f>"38"</f>
        <v>38</v>
      </c>
      <c r="F1890" s="1" t="str">
        <f t="shared" si="1195"/>
        <v>BONIS SPA</v>
      </c>
      <c r="G1890" s="1" t="str">
        <f t="shared" si="1183"/>
        <v>STOCK SCAFFALE MP</v>
      </c>
      <c r="H1890" s="1" t="str">
        <f t="shared" si="1216"/>
        <v>RED</v>
      </c>
      <c r="K1890" s="1">
        <v>6</v>
      </c>
      <c r="L1890" s="1" t="str">
        <f t="shared" si="1196"/>
        <v>01</v>
      </c>
      <c r="M1890" s="1" t="str">
        <f t="shared" si="1186"/>
        <v>409</v>
      </c>
      <c r="N1890" s="1" t="str">
        <f t="shared" si="1217"/>
        <v>012</v>
      </c>
      <c r="O1890" s="1" t="str">
        <f t="shared" si="1197"/>
        <v>00</v>
      </c>
      <c r="P1890" s="1" t="str">
        <f t="shared" si="1198"/>
        <v>S</v>
      </c>
      <c r="Q1890" s="1" t="str">
        <f t="shared" si="1199"/>
        <v>P</v>
      </c>
      <c r="R1890" s="1" t="str">
        <f t="shared" si="1200"/>
        <v>01</v>
      </c>
      <c r="S1890" s="1" t="str">
        <f t="shared" si="1184"/>
        <v>04</v>
      </c>
      <c r="T1890" s="1" t="str">
        <f t="shared" si="1201"/>
        <v>False</v>
      </c>
      <c r="U1890" s="1" t="str">
        <f t="shared" si="1202"/>
        <v>True</v>
      </c>
      <c r="V1890" s="1" t="str">
        <f>"U0028099"</f>
        <v>U0028099</v>
      </c>
      <c r="W1890" s="1">
        <v>1</v>
      </c>
      <c r="Y1890" s="1">
        <v>0</v>
      </c>
      <c r="Z1890" s="1">
        <v>0</v>
      </c>
      <c r="AB1890" s="1" t="str">
        <f t="shared" si="1187"/>
        <v>SMU</v>
      </c>
      <c r="AI1890" s="1" t="str">
        <f>"F11"</f>
        <v>F11</v>
      </c>
      <c r="AJ1890" s="1" t="str">
        <f t="shared" si="1218"/>
        <v>WOMAN</v>
      </c>
      <c r="AK1890" s="1" t="str">
        <f t="shared" si="1203"/>
        <v>PA</v>
      </c>
      <c r="AP1890" s="1" t="str">
        <f t="shared" si="1204"/>
        <v>False</v>
      </c>
      <c r="AR1890" s="1" t="str">
        <f t="shared" si="1219"/>
        <v>GALAD</v>
      </c>
      <c r="AY1890" s="1" t="str">
        <f t="shared" si="1205"/>
        <v>PF</v>
      </c>
      <c r="AZ1890" s="1">
        <v>0</v>
      </c>
      <c r="BA1890" s="1">
        <v>0</v>
      </c>
      <c r="BB1890" s="1">
        <v>0</v>
      </c>
      <c r="BC1890" s="1">
        <v>0</v>
      </c>
      <c r="BD1890" s="1">
        <v>0</v>
      </c>
      <c r="BE1890" s="1" t="str">
        <f t="shared" si="1220"/>
        <v>D GOMMA D.H.TWILL CANVAS+SINT.</v>
      </c>
      <c r="BF1890" s="1" t="str">
        <f t="shared" si="1206"/>
        <v>Bonis SpA</v>
      </c>
    </row>
    <row r="1891" spans="2:58" x14ac:dyDescent="0.25">
      <c r="B1891" s="1">
        <v>2554</v>
      </c>
      <c r="C1891" s="1" t="str">
        <f t="shared" si="1215"/>
        <v>GALAD4184S7/CY1</v>
      </c>
      <c r="E1891" s="1" t="str">
        <f>"39"</f>
        <v>39</v>
      </c>
      <c r="F1891" s="1" t="str">
        <f t="shared" si="1195"/>
        <v>BONIS SPA</v>
      </c>
      <c r="G1891" s="1" t="str">
        <f t="shared" si="1183"/>
        <v>STOCK SCAFFALE MP</v>
      </c>
      <c r="H1891" s="1" t="str">
        <f t="shared" si="1216"/>
        <v>RED</v>
      </c>
      <c r="K1891" s="1">
        <v>5</v>
      </c>
      <c r="L1891" s="1" t="str">
        <f t="shared" si="1196"/>
        <v>01</v>
      </c>
      <c r="M1891" s="1" t="str">
        <f t="shared" si="1186"/>
        <v>409</v>
      </c>
      <c r="N1891" s="1" t="str">
        <f t="shared" si="1217"/>
        <v>012</v>
      </c>
      <c r="O1891" s="1" t="str">
        <f t="shared" si="1197"/>
        <v>00</v>
      </c>
      <c r="P1891" s="1" t="str">
        <f t="shared" si="1198"/>
        <v>S</v>
      </c>
      <c r="Q1891" s="1" t="str">
        <f t="shared" si="1199"/>
        <v>P</v>
      </c>
      <c r="R1891" s="1" t="str">
        <f t="shared" si="1200"/>
        <v>01</v>
      </c>
      <c r="S1891" s="1" t="str">
        <f t="shared" si="1184"/>
        <v>04</v>
      </c>
      <c r="T1891" s="1" t="str">
        <f t="shared" si="1201"/>
        <v>False</v>
      </c>
      <c r="U1891" s="1" t="str">
        <f t="shared" si="1202"/>
        <v>True</v>
      </c>
      <c r="V1891" s="1" t="str">
        <f>"U0028099"</f>
        <v>U0028099</v>
      </c>
      <c r="W1891" s="1">
        <v>1</v>
      </c>
      <c r="Y1891" s="1">
        <v>0</v>
      </c>
      <c r="Z1891" s="1">
        <v>0</v>
      </c>
      <c r="AB1891" s="1" t="str">
        <f t="shared" si="1187"/>
        <v>SMU</v>
      </c>
      <c r="AI1891" s="1" t="str">
        <f>"F11"</f>
        <v>F11</v>
      </c>
      <c r="AJ1891" s="1" t="str">
        <f t="shared" si="1218"/>
        <v>WOMAN</v>
      </c>
      <c r="AK1891" s="1" t="str">
        <f t="shared" si="1203"/>
        <v>PA</v>
      </c>
      <c r="AP1891" s="1" t="str">
        <f t="shared" si="1204"/>
        <v>False</v>
      </c>
      <c r="AR1891" s="1" t="str">
        <f t="shared" si="1219"/>
        <v>GALAD</v>
      </c>
      <c r="AY1891" s="1" t="str">
        <f t="shared" si="1205"/>
        <v>PF</v>
      </c>
      <c r="AZ1891" s="1">
        <v>0</v>
      </c>
      <c r="BA1891" s="1">
        <v>0</v>
      </c>
      <c r="BB1891" s="1">
        <v>0</v>
      </c>
      <c r="BC1891" s="1">
        <v>0</v>
      </c>
      <c r="BD1891" s="1">
        <v>0</v>
      </c>
      <c r="BE1891" s="1" t="str">
        <f t="shared" si="1220"/>
        <v>D GOMMA D.H.TWILL CANVAS+SINT.</v>
      </c>
      <c r="BF1891" s="1" t="str">
        <f t="shared" si="1206"/>
        <v>Bonis SpA</v>
      </c>
    </row>
    <row r="1892" spans="2:58" x14ac:dyDescent="0.25">
      <c r="B1892" s="1">
        <v>2554</v>
      </c>
      <c r="C1892" s="1" t="str">
        <f t="shared" si="1215"/>
        <v>GALAD4184S7/CY1</v>
      </c>
      <c r="E1892" s="1" t="str">
        <f>"38"</f>
        <v>38</v>
      </c>
      <c r="F1892" s="1" t="str">
        <f t="shared" si="1195"/>
        <v>BONIS SPA</v>
      </c>
      <c r="G1892" s="1" t="str">
        <f t="shared" si="1183"/>
        <v>STOCK SCAFFALE MP</v>
      </c>
      <c r="H1892" s="1" t="str">
        <f t="shared" ref="H1892:H1898" si="1221">"WHI"</f>
        <v>WHI</v>
      </c>
      <c r="K1892" s="1">
        <v>8</v>
      </c>
      <c r="L1892" s="1" t="str">
        <f t="shared" si="1196"/>
        <v>01</v>
      </c>
      <c r="M1892" s="1" t="str">
        <f t="shared" si="1186"/>
        <v>409</v>
      </c>
      <c r="N1892" s="1" t="str">
        <f t="shared" si="1217"/>
        <v>012</v>
      </c>
      <c r="O1892" s="1" t="str">
        <f t="shared" si="1197"/>
        <v>00</v>
      </c>
      <c r="P1892" s="1" t="str">
        <f t="shared" si="1198"/>
        <v>S</v>
      </c>
      <c r="Q1892" s="1" t="str">
        <f t="shared" si="1199"/>
        <v>P</v>
      </c>
      <c r="R1892" s="1" t="str">
        <f t="shared" si="1200"/>
        <v>01</v>
      </c>
      <c r="S1892" s="1" t="str">
        <f t="shared" si="1184"/>
        <v>04</v>
      </c>
      <c r="T1892" s="1" t="str">
        <f t="shared" si="1201"/>
        <v>False</v>
      </c>
      <c r="U1892" s="1" t="str">
        <f t="shared" si="1202"/>
        <v>True</v>
      </c>
      <c r="V1892" s="1" t="str">
        <f>"U0023197"</f>
        <v>U0023197</v>
      </c>
      <c r="W1892" s="1">
        <v>1</v>
      </c>
      <c r="Y1892" s="1">
        <v>0</v>
      </c>
      <c r="Z1892" s="1">
        <v>0</v>
      </c>
      <c r="AB1892" s="1" t="str">
        <f t="shared" si="1187"/>
        <v>SMU</v>
      </c>
      <c r="AI1892" s="1" t="str">
        <f>"F11"</f>
        <v>F11</v>
      </c>
      <c r="AJ1892" s="1" t="str">
        <f t="shared" si="1218"/>
        <v>WOMAN</v>
      </c>
      <c r="AK1892" s="1" t="str">
        <f t="shared" si="1203"/>
        <v>PA</v>
      </c>
      <c r="AP1892" s="1" t="str">
        <f t="shared" si="1204"/>
        <v>False</v>
      </c>
      <c r="AR1892" s="1" t="str">
        <f t="shared" si="1219"/>
        <v>GALAD</v>
      </c>
      <c r="AY1892" s="1" t="str">
        <f t="shared" si="1205"/>
        <v>PF</v>
      </c>
      <c r="AZ1892" s="1">
        <v>0</v>
      </c>
      <c r="BA1892" s="1">
        <v>0</v>
      </c>
      <c r="BB1892" s="1">
        <v>0</v>
      </c>
      <c r="BC1892" s="1">
        <v>0</v>
      </c>
      <c r="BD1892" s="1">
        <v>0</v>
      </c>
      <c r="BE1892" s="1" t="str">
        <f t="shared" si="1220"/>
        <v>D GOMMA D.H.TWILL CANVAS+SINT.</v>
      </c>
      <c r="BF1892" s="1" t="str">
        <f t="shared" si="1206"/>
        <v>Bonis SpA</v>
      </c>
    </row>
    <row r="1893" spans="2:58" x14ac:dyDescent="0.25">
      <c r="B1893" s="1">
        <v>2554</v>
      </c>
      <c r="C1893" s="1" t="str">
        <f t="shared" si="1215"/>
        <v>GALAD4184S7/CY1</v>
      </c>
      <c r="E1893" s="1" t="str">
        <f>"41"</f>
        <v>41</v>
      </c>
      <c r="F1893" s="1" t="str">
        <f t="shared" si="1195"/>
        <v>BONIS SPA</v>
      </c>
      <c r="G1893" s="1" t="str">
        <f t="shared" si="1183"/>
        <v>STOCK SCAFFALE MP</v>
      </c>
      <c r="H1893" s="1" t="str">
        <f t="shared" si="1221"/>
        <v>WHI</v>
      </c>
      <c r="K1893" s="1">
        <v>1</v>
      </c>
      <c r="L1893" s="1" t="str">
        <f t="shared" si="1196"/>
        <v>01</v>
      </c>
      <c r="M1893" s="1" t="str">
        <f t="shared" si="1186"/>
        <v>409</v>
      </c>
      <c r="N1893" s="1" t="str">
        <f t="shared" si="1217"/>
        <v>012</v>
      </c>
      <c r="O1893" s="1" t="str">
        <f t="shared" si="1197"/>
        <v>00</v>
      </c>
      <c r="P1893" s="1" t="str">
        <f t="shared" si="1198"/>
        <v>S</v>
      </c>
      <c r="Q1893" s="1" t="str">
        <f t="shared" si="1199"/>
        <v>P</v>
      </c>
      <c r="R1893" s="1" t="str">
        <f t="shared" si="1200"/>
        <v>01</v>
      </c>
      <c r="S1893" s="1" t="str">
        <f t="shared" si="1184"/>
        <v>04</v>
      </c>
      <c r="T1893" s="1" t="str">
        <f t="shared" si="1201"/>
        <v>False</v>
      </c>
      <c r="U1893" s="1" t="str">
        <f t="shared" si="1202"/>
        <v>True</v>
      </c>
      <c r="V1893" s="1" t="str">
        <f>"U0028076"</f>
        <v>U0028076</v>
      </c>
      <c r="W1893" s="1">
        <v>1</v>
      </c>
      <c r="Y1893" s="1">
        <v>0</v>
      </c>
      <c r="Z1893" s="1">
        <v>0</v>
      </c>
      <c r="AB1893" s="1" t="str">
        <f t="shared" si="1187"/>
        <v>SMU</v>
      </c>
      <c r="AI1893" s="1" t="str">
        <f t="shared" ref="AI1893:AI1898" si="1222">"106"</f>
        <v>106</v>
      </c>
      <c r="AJ1893" s="1" t="str">
        <f t="shared" si="1218"/>
        <v>WOMAN</v>
      </c>
      <c r="AK1893" s="1" t="str">
        <f t="shared" si="1203"/>
        <v>PA</v>
      </c>
      <c r="AP1893" s="1" t="str">
        <f t="shared" si="1204"/>
        <v>False</v>
      </c>
      <c r="AR1893" s="1" t="str">
        <f t="shared" si="1219"/>
        <v>GALAD</v>
      </c>
      <c r="AY1893" s="1" t="str">
        <f t="shared" si="1205"/>
        <v>PF</v>
      </c>
      <c r="AZ1893" s="1">
        <v>0</v>
      </c>
      <c r="BA1893" s="1">
        <v>0</v>
      </c>
      <c r="BB1893" s="1">
        <v>0</v>
      </c>
      <c r="BC1893" s="1">
        <v>0</v>
      </c>
      <c r="BD1893" s="1">
        <v>0</v>
      </c>
      <c r="BE1893" s="1" t="str">
        <f t="shared" si="1220"/>
        <v>D GOMMA D.H.TWILL CANVAS+SINT.</v>
      </c>
      <c r="BF1893" s="1" t="str">
        <f t="shared" si="1206"/>
        <v>Bonis SpA</v>
      </c>
    </row>
    <row r="1894" spans="2:58" x14ac:dyDescent="0.25">
      <c r="B1894" s="1">
        <v>2554</v>
      </c>
      <c r="C1894" s="1" t="str">
        <f t="shared" si="1215"/>
        <v>GALAD4184S7/CY1</v>
      </c>
      <c r="E1894" s="1" t="str">
        <f>"41"</f>
        <v>41</v>
      </c>
      <c r="F1894" s="1" t="str">
        <f t="shared" si="1195"/>
        <v>BONIS SPA</v>
      </c>
      <c r="G1894" s="1" t="str">
        <f t="shared" si="1183"/>
        <v>STOCK SCAFFALE MP</v>
      </c>
      <c r="H1894" s="1" t="str">
        <f t="shared" si="1221"/>
        <v>WHI</v>
      </c>
      <c r="K1894" s="1">
        <v>2</v>
      </c>
      <c r="L1894" s="1" t="str">
        <f t="shared" si="1196"/>
        <v>01</v>
      </c>
      <c r="M1894" s="1" t="str">
        <f t="shared" si="1186"/>
        <v>409</v>
      </c>
      <c r="N1894" s="1" t="str">
        <f t="shared" si="1217"/>
        <v>012</v>
      </c>
      <c r="O1894" s="1" t="str">
        <f t="shared" si="1197"/>
        <v>00</v>
      </c>
      <c r="P1894" s="1" t="str">
        <f t="shared" si="1198"/>
        <v>S</v>
      </c>
      <c r="Q1894" s="1" t="str">
        <f t="shared" si="1199"/>
        <v>P</v>
      </c>
      <c r="R1894" s="1" t="str">
        <f t="shared" si="1200"/>
        <v>01</v>
      </c>
      <c r="S1894" s="1" t="str">
        <f t="shared" si="1184"/>
        <v>04</v>
      </c>
      <c r="T1894" s="1" t="str">
        <f t="shared" si="1201"/>
        <v>False</v>
      </c>
      <c r="U1894" s="1" t="str">
        <f t="shared" si="1202"/>
        <v>True</v>
      </c>
      <c r="V1894" s="1" t="str">
        <f>"U0028100"</f>
        <v>U0028100</v>
      </c>
      <c r="W1894" s="1">
        <v>1</v>
      </c>
      <c r="Y1894" s="1">
        <v>0</v>
      </c>
      <c r="Z1894" s="1">
        <v>0</v>
      </c>
      <c r="AB1894" s="1" t="str">
        <f t="shared" si="1187"/>
        <v>SMU</v>
      </c>
      <c r="AI1894" s="1" t="str">
        <f t="shared" si="1222"/>
        <v>106</v>
      </c>
      <c r="AJ1894" s="1" t="str">
        <f t="shared" si="1218"/>
        <v>WOMAN</v>
      </c>
      <c r="AK1894" s="1" t="str">
        <f t="shared" si="1203"/>
        <v>PA</v>
      </c>
      <c r="AP1894" s="1" t="str">
        <f t="shared" si="1204"/>
        <v>False</v>
      </c>
      <c r="AR1894" s="1" t="str">
        <f t="shared" si="1219"/>
        <v>GALAD</v>
      </c>
      <c r="AY1894" s="1" t="str">
        <f t="shared" si="1205"/>
        <v>PF</v>
      </c>
      <c r="AZ1894" s="1">
        <v>0</v>
      </c>
      <c r="BA1894" s="1">
        <v>0</v>
      </c>
      <c r="BB1894" s="1">
        <v>0</v>
      </c>
      <c r="BC1894" s="1">
        <v>0</v>
      </c>
      <c r="BD1894" s="1">
        <v>0</v>
      </c>
      <c r="BE1894" s="1" t="str">
        <f t="shared" si="1220"/>
        <v>D GOMMA D.H.TWILL CANVAS+SINT.</v>
      </c>
      <c r="BF1894" s="1" t="str">
        <f t="shared" si="1206"/>
        <v>Bonis SpA</v>
      </c>
    </row>
    <row r="1895" spans="2:58" x14ac:dyDescent="0.25">
      <c r="B1895" s="1">
        <v>2554</v>
      </c>
      <c r="C1895" s="1" t="str">
        <f t="shared" si="1215"/>
        <v>GALAD4184S7/CY1</v>
      </c>
      <c r="E1895" s="1" t="str">
        <f>"41"</f>
        <v>41</v>
      </c>
      <c r="F1895" s="1" t="str">
        <f t="shared" si="1195"/>
        <v>BONIS SPA</v>
      </c>
      <c r="G1895" s="1" t="str">
        <f t="shared" si="1183"/>
        <v>STOCK SCAFFALE MP</v>
      </c>
      <c r="H1895" s="1" t="str">
        <f t="shared" si="1221"/>
        <v>WHI</v>
      </c>
      <c r="K1895" s="1">
        <v>1</v>
      </c>
      <c r="L1895" s="1" t="str">
        <f t="shared" si="1196"/>
        <v>01</v>
      </c>
      <c r="M1895" s="1" t="str">
        <f t="shared" si="1186"/>
        <v>409</v>
      </c>
      <c r="N1895" s="1" t="str">
        <f t="shared" si="1217"/>
        <v>012</v>
      </c>
      <c r="O1895" s="1" t="str">
        <f t="shared" si="1197"/>
        <v>00</v>
      </c>
      <c r="P1895" s="1" t="str">
        <f t="shared" si="1198"/>
        <v>S</v>
      </c>
      <c r="Q1895" s="1" t="str">
        <f t="shared" si="1199"/>
        <v>P</v>
      </c>
      <c r="R1895" s="1" t="str">
        <f t="shared" si="1200"/>
        <v>01</v>
      </c>
      <c r="S1895" s="1" t="str">
        <f t="shared" si="1184"/>
        <v>04</v>
      </c>
      <c r="T1895" s="1" t="str">
        <f t="shared" si="1201"/>
        <v>False</v>
      </c>
      <c r="U1895" s="1" t="str">
        <f t="shared" si="1202"/>
        <v>True</v>
      </c>
      <c r="V1895" s="1" t="str">
        <f>"U0028099"</f>
        <v>U0028099</v>
      </c>
      <c r="W1895" s="1">
        <v>1</v>
      </c>
      <c r="Y1895" s="1">
        <v>0</v>
      </c>
      <c r="Z1895" s="1">
        <v>0</v>
      </c>
      <c r="AB1895" s="1" t="str">
        <f t="shared" si="1187"/>
        <v>SMU</v>
      </c>
      <c r="AI1895" s="1" t="str">
        <f t="shared" si="1222"/>
        <v>106</v>
      </c>
      <c r="AJ1895" s="1" t="str">
        <f t="shared" si="1218"/>
        <v>WOMAN</v>
      </c>
      <c r="AK1895" s="1" t="str">
        <f t="shared" si="1203"/>
        <v>PA</v>
      </c>
      <c r="AP1895" s="1" t="str">
        <f t="shared" si="1204"/>
        <v>False</v>
      </c>
      <c r="AR1895" s="1" t="str">
        <f t="shared" si="1219"/>
        <v>GALAD</v>
      </c>
      <c r="AY1895" s="1" t="str">
        <f t="shared" si="1205"/>
        <v>PF</v>
      </c>
      <c r="AZ1895" s="1">
        <v>0</v>
      </c>
      <c r="BA1895" s="1">
        <v>0</v>
      </c>
      <c r="BB1895" s="1">
        <v>0</v>
      </c>
      <c r="BC1895" s="1">
        <v>0</v>
      </c>
      <c r="BD1895" s="1">
        <v>0</v>
      </c>
      <c r="BE1895" s="1" t="str">
        <f t="shared" si="1220"/>
        <v>D GOMMA D.H.TWILL CANVAS+SINT.</v>
      </c>
      <c r="BF1895" s="1" t="str">
        <f t="shared" si="1206"/>
        <v>Bonis SpA</v>
      </c>
    </row>
    <row r="1896" spans="2:58" x14ac:dyDescent="0.25">
      <c r="B1896" s="1">
        <v>2554</v>
      </c>
      <c r="C1896" s="1" t="str">
        <f t="shared" si="1215"/>
        <v>GALAD4184S7/CY1</v>
      </c>
      <c r="E1896" s="1" t="str">
        <f>"41"</f>
        <v>41</v>
      </c>
      <c r="F1896" s="1" t="str">
        <f t="shared" si="1195"/>
        <v>BONIS SPA</v>
      </c>
      <c r="G1896" s="1" t="str">
        <f t="shared" si="1183"/>
        <v>STOCK SCAFFALE MP</v>
      </c>
      <c r="H1896" s="1" t="str">
        <f t="shared" si="1221"/>
        <v>WHI</v>
      </c>
      <c r="K1896" s="1">
        <v>2</v>
      </c>
      <c r="L1896" s="1" t="str">
        <f t="shared" si="1196"/>
        <v>01</v>
      </c>
      <c r="M1896" s="1" t="str">
        <f t="shared" si="1186"/>
        <v>409</v>
      </c>
      <c r="N1896" s="1" t="str">
        <f t="shared" si="1217"/>
        <v>012</v>
      </c>
      <c r="O1896" s="1" t="str">
        <f t="shared" si="1197"/>
        <v>00</v>
      </c>
      <c r="P1896" s="1" t="str">
        <f t="shared" si="1198"/>
        <v>S</v>
      </c>
      <c r="Q1896" s="1" t="str">
        <f t="shared" si="1199"/>
        <v>P</v>
      </c>
      <c r="R1896" s="1" t="str">
        <f t="shared" si="1200"/>
        <v>01</v>
      </c>
      <c r="S1896" s="1" t="str">
        <f t="shared" si="1184"/>
        <v>04</v>
      </c>
      <c r="T1896" s="1" t="str">
        <f t="shared" si="1201"/>
        <v>False</v>
      </c>
      <c r="U1896" s="1" t="str">
        <f t="shared" si="1202"/>
        <v>True</v>
      </c>
      <c r="V1896" s="1" t="str">
        <f>"U0023197"</f>
        <v>U0023197</v>
      </c>
      <c r="W1896" s="1">
        <v>1</v>
      </c>
      <c r="Y1896" s="1">
        <v>0</v>
      </c>
      <c r="Z1896" s="1">
        <v>0</v>
      </c>
      <c r="AB1896" s="1" t="str">
        <f t="shared" si="1187"/>
        <v>SMU</v>
      </c>
      <c r="AI1896" s="1" t="str">
        <f t="shared" si="1222"/>
        <v>106</v>
      </c>
      <c r="AJ1896" s="1" t="str">
        <f t="shared" si="1218"/>
        <v>WOMAN</v>
      </c>
      <c r="AK1896" s="1" t="str">
        <f t="shared" si="1203"/>
        <v>PA</v>
      </c>
      <c r="AP1896" s="1" t="str">
        <f t="shared" si="1204"/>
        <v>False</v>
      </c>
      <c r="AR1896" s="1" t="str">
        <f t="shared" si="1219"/>
        <v>GALAD</v>
      </c>
      <c r="AY1896" s="1" t="str">
        <f t="shared" si="1205"/>
        <v>PF</v>
      </c>
      <c r="AZ1896" s="1">
        <v>0</v>
      </c>
      <c r="BA1896" s="1">
        <v>0</v>
      </c>
      <c r="BB1896" s="1">
        <v>0</v>
      </c>
      <c r="BC1896" s="1">
        <v>0</v>
      </c>
      <c r="BD1896" s="1">
        <v>0</v>
      </c>
      <c r="BE1896" s="1" t="str">
        <f t="shared" si="1220"/>
        <v>D GOMMA D.H.TWILL CANVAS+SINT.</v>
      </c>
      <c r="BF1896" s="1" t="str">
        <f t="shared" si="1206"/>
        <v>Bonis SpA</v>
      </c>
    </row>
    <row r="1897" spans="2:58" x14ac:dyDescent="0.25">
      <c r="B1897" s="1">
        <v>2554</v>
      </c>
      <c r="C1897" s="1" t="str">
        <f t="shared" si="1215"/>
        <v>GALAD4184S7/CY1</v>
      </c>
      <c r="E1897" s="1" t="str">
        <f>"40"</f>
        <v>40</v>
      </c>
      <c r="F1897" s="1" t="str">
        <f t="shared" si="1195"/>
        <v>BONIS SPA</v>
      </c>
      <c r="G1897" s="1" t="str">
        <f t="shared" si="1183"/>
        <v>STOCK SCAFFALE MP</v>
      </c>
      <c r="H1897" s="1" t="str">
        <f t="shared" si="1221"/>
        <v>WHI</v>
      </c>
      <c r="K1897" s="1">
        <v>1</v>
      </c>
      <c r="L1897" s="1" t="str">
        <f t="shared" si="1196"/>
        <v>01</v>
      </c>
      <c r="M1897" s="1" t="str">
        <f t="shared" si="1186"/>
        <v>409</v>
      </c>
      <c r="N1897" s="1" t="str">
        <f t="shared" si="1217"/>
        <v>012</v>
      </c>
      <c r="O1897" s="1" t="str">
        <f t="shared" si="1197"/>
        <v>00</v>
      </c>
      <c r="P1897" s="1" t="str">
        <f t="shared" si="1198"/>
        <v>S</v>
      </c>
      <c r="Q1897" s="1" t="str">
        <f t="shared" si="1199"/>
        <v>P</v>
      </c>
      <c r="R1897" s="1" t="str">
        <f t="shared" si="1200"/>
        <v>01</v>
      </c>
      <c r="S1897" s="1" t="str">
        <f t="shared" si="1184"/>
        <v>04</v>
      </c>
      <c r="T1897" s="1" t="str">
        <f t="shared" si="1201"/>
        <v>False</v>
      </c>
      <c r="U1897" s="1" t="str">
        <f t="shared" si="1202"/>
        <v>True</v>
      </c>
      <c r="V1897" s="1" t="str">
        <f>"U0023197"</f>
        <v>U0023197</v>
      </c>
      <c r="W1897" s="1">
        <v>1</v>
      </c>
      <c r="Y1897" s="1">
        <v>0</v>
      </c>
      <c r="Z1897" s="1">
        <v>0</v>
      </c>
      <c r="AB1897" s="1" t="str">
        <f t="shared" si="1187"/>
        <v>SMU</v>
      </c>
      <c r="AI1897" s="1" t="str">
        <f t="shared" si="1222"/>
        <v>106</v>
      </c>
      <c r="AJ1897" s="1" t="str">
        <f t="shared" si="1218"/>
        <v>WOMAN</v>
      </c>
      <c r="AK1897" s="1" t="str">
        <f t="shared" si="1203"/>
        <v>PA</v>
      </c>
      <c r="AP1897" s="1" t="str">
        <f t="shared" si="1204"/>
        <v>False</v>
      </c>
      <c r="AR1897" s="1" t="str">
        <f t="shared" si="1219"/>
        <v>GALAD</v>
      </c>
      <c r="AY1897" s="1" t="str">
        <f t="shared" si="1205"/>
        <v>PF</v>
      </c>
      <c r="AZ1897" s="1">
        <v>0</v>
      </c>
      <c r="BA1897" s="1">
        <v>0</v>
      </c>
      <c r="BB1897" s="1">
        <v>0</v>
      </c>
      <c r="BC1897" s="1">
        <v>0</v>
      </c>
      <c r="BD1897" s="1">
        <v>0</v>
      </c>
      <c r="BE1897" s="1" t="str">
        <f t="shared" si="1220"/>
        <v>D GOMMA D.H.TWILL CANVAS+SINT.</v>
      </c>
      <c r="BF1897" s="1" t="str">
        <f t="shared" si="1206"/>
        <v>Bonis SpA</v>
      </c>
    </row>
    <row r="1898" spans="2:58" x14ac:dyDescent="0.25">
      <c r="B1898" s="1">
        <v>2554</v>
      </c>
      <c r="C1898" s="1" t="str">
        <f t="shared" si="1215"/>
        <v>GALAD4184S7/CY1</v>
      </c>
      <c r="E1898" s="1" t="str">
        <f>"40"</f>
        <v>40</v>
      </c>
      <c r="F1898" s="1" t="str">
        <f t="shared" si="1195"/>
        <v>BONIS SPA</v>
      </c>
      <c r="G1898" s="1" t="str">
        <f t="shared" si="1183"/>
        <v>STOCK SCAFFALE MP</v>
      </c>
      <c r="H1898" s="1" t="str">
        <f t="shared" si="1221"/>
        <v>WHI</v>
      </c>
      <c r="K1898" s="1">
        <v>2</v>
      </c>
      <c r="L1898" s="1" t="str">
        <f t="shared" si="1196"/>
        <v>01</v>
      </c>
      <c r="M1898" s="1" t="str">
        <f t="shared" si="1186"/>
        <v>409</v>
      </c>
      <c r="N1898" s="1" t="str">
        <f t="shared" si="1217"/>
        <v>012</v>
      </c>
      <c r="O1898" s="1" t="str">
        <f t="shared" si="1197"/>
        <v>00</v>
      </c>
      <c r="P1898" s="1" t="str">
        <f t="shared" si="1198"/>
        <v>S</v>
      </c>
      <c r="Q1898" s="1" t="str">
        <f t="shared" si="1199"/>
        <v>P</v>
      </c>
      <c r="R1898" s="1" t="str">
        <f t="shared" si="1200"/>
        <v>01</v>
      </c>
      <c r="S1898" s="1" t="str">
        <f t="shared" si="1184"/>
        <v>04</v>
      </c>
      <c r="T1898" s="1" t="str">
        <f t="shared" si="1201"/>
        <v>False</v>
      </c>
      <c r="U1898" s="1" t="str">
        <f t="shared" si="1202"/>
        <v>True</v>
      </c>
      <c r="V1898" s="1" t="str">
        <f>"U0023757"</f>
        <v>U0023757</v>
      </c>
      <c r="W1898" s="1">
        <v>1</v>
      </c>
      <c r="Y1898" s="1">
        <v>0</v>
      </c>
      <c r="Z1898" s="1">
        <v>0</v>
      </c>
      <c r="AB1898" s="1" t="str">
        <f t="shared" si="1187"/>
        <v>SMU</v>
      </c>
      <c r="AI1898" s="1" t="str">
        <f t="shared" si="1222"/>
        <v>106</v>
      </c>
      <c r="AJ1898" s="1" t="str">
        <f t="shared" si="1218"/>
        <v>WOMAN</v>
      </c>
      <c r="AK1898" s="1" t="str">
        <f t="shared" si="1203"/>
        <v>PA</v>
      </c>
      <c r="AP1898" s="1" t="str">
        <f t="shared" si="1204"/>
        <v>False</v>
      </c>
      <c r="AR1898" s="1" t="str">
        <f t="shared" si="1219"/>
        <v>GALAD</v>
      </c>
      <c r="AY1898" s="1" t="str">
        <f t="shared" si="1205"/>
        <v>PF</v>
      </c>
      <c r="AZ1898" s="1">
        <v>0</v>
      </c>
      <c r="BA1898" s="1">
        <v>0</v>
      </c>
      <c r="BB1898" s="1">
        <v>0</v>
      </c>
      <c r="BC1898" s="1">
        <v>0</v>
      </c>
      <c r="BD1898" s="1">
        <v>0</v>
      </c>
      <c r="BE1898" s="1" t="str">
        <f t="shared" si="1220"/>
        <v>D GOMMA D.H.TWILL CANVAS+SINT.</v>
      </c>
      <c r="BF1898" s="1" t="str">
        <f t="shared" si="1206"/>
        <v>Bonis SpA</v>
      </c>
    </row>
    <row r="1899" spans="2:58" x14ac:dyDescent="0.25">
      <c r="B1899" s="1">
        <v>2554</v>
      </c>
      <c r="C1899" s="1" t="str">
        <f t="shared" si="1215"/>
        <v>GALAD4184S7/CY1</v>
      </c>
      <c r="E1899" s="1" t="str">
        <f>"36"</f>
        <v>36</v>
      </c>
      <c r="F1899" s="1" t="str">
        <f t="shared" si="1195"/>
        <v>BONIS SPA</v>
      </c>
      <c r="G1899" s="1" t="str">
        <f t="shared" si="1183"/>
        <v>STOCK SCAFFALE MP</v>
      </c>
      <c r="H1899" s="1" t="str">
        <f>"BLUE"</f>
        <v>BLUE</v>
      </c>
      <c r="K1899" s="1">
        <v>1</v>
      </c>
      <c r="L1899" s="1" t="str">
        <f t="shared" si="1196"/>
        <v>01</v>
      </c>
      <c r="M1899" s="1" t="str">
        <f t="shared" si="1186"/>
        <v>409</v>
      </c>
      <c r="N1899" s="1" t="str">
        <f t="shared" si="1217"/>
        <v>012</v>
      </c>
      <c r="O1899" s="1" t="str">
        <f t="shared" si="1197"/>
        <v>00</v>
      </c>
      <c r="P1899" s="1" t="str">
        <f t="shared" si="1198"/>
        <v>S</v>
      </c>
      <c r="Q1899" s="1" t="str">
        <f t="shared" si="1199"/>
        <v>P</v>
      </c>
      <c r="R1899" s="1" t="str">
        <f t="shared" si="1200"/>
        <v>01</v>
      </c>
      <c r="S1899" s="1" t="str">
        <f t="shared" si="1184"/>
        <v>04</v>
      </c>
      <c r="T1899" s="1" t="str">
        <f t="shared" si="1201"/>
        <v>False</v>
      </c>
      <c r="U1899" s="1" t="str">
        <f t="shared" si="1202"/>
        <v>True</v>
      </c>
      <c r="V1899" s="1" t="str">
        <f>"U0022674"</f>
        <v>U0022674</v>
      </c>
      <c r="W1899" s="1">
        <v>1</v>
      </c>
      <c r="Y1899" s="1">
        <v>0</v>
      </c>
      <c r="Z1899" s="1">
        <v>0</v>
      </c>
      <c r="AB1899" s="1" t="str">
        <f t="shared" si="1187"/>
        <v>SMU</v>
      </c>
      <c r="AI1899" s="1" t="str">
        <f t="shared" ref="AI1899:AI1906" si="1223">"F11"</f>
        <v>F11</v>
      </c>
      <c r="AJ1899" s="1" t="str">
        <f t="shared" si="1218"/>
        <v>WOMAN</v>
      </c>
      <c r="AK1899" s="1" t="str">
        <f t="shared" si="1203"/>
        <v>PA</v>
      </c>
      <c r="AP1899" s="1" t="str">
        <f t="shared" si="1204"/>
        <v>False</v>
      </c>
      <c r="AR1899" s="1" t="str">
        <f t="shared" si="1219"/>
        <v>GALAD</v>
      </c>
      <c r="AY1899" s="1" t="str">
        <f t="shared" si="1205"/>
        <v>PF</v>
      </c>
      <c r="AZ1899" s="1">
        <v>0</v>
      </c>
      <c r="BA1899" s="1">
        <v>0</v>
      </c>
      <c r="BB1899" s="1">
        <v>0</v>
      </c>
      <c r="BC1899" s="1">
        <v>0</v>
      </c>
      <c r="BD1899" s="1">
        <v>0</v>
      </c>
      <c r="BE1899" s="1" t="str">
        <f t="shared" si="1220"/>
        <v>D GOMMA D.H.TWILL CANVAS+SINT.</v>
      </c>
      <c r="BF1899" s="1" t="str">
        <f t="shared" si="1206"/>
        <v>Bonis SpA</v>
      </c>
    </row>
    <row r="1900" spans="2:58" x14ac:dyDescent="0.25">
      <c r="B1900" s="1">
        <v>2554</v>
      </c>
      <c r="C1900" s="1" t="str">
        <f t="shared" si="1215"/>
        <v>GALAD4184S7/CY1</v>
      </c>
      <c r="E1900" s="1" t="str">
        <f>"37"</f>
        <v>37</v>
      </c>
      <c r="F1900" s="1" t="str">
        <f t="shared" si="1195"/>
        <v>BONIS SPA</v>
      </c>
      <c r="G1900" s="1" t="str">
        <f t="shared" si="1183"/>
        <v>STOCK SCAFFALE MP</v>
      </c>
      <c r="H1900" s="1" t="str">
        <f>"BLUE"</f>
        <v>BLUE</v>
      </c>
      <c r="K1900" s="1">
        <v>2</v>
      </c>
      <c r="L1900" s="1" t="str">
        <f t="shared" si="1196"/>
        <v>01</v>
      </c>
      <c r="M1900" s="1" t="str">
        <f t="shared" si="1186"/>
        <v>409</v>
      </c>
      <c r="N1900" s="1" t="str">
        <f t="shared" si="1217"/>
        <v>012</v>
      </c>
      <c r="O1900" s="1" t="str">
        <f t="shared" si="1197"/>
        <v>00</v>
      </c>
      <c r="P1900" s="1" t="str">
        <f t="shared" si="1198"/>
        <v>S</v>
      </c>
      <c r="Q1900" s="1" t="str">
        <f t="shared" si="1199"/>
        <v>P</v>
      </c>
      <c r="R1900" s="1" t="str">
        <f t="shared" si="1200"/>
        <v>01</v>
      </c>
      <c r="S1900" s="1" t="str">
        <f t="shared" si="1184"/>
        <v>04</v>
      </c>
      <c r="T1900" s="1" t="str">
        <f t="shared" si="1201"/>
        <v>False</v>
      </c>
      <c r="U1900" s="1" t="str">
        <f t="shared" si="1202"/>
        <v>True</v>
      </c>
      <c r="V1900" s="1" t="str">
        <f>"U0022674"</f>
        <v>U0022674</v>
      </c>
      <c r="W1900" s="1">
        <v>1</v>
      </c>
      <c r="Y1900" s="1">
        <v>0</v>
      </c>
      <c r="Z1900" s="1">
        <v>0</v>
      </c>
      <c r="AB1900" s="1" t="str">
        <f t="shared" si="1187"/>
        <v>SMU</v>
      </c>
      <c r="AI1900" s="1" t="str">
        <f t="shared" si="1223"/>
        <v>F11</v>
      </c>
      <c r="AJ1900" s="1" t="str">
        <f t="shared" si="1218"/>
        <v>WOMAN</v>
      </c>
      <c r="AK1900" s="1" t="str">
        <f t="shared" si="1203"/>
        <v>PA</v>
      </c>
      <c r="AP1900" s="1" t="str">
        <f t="shared" si="1204"/>
        <v>False</v>
      </c>
      <c r="AR1900" s="1" t="str">
        <f t="shared" si="1219"/>
        <v>GALAD</v>
      </c>
      <c r="AY1900" s="1" t="str">
        <f t="shared" si="1205"/>
        <v>PF</v>
      </c>
      <c r="AZ1900" s="1">
        <v>0</v>
      </c>
      <c r="BA1900" s="1">
        <v>0</v>
      </c>
      <c r="BB1900" s="1">
        <v>0</v>
      </c>
      <c r="BC1900" s="1">
        <v>0</v>
      </c>
      <c r="BD1900" s="1">
        <v>0</v>
      </c>
      <c r="BE1900" s="1" t="str">
        <f t="shared" si="1220"/>
        <v>D GOMMA D.H.TWILL CANVAS+SINT.</v>
      </c>
      <c r="BF1900" s="1" t="str">
        <f t="shared" si="1206"/>
        <v>Bonis SpA</v>
      </c>
    </row>
    <row r="1901" spans="2:58" x14ac:dyDescent="0.25">
      <c r="B1901" s="1">
        <v>2554</v>
      </c>
      <c r="C1901" s="1" t="str">
        <f t="shared" si="1215"/>
        <v>GALAD4184S7/CY1</v>
      </c>
      <c r="E1901" s="1" t="str">
        <f>"38"</f>
        <v>38</v>
      </c>
      <c r="F1901" s="1" t="str">
        <f t="shared" si="1195"/>
        <v>BONIS SPA</v>
      </c>
      <c r="G1901" s="1" t="str">
        <f t="shared" si="1183"/>
        <v>STOCK SCAFFALE MP</v>
      </c>
      <c r="H1901" s="1" t="str">
        <f>"BLUE"</f>
        <v>BLUE</v>
      </c>
      <c r="K1901" s="1">
        <v>4</v>
      </c>
      <c r="L1901" s="1" t="str">
        <f t="shared" si="1196"/>
        <v>01</v>
      </c>
      <c r="M1901" s="1" t="str">
        <f t="shared" si="1186"/>
        <v>409</v>
      </c>
      <c r="N1901" s="1" t="str">
        <f t="shared" si="1217"/>
        <v>012</v>
      </c>
      <c r="O1901" s="1" t="str">
        <f t="shared" si="1197"/>
        <v>00</v>
      </c>
      <c r="P1901" s="1" t="str">
        <f t="shared" si="1198"/>
        <v>S</v>
      </c>
      <c r="Q1901" s="1" t="str">
        <f t="shared" si="1199"/>
        <v>P</v>
      </c>
      <c r="R1901" s="1" t="str">
        <f t="shared" si="1200"/>
        <v>01</v>
      </c>
      <c r="S1901" s="1" t="str">
        <f t="shared" si="1184"/>
        <v>04</v>
      </c>
      <c r="T1901" s="1" t="str">
        <f t="shared" si="1201"/>
        <v>False</v>
      </c>
      <c r="U1901" s="1" t="str">
        <f t="shared" si="1202"/>
        <v>True</v>
      </c>
      <c r="V1901" s="1" t="str">
        <f>"U0022674"</f>
        <v>U0022674</v>
      </c>
      <c r="W1901" s="1">
        <v>1</v>
      </c>
      <c r="Y1901" s="1">
        <v>0</v>
      </c>
      <c r="Z1901" s="1">
        <v>0</v>
      </c>
      <c r="AB1901" s="1" t="str">
        <f t="shared" si="1187"/>
        <v>SMU</v>
      </c>
      <c r="AI1901" s="1" t="str">
        <f t="shared" si="1223"/>
        <v>F11</v>
      </c>
      <c r="AJ1901" s="1" t="str">
        <f t="shared" si="1218"/>
        <v>WOMAN</v>
      </c>
      <c r="AK1901" s="1" t="str">
        <f t="shared" si="1203"/>
        <v>PA</v>
      </c>
      <c r="AP1901" s="1" t="str">
        <f t="shared" si="1204"/>
        <v>False</v>
      </c>
      <c r="AR1901" s="1" t="str">
        <f t="shared" si="1219"/>
        <v>GALAD</v>
      </c>
      <c r="AY1901" s="1" t="str">
        <f t="shared" si="1205"/>
        <v>PF</v>
      </c>
      <c r="AZ1901" s="1">
        <v>0</v>
      </c>
      <c r="BA1901" s="1">
        <v>0</v>
      </c>
      <c r="BB1901" s="1">
        <v>0</v>
      </c>
      <c r="BC1901" s="1">
        <v>0</v>
      </c>
      <c r="BD1901" s="1">
        <v>0</v>
      </c>
      <c r="BE1901" s="1" t="str">
        <f t="shared" si="1220"/>
        <v>D GOMMA D.H.TWILL CANVAS+SINT.</v>
      </c>
      <c r="BF1901" s="1" t="str">
        <f t="shared" si="1206"/>
        <v>Bonis SpA</v>
      </c>
    </row>
    <row r="1902" spans="2:58" x14ac:dyDescent="0.25">
      <c r="B1902" s="1">
        <v>2554</v>
      </c>
      <c r="C1902" s="1" t="str">
        <f t="shared" si="1215"/>
        <v>GALAD4184S7/CY1</v>
      </c>
      <c r="E1902" s="1" t="str">
        <f>"39"</f>
        <v>39</v>
      </c>
      <c r="F1902" s="1" t="str">
        <f t="shared" si="1195"/>
        <v>BONIS SPA</v>
      </c>
      <c r="G1902" s="1" t="str">
        <f t="shared" si="1183"/>
        <v>STOCK SCAFFALE MP</v>
      </c>
      <c r="H1902" s="1" t="str">
        <f>"BLUE"</f>
        <v>BLUE</v>
      </c>
      <c r="K1902" s="1">
        <v>3</v>
      </c>
      <c r="L1902" s="1" t="str">
        <f t="shared" si="1196"/>
        <v>01</v>
      </c>
      <c r="M1902" s="1" t="str">
        <f t="shared" si="1186"/>
        <v>409</v>
      </c>
      <c r="N1902" s="1" t="str">
        <f t="shared" si="1217"/>
        <v>012</v>
      </c>
      <c r="O1902" s="1" t="str">
        <f t="shared" si="1197"/>
        <v>00</v>
      </c>
      <c r="P1902" s="1" t="str">
        <f t="shared" si="1198"/>
        <v>S</v>
      </c>
      <c r="Q1902" s="1" t="str">
        <f t="shared" si="1199"/>
        <v>P</v>
      </c>
      <c r="R1902" s="1" t="str">
        <f t="shared" si="1200"/>
        <v>01</v>
      </c>
      <c r="S1902" s="1" t="str">
        <f t="shared" si="1184"/>
        <v>04</v>
      </c>
      <c r="T1902" s="1" t="str">
        <f t="shared" si="1201"/>
        <v>False</v>
      </c>
      <c r="U1902" s="1" t="str">
        <f t="shared" si="1202"/>
        <v>True</v>
      </c>
      <c r="V1902" s="1" t="str">
        <f>"U0022674"</f>
        <v>U0022674</v>
      </c>
      <c r="W1902" s="1">
        <v>1</v>
      </c>
      <c r="Y1902" s="1">
        <v>0</v>
      </c>
      <c r="Z1902" s="1">
        <v>0</v>
      </c>
      <c r="AB1902" s="1" t="str">
        <f t="shared" si="1187"/>
        <v>SMU</v>
      </c>
      <c r="AI1902" s="1" t="str">
        <f t="shared" si="1223"/>
        <v>F11</v>
      </c>
      <c r="AJ1902" s="1" t="str">
        <f t="shared" si="1218"/>
        <v>WOMAN</v>
      </c>
      <c r="AK1902" s="1" t="str">
        <f t="shared" si="1203"/>
        <v>PA</v>
      </c>
      <c r="AP1902" s="1" t="str">
        <f t="shared" si="1204"/>
        <v>False</v>
      </c>
      <c r="AR1902" s="1" t="str">
        <f t="shared" si="1219"/>
        <v>GALAD</v>
      </c>
      <c r="AY1902" s="1" t="str">
        <f t="shared" si="1205"/>
        <v>PF</v>
      </c>
      <c r="AZ1902" s="1">
        <v>0</v>
      </c>
      <c r="BA1902" s="1">
        <v>0</v>
      </c>
      <c r="BB1902" s="1">
        <v>0</v>
      </c>
      <c r="BC1902" s="1">
        <v>0</v>
      </c>
      <c r="BD1902" s="1">
        <v>0</v>
      </c>
      <c r="BE1902" s="1" t="str">
        <f t="shared" si="1220"/>
        <v>D GOMMA D.H.TWILL CANVAS+SINT.</v>
      </c>
      <c r="BF1902" s="1" t="str">
        <f t="shared" si="1206"/>
        <v>Bonis SpA</v>
      </c>
    </row>
    <row r="1903" spans="2:58" x14ac:dyDescent="0.25">
      <c r="B1903" s="1">
        <v>2554</v>
      </c>
      <c r="C1903" s="1" t="str">
        <f t="shared" si="1215"/>
        <v>GALAD4184S7/CY1</v>
      </c>
      <c r="E1903" s="1" t="str">
        <f>"40"</f>
        <v>40</v>
      </c>
      <c r="F1903" s="1" t="str">
        <f t="shared" si="1195"/>
        <v>BONIS SPA</v>
      </c>
      <c r="G1903" s="1" t="str">
        <f t="shared" si="1183"/>
        <v>STOCK SCAFFALE MP</v>
      </c>
      <c r="H1903" s="1" t="str">
        <f t="shared" ref="H1903:H1910" si="1224">"WHI"</f>
        <v>WHI</v>
      </c>
      <c r="K1903" s="1">
        <v>5</v>
      </c>
      <c r="L1903" s="1" t="str">
        <f t="shared" si="1196"/>
        <v>01</v>
      </c>
      <c r="M1903" s="1" t="str">
        <f t="shared" si="1186"/>
        <v>409</v>
      </c>
      <c r="N1903" s="1" t="str">
        <f t="shared" si="1217"/>
        <v>012</v>
      </c>
      <c r="O1903" s="1" t="str">
        <f t="shared" si="1197"/>
        <v>00</v>
      </c>
      <c r="P1903" s="1" t="str">
        <f t="shared" si="1198"/>
        <v>S</v>
      </c>
      <c r="Q1903" s="1" t="str">
        <f t="shared" si="1199"/>
        <v>P</v>
      </c>
      <c r="R1903" s="1" t="str">
        <f t="shared" si="1200"/>
        <v>01</v>
      </c>
      <c r="S1903" s="1" t="str">
        <f t="shared" si="1184"/>
        <v>04</v>
      </c>
      <c r="T1903" s="1" t="str">
        <f t="shared" si="1201"/>
        <v>False</v>
      </c>
      <c r="U1903" s="1" t="str">
        <f t="shared" si="1202"/>
        <v>True</v>
      </c>
      <c r="V1903" s="1" t="str">
        <f>"U0027750"</f>
        <v>U0027750</v>
      </c>
      <c r="W1903" s="1">
        <v>1</v>
      </c>
      <c r="Y1903" s="1">
        <v>0</v>
      </c>
      <c r="Z1903" s="1">
        <v>0</v>
      </c>
      <c r="AB1903" s="1" t="str">
        <f t="shared" si="1187"/>
        <v>SMU</v>
      </c>
      <c r="AI1903" s="1" t="str">
        <f t="shared" si="1223"/>
        <v>F11</v>
      </c>
      <c r="AJ1903" s="1" t="str">
        <f t="shared" si="1218"/>
        <v>WOMAN</v>
      </c>
      <c r="AK1903" s="1" t="str">
        <f t="shared" si="1203"/>
        <v>PA</v>
      </c>
      <c r="AP1903" s="1" t="str">
        <f t="shared" si="1204"/>
        <v>False</v>
      </c>
      <c r="AR1903" s="1" t="str">
        <f t="shared" si="1219"/>
        <v>GALAD</v>
      </c>
      <c r="AY1903" s="1" t="str">
        <f t="shared" si="1205"/>
        <v>PF</v>
      </c>
      <c r="AZ1903" s="1">
        <v>0</v>
      </c>
      <c r="BA1903" s="1">
        <v>0</v>
      </c>
      <c r="BB1903" s="1">
        <v>0</v>
      </c>
      <c r="BC1903" s="1">
        <v>0</v>
      </c>
      <c r="BD1903" s="1">
        <v>0</v>
      </c>
      <c r="BE1903" s="1" t="str">
        <f t="shared" si="1220"/>
        <v>D GOMMA D.H.TWILL CANVAS+SINT.</v>
      </c>
      <c r="BF1903" s="1" t="str">
        <f t="shared" si="1206"/>
        <v>Bonis SpA</v>
      </c>
    </row>
    <row r="1904" spans="2:58" x14ac:dyDescent="0.25">
      <c r="B1904" s="1">
        <v>2554</v>
      </c>
      <c r="C1904" s="1" t="str">
        <f t="shared" si="1215"/>
        <v>GALAD4184S7/CY1</v>
      </c>
      <c r="E1904" s="1" t="str">
        <f>"39"</f>
        <v>39</v>
      </c>
      <c r="F1904" s="1" t="str">
        <f t="shared" si="1195"/>
        <v>BONIS SPA</v>
      </c>
      <c r="G1904" s="1" t="str">
        <f t="shared" ref="G1904:G1967" si="1225">"STOCK SCAFFALE MP"</f>
        <v>STOCK SCAFFALE MP</v>
      </c>
      <c r="H1904" s="1" t="str">
        <f t="shared" si="1224"/>
        <v>WHI</v>
      </c>
      <c r="K1904" s="1">
        <v>4</v>
      </c>
      <c r="L1904" s="1" t="str">
        <f t="shared" si="1196"/>
        <v>01</v>
      </c>
      <c r="M1904" s="1" t="str">
        <f t="shared" si="1186"/>
        <v>409</v>
      </c>
      <c r="N1904" s="1" t="str">
        <f t="shared" si="1217"/>
        <v>012</v>
      </c>
      <c r="O1904" s="1" t="str">
        <f t="shared" si="1197"/>
        <v>00</v>
      </c>
      <c r="P1904" s="1" t="str">
        <f t="shared" si="1198"/>
        <v>S</v>
      </c>
      <c r="Q1904" s="1" t="str">
        <f t="shared" si="1199"/>
        <v>P</v>
      </c>
      <c r="R1904" s="1" t="str">
        <f t="shared" si="1200"/>
        <v>01</v>
      </c>
      <c r="S1904" s="1" t="str">
        <f t="shared" ref="S1904:S1967" si="1226">"04"</f>
        <v>04</v>
      </c>
      <c r="T1904" s="1" t="str">
        <f t="shared" si="1201"/>
        <v>False</v>
      </c>
      <c r="U1904" s="1" t="str">
        <f t="shared" si="1202"/>
        <v>True</v>
      </c>
      <c r="V1904" s="1" t="str">
        <f>"U0027750"</f>
        <v>U0027750</v>
      </c>
      <c r="W1904" s="1">
        <v>1</v>
      </c>
      <c r="Y1904" s="1">
        <v>0</v>
      </c>
      <c r="Z1904" s="1">
        <v>0</v>
      </c>
      <c r="AB1904" s="1" t="str">
        <f t="shared" si="1187"/>
        <v>SMU</v>
      </c>
      <c r="AI1904" s="1" t="str">
        <f t="shared" si="1223"/>
        <v>F11</v>
      </c>
      <c r="AJ1904" s="1" t="str">
        <f t="shared" si="1218"/>
        <v>WOMAN</v>
      </c>
      <c r="AK1904" s="1" t="str">
        <f t="shared" si="1203"/>
        <v>PA</v>
      </c>
      <c r="AP1904" s="1" t="str">
        <f t="shared" si="1204"/>
        <v>False</v>
      </c>
      <c r="AR1904" s="1" t="str">
        <f t="shared" si="1219"/>
        <v>GALAD</v>
      </c>
      <c r="AY1904" s="1" t="str">
        <f t="shared" si="1205"/>
        <v>PF</v>
      </c>
      <c r="AZ1904" s="1">
        <v>0</v>
      </c>
      <c r="BA1904" s="1">
        <v>0</v>
      </c>
      <c r="BB1904" s="1">
        <v>0</v>
      </c>
      <c r="BC1904" s="1">
        <v>0</v>
      </c>
      <c r="BD1904" s="1">
        <v>0</v>
      </c>
      <c r="BE1904" s="1" t="str">
        <f t="shared" si="1220"/>
        <v>D GOMMA D.H.TWILL CANVAS+SINT.</v>
      </c>
      <c r="BF1904" s="1" t="str">
        <f t="shared" si="1206"/>
        <v>Bonis SpA</v>
      </c>
    </row>
    <row r="1905" spans="2:58" x14ac:dyDescent="0.25">
      <c r="B1905" s="1">
        <v>2554</v>
      </c>
      <c r="C1905" s="1" t="str">
        <f t="shared" si="1215"/>
        <v>GALAD4184S7/CY1</v>
      </c>
      <c r="E1905" s="1" t="str">
        <f>"37"</f>
        <v>37</v>
      </c>
      <c r="F1905" s="1" t="str">
        <f t="shared" si="1195"/>
        <v>BONIS SPA</v>
      </c>
      <c r="G1905" s="1" t="str">
        <f t="shared" si="1225"/>
        <v>STOCK SCAFFALE MP</v>
      </c>
      <c r="H1905" s="1" t="str">
        <f t="shared" si="1224"/>
        <v>WHI</v>
      </c>
      <c r="K1905" s="1">
        <v>2</v>
      </c>
      <c r="L1905" s="1" t="str">
        <f t="shared" si="1196"/>
        <v>01</v>
      </c>
      <c r="M1905" s="1" t="str">
        <f t="shared" si="1186"/>
        <v>409</v>
      </c>
      <c r="N1905" s="1" t="str">
        <f t="shared" si="1217"/>
        <v>012</v>
      </c>
      <c r="O1905" s="1" t="str">
        <f t="shared" si="1197"/>
        <v>00</v>
      </c>
      <c r="P1905" s="1" t="str">
        <f t="shared" si="1198"/>
        <v>S</v>
      </c>
      <c r="Q1905" s="1" t="str">
        <f t="shared" si="1199"/>
        <v>P</v>
      </c>
      <c r="R1905" s="1" t="str">
        <f t="shared" si="1200"/>
        <v>01</v>
      </c>
      <c r="S1905" s="1" t="str">
        <f t="shared" si="1226"/>
        <v>04</v>
      </c>
      <c r="T1905" s="1" t="str">
        <f t="shared" si="1201"/>
        <v>False</v>
      </c>
      <c r="U1905" s="1" t="str">
        <f t="shared" si="1202"/>
        <v>True</v>
      </c>
      <c r="V1905" s="1" t="str">
        <f>"U0027750"</f>
        <v>U0027750</v>
      </c>
      <c r="W1905" s="1">
        <v>1</v>
      </c>
      <c r="Y1905" s="1">
        <v>0</v>
      </c>
      <c r="Z1905" s="1">
        <v>0</v>
      </c>
      <c r="AB1905" s="1" t="str">
        <f t="shared" si="1187"/>
        <v>SMU</v>
      </c>
      <c r="AI1905" s="1" t="str">
        <f t="shared" si="1223"/>
        <v>F11</v>
      </c>
      <c r="AJ1905" s="1" t="str">
        <f t="shared" si="1218"/>
        <v>WOMAN</v>
      </c>
      <c r="AK1905" s="1" t="str">
        <f t="shared" si="1203"/>
        <v>PA</v>
      </c>
      <c r="AP1905" s="1" t="str">
        <f t="shared" si="1204"/>
        <v>False</v>
      </c>
      <c r="AR1905" s="1" t="str">
        <f t="shared" si="1219"/>
        <v>GALAD</v>
      </c>
      <c r="AY1905" s="1" t="str">
        <f t="shared" si="1205"/>
        <v>PF</v>
      </c>
      <c r="AZ1905" s="1">
        <v>0</v>
      </c>
      <c r="BA1905" s="1">
        <v>0</v>
      </c>
      <c r="BB1905" s="1">
        <v>0</v>
      </c>
      <c r="BC1905" s="1">
        <v>0</v>
      </c>
      <c r="BD1905" s="1">
        <v>0</v>
      </c>
      <c r="BE1905" s="1" t="str">
        <f t="shared" si="1220"/>
        <v>D GOMMA D.H.TWILL CANVAS+SINT.</v>
      </c>
      <c r="BF1905" s="1" t="str">
        <f t="shared" si="1206"/>
        <v>Bonis SpA</v>
      </c>
    </row>
    <row r="1906" spans="2:58" x14ac:dyDescent="0.25">
      <c r="B1906" s="1">
        <v>2554</v>
      </c>
      <c r="C1906" s="1" t="str">
        <f t="shared" si="1215"/>
        <v>GALAD4184S7/CY1</v>
      </c>
      <c r="E1906" s="1" t="str">
        <f>"36"</f>
        <v>36</v>
      </c>
      <c r="F1906" s="1" t="str">
        <f t="shared" si="1195"/>
        <v>BONIS SPA</v>
      </c>
      <c r="G1906" s="1" t="str">
        <f t="shared" si="1225"/>
        <v>STOCK SCAFFALE MP</v>
      </c>
      <c r="H1906" s="1" t="str">
        <f t="shared" si="1224"/>
        <v>WHI</v>
      </c>
      <c r="K1906" s="1">
        <v>4</v>
      </c>
      <c r="L1906" s="1" t="str">
        <f t="shared" si="1196"/>
        <v>01</v>
      </c>
      <c r="M1906" s="1" t="str">
        <f t="shared" si="1186"/>
        <v>409</v>
      </c>
      <c r="N1906" s="1" t="str">
        <f t="shared" si="1217"/>
        <v>012</v>
      </c>
      <c r="O1906" s="1" t="str">
        <f t="shared" si="1197"/>
        <v>00</v>
      </c>
      <c r="P1906" s="1" t="str">
        <f t="shared" si="1198"/>
        <v>S</v>
      </c>
      <c r="Q1906" s="1" t="str">
        <f t="shared" si="1199"/>
        <v>P</v>
      </c>
      <c r="R1906" s="1" t="str">
        <f t="shared" si="1200"/>
        <v>01</v>
      </c>
      <c r="S1906" s="1" t="str">
        <f t="shared" si="1226"/>
        <v>04</v>
      </c>
      <c r="T1906" s="1" t="str">
        <f t="shared" si="1201"/>
        <v>False</v>
      </c>
      <c r="U1906" s="1" t="str">
        <f t="shared" si="1202"/>
        <v>True</v>
      </c>
      <c r="V1906" s="1" t="str">
        <f>"U0028097"</f>
        <v>U0028097</v>
      </c>
      <c r="W1906" s="1">
        <v>1</v>
      </c>
      <c r="Y1906" s="1">
        <v>0</v>
      </c>
      <c r="Z1906" s="1">
        <v>0</v>
      </c>
      <c r="AB1906" s="1" t="str">
        <f t="shared" si="1187"/>
        <v>SMU</v>
      </c>
      <c r="AI1906" s="1" t="str">
        <f t="shared" si="1223"/>
        <v>F11</v>
      </c>
      <c r="AJ1906" s="1" t="str">
        <f t="shared" si="1218"/>
        <v>WOMAN</v>
      </c>
      <c r="AK1906" s="1" t="str">
        <f t="shared" si="1203"/>
        <v>PA</v>
      </c>
      <c r="AP1906" s="1" t="str">
        <f t="shared" si="1204"/>
        <v>False</v>
      </c>
      <c r="AR1906" s="1" t="str">
        <f t="shared" si="1219"/>
        <v>GALAD</v>
      </c>
      <c r="AY1906" s="1" t="str">
        <f t="shared" si="1205"/>
        <v>PF</v>
      </c>
      <c r="AZ1906" s="1">
        <v>0</v>
      </c>
      <c r="BA1906" s="1">
        <v>0</v>
      </c>
      <c r="BB1906" s="1">
        <v>0</v>
      </c>
      <c r="BC1906" s="1">
        <v>0</v>
      </c>
      <c r="BD1906" s="1">
        <v>0</v>
      </c>
      <c r="BE1906" s="1" t="str">
        <f t="shared" si="1220"/>
        <v>D GOMMA D.H.TWILL CANVAS+SINT.</v>
      </c>
      <c r="BF1906" s="1" t="str">
        <f t="shared" si="1206"/>
        <v>Bonis SpA</v>
      </c>
    </row>
    <row r="1907" spans="2:58" x14ac:dyDescent="0.25">
      <c r="B1907" s="1">
        <v>2554</v>
      </c>
      <c r="C1907" s="1" t="str">
        <f t="shared" si="1215"/>
        <v>GALAD4184S7/CY1</v>
      </c>
      <c r="E1907" s="1" t="str">
        <f>"39"</f>
        <v>39</v>
      </c>
      <c r="F1907" s="1" t="str">
        <f t="shared" si="1195"/>
        <v>BONIS SPA</v>
      </c>
      <c r="G1907" s="1" t="str">
        <f t="shared" si="1225"/>
        <v>STOCK SCAFFALE MP</v>
      </c>
      <c r="H1907" s="1" t="str">
        <f t="shared" si="1224"/>
        <v>WHI</v>
      </c>
      <c r="K1907" s="1">
        <v>2</v>
      </c>
      <c r="L1907" s="1" t="str">
        <f t="shared" si="1196"/>
        <v>01</v>
      </c>
      <c r="M1907" s="1" t="str">
        <f t="shared" si="1186"/>
        <v>409</v>
      </c>
      <c r="N1907" s="1" t="str">
        <f t="shared" si="1217"/>
        <v>012</v>
      </c>
      <c r="O1907" s="1" t="str">
        <f t="shared" si="1197"/>
        <v>00</v>
      </c>
      <c r="P1907" s="1" t="str">
        <f t="shared" si="1198"/>
        <v>S</v>
      </c>
      <c r="Q1907" s="1" t="str">
        <f t="shared" si="1199"/>
        <v>P</v>
      </c>
      <c r="R1907" s="1" t="str">
        <f t="shared" si="1200"/>
        <v>01</v>
      </c>
      <c r="S1907" s="1" t="str">
        <f t="shared" si="1226"/>
        <v>04</v>
      </c>
      <c r="T1907" s="1" t="str">
        <f t="shared" si="1201"/>
        <v>False</v>
      </c>
      <c r="U1907" s="1" t="str">
        <f t="shared" si="1202"/>
        <v>True</v>
      </c>
      <c r="V1907" s="1" t="str">
        <f>"U0022674"</f>
        <v>U0022674</v>
      </c>
      <c r="W1907" s="1">
        <v>1</v>
      </c>
      <c r="Y1907" s="1">
        <v>0</v>
      </c>
      <c r="Z1907" s="1">
        <v>0</v>
      </c>
      <c r="AB1907" s="1" t="str">
        <f t="shared" si="1187"/>
        <v>SMU</v>
      </c>
      <c r="AI1907" s="1" t="str">
        <f>"106"</f>
        <v>106</v>
      </c>
      <c r="AJ1907" s="1" t="str">
        <f t="shared" si="1218"/>
        <v>WOMAN</v>
      </c>
      <c r="AK1907" s="1" t="str">
        <f t="shared" si="1203"/>
        <v>PA</v>
      </c>
      <c r="AP1907" s="1" t="str">
        <f t="shared" si="1204"/>
        <v>False</v>
      </c>
      <c r="AR1907" s="1" t="str">
        <f t="shared" si="1219"/>
        <v>GALAD</v>
      </c>
      <c r="AY1907" s="1" t="str">
        <f t="shared" si="1205"/>
        <v>PF</v>
      </c>
      <c r="AZ1907" s="1">
        <v>0</v>
      </c>
      <c r="BA1907" s="1">
        <v>0</v>
      </c>
      <c r="BB1907" s="1">
        <v>0</v>
      </c>
      <c r="BC1907" s="1">
        <v>0</v>
      </c>
      <c r="BD1907" s="1">
        <v>0</v>
      </c>
      <c r="BE1907" s="1" t="str">
        <f t="shared" si="1220"/>
        <v>D GOMMA D.H.TWILL CANVAS+SINT.</v>
      </c>
      <c r="BF1907" s="1" t="str">
        <f t="shared" si="1206"/>
        <v>Bonis SpA</v>
      </c>
    </row>
    <row r="1908" spans="2:58" x14ac:dyDescent="0.25">
      <c r="B1908" s="1">
        <v>2554</v>
      </c>
      <c r="C1908" s="1" t="str">
        <f t="shared" si="1215"/>
        <v>GALAD4184S7/CY1</v>
      </c>
      <c r="E1908" s="1" t="str">
        <f>"39"</f>
        <v>39</v>
      </c>
      <c r="F1908" s="1" t="str">
        <f t="shared" si="1195"/>
        <v>BONIS SPA</v>
      </c>
      <c r="G1908" s="1" t="str">
        <f t="shared" si="1225"/>
        <v>STOCK SCAFFALE MP</v>
      </c>
      <c r="H1908" s="1" t="str">
        <f t="shared" si="1224"/>
        <v>WHI</v>
      </c>
      <c r="K1908" s="1">
        <v>1</v>
      </c>
      <c r="L1908" s="1" t="str">
        <f t="shared" si="1196"/>
        <v>01</v>
      </c>
      <c r="M1908" s="1" t="str">
        <f t="shared" si="1186"/>
        <v>409</v>
      </c>
      <c r="N1908" s="1" t="str">
        <f t="shared" si="1217"/>
        <v>012</v>
      </c>
      <c r="O1908" s="1" t="str">
        <f t="shared" si="1197"/>
        <v>00</v>
      </c>
      <c r="P1908" s="1" t="str">
        <f t="shared" si="1198"/>
        <v>S</v>
      </c>
      <c r="Q1908" s="1" t="str">
        <f t="shared" si="1199"/>
        <v>P</v>
      </c>
      <c r="R1908" s="1" t="str">
        <f t="shared" si="1200"/>
        <v>01</v>
      </c>
      <c r="S1908" s="1" t="str">
        <f t="shared" si="1226"/>
        <v>04</v>
      </c>
      <c r="T1908" s="1" t="str">
        <f t="shared" si="1201"/>
        <v>False</v>
      </c>
      <c r="U1908" s="1" t="str">
        <f t="shared" si="1202"/>
        <v>True</v>
      </c>
      <c r="V1908" s="1" t="str">
        <f>"U0023164"</f>
        <v>U0023164</v>
      </c>
      <c r="W1908" s="1">
        <v>1</v>
      </c>
      <c r="Y1908" s="1">
        <v>0</v>
      </c>
      <c r="Z1908" s="1">
        <v>0</v>
      </c>
      <c r="AB1908" s="1" t="str">
        <f t="shared" si="1187"/>
        <v>SMU</v>
      </c>
      <c r="AI1908" s="1" t="str">
        <f>"106"</f>
        <v>106</v>
      </c>
      <c r="AJ1908" s="1" t="str">
        <f t="shared" si="1218"/>
        <v>WOMAN</v>
      </c>
      <c r="AK1908" s="1" t="str">
        <f t="shared" si="1203"/>
        <v>PA</v>
      </c>
      <c r="AP1908" s="1" t="str">
        <f t="shared" si="1204"/>
        <v>False</v>
      </c>
      <c r="AR1908" s="1" t="str">
        <f t="shared" si="1219"/>
        <v>GALAD</v>
      </c>
      <c r="AY1908" s="1" t="str">
        <f t="shared" si="1205"/>
        <v>PF</v>
      </c>
      <c r="AZ1908" s="1">
        <v>0</v>
      </c>
      <c r="BA1908" s="1">
        <v>0</v>
      </c>
      <c r="BB1908" s="1">
        <v>0</v>
      </c>
      <c r="BC1908" s="1">
        <v>0</v>
      </c>
      <c r="BD1908" s="1">
        <v>0</v>
      </c>
      <c r="BE1908" s="1" t="str">
        <f t="shared" si="1220"/>
        <v>D GOMMA D.H.TWILL CANVAS+SINT.</v>
      </c>
      <c r="BF1908" s="1" t="str">
        <f t="shared" si="1206"/>
        <v>Bonis SpA</v>
      </c>
    </row>
    <row r="1909" spans="2:58" x14ac:dyDescent="0.25">
      <c r="B1909" s="1">
        <v>2554</v>
      </c>
      <c r="C1909" s="1" t="str">
        <f t="shared" si="1215"/>
        <v>GALAD4184S7/CY1</v>
      </c>
      <c r="E1909" s="1" t="str">
        <f>"41"</f>
        <v>41</v>
      </c>
      <c r="F1909" s="1" t="str">
        <f t="shared" si="1195"/>
        <v>BONIS SPA</v>
      </c>
      <c r="G1909" s="1" t="str">
        <f t="shared" si="1225"/>
        <v>STOCK SCAFFALE MP</v>
      </c>
      <c r="H1909" s="1" t="str">
        <f t="shared" si="1224"/>
        <v>WHI</v>
      </c>
      <c r="K1909" s="1">
        <v>1</v>
      </c>
      <c r="L1909" s="1" t="str">
        <f t="shared" si="1196"/>
        <v>01</v>
      </c>
      <c r="M1909" s="1" t="str">
        <f t="shared" si="1186"/>
        <v>409</v>
      </c>
      <c r="N1909" s="1" t="str">
        <f t="shared" si="1217"/>
        <v>012</v>
      </c>
      <c r="O1909" s="1" t="str">
        <f t="shared" si="1197"/>
        <v>00</v>
      </c>
      <c r="P1909" s="1" t="str">
        <f t="shared" si="1198"/>
        <v>S</v>
      </c>
      <c r="Q1909" s="1" t="str">
        <f t="shared" si="1199"/>
        <v>P</v>
      </c>
      <c r="R1909" s="1" t="str">
        <f t="shared" si="1200"/>
        <v>01</v>
      </c>
      <c r="S1909" s="1" t="str">
        <f t="shared" si="1226"/>
        <v>04</v>
      </c>
      <c r="T1909" s="1" t="str">
        <f t="shared" si="1201"/>
        <v>False</v>
      </c>
      <c r="U1909" s="1" t="str">
        <f t="shared" si="1202"/>
        <v>True</v>
      </c>
      <c r="V1909" s="1" t="str">
        <f>"U0023164"</f>
        <v>U0023164</v>
      </c>
      <c r="W1909" s="1">
        <v>1</v>
      </c>
      <c r="Y1909" s="1">
        <v>0</v>
      </c>
      <c r="Z1909" s="1">
        <v>0</v>
      </c>
      <c r="AB1909" s="1" t="str">
        <f t="shared" si="1187"/>
        <v>SMU</v>
      </c>
      <c r="AI1909" s="1" t="str">
        <f>"106"</f>
        <v>106</v>
      </c>
      <c r="AJ1909" s="1" t="str">
        <f t="shared" si="1218"/>
        <v>WOMAN</v>
      </c>
      <c r="AK1909" s="1" t="str">
        <f t="shared" si="1203"/>
        <v>PA</v>
      </c>
      <c r="AP1909" s="1" t="str">
        <f t="shared" si="1204"/>
        <v>False</v>
      </c>
      <c r="AR1909" s="1" t="str">
        <f t="shared" si="1219"/>
        <v>GALAD</v>
      </c>
      <c r="AY1909" s="1" t="str">
        <f t="shared" si="1205"/>
        <v>PF</v>
      </c>
      <c r="AZ1909" s="1">
        <v>0</v>
      </c>
      <c r="BA1909" s="1">
        <v>0</v>
      </c>
      <c r="BB1909" s="1">
        <v>0</v>
      </c>
      <c r="BC1909" s="1">
        <v>0</v>
      </c>
      <c r="BD1909" s="1">
        <v>0</v>
      </c>
      <c r="BE1909" s="1" t="str">
        <f t="shared" si="1220"/>
        <v>D GOMMA D.H.TWILL CANVAS+SINT.</v>
      </c>
      <c r="BF1909" s="1" t="str">
        <f t="shared" si="1206"/>
        <v>Bonis SpA</v>
      </c>
    </row>
    <row r="1910" spans="2:58" x14ac:dyDescent="0.25">
      <c r="B1910" s="1">
        <v>2554</v>
      </c>
      <c r="C1910" s="1" t="str">
        <f t="shared" si="1215"/>
        <v>GALAD4184S7/CY1</v>
      </c>
      <c r="E1910" s="1" t="str">
        <f>"40"</f>
        <v>40</v>
      </c>
      <c r="F1910" s="1" t="str">
        <f t="shared" si="1195"/>
        <v>BONIS SPA</v>
      </c>
      <c r="G1910" s="1" t="str">
        <f t="shared" si="1225"/>
        <v>STOCK SCAFFALE MP</v>
      </c>
      <c r="H1910" s="1" t="str">
        <f t="shared" si="1224"/>
        <v>WHI</v>
      </c>
      <c r="K1910" s="1">
        <v>10</v>
      </c>
      <c r="L1910" s="1" t="str">
        <f t="shared" si="1196"/>
        <v>01</v>
      </c>
      <c r="M1910" s="1" t="str">
        <f t="shared" ref="M1910:M1973" si="1227">"409"</f>
        <v>409</v>
      </c>
      <c r="N1910" s="1" t="str">
        <f t="shared" si="1217"/>
        <v>012</v>
      </c>
      <c r="O1910" s="1" t="str">
        <f t="shared" si="1197"/>
        <v>00</v>
      </c>
      <c r="P1910" s="1" t="str">
        <f t="shared" si="1198"/>
        <v>S</v>
      </c>
      <c r="Q1910" s="1" t="str">
        <f t="shared" si="1199"/>
        <v>P</v>
      </c>
      <c r="R1910" s="1" t="str">
        <f t="shared" si="1200"/>
        <v>01</v>
      </c>
      <c r="S1910" s="1" t="str">
        <f t="shared" si="1226"/>
        <v>04</v>
      </c>
      <c r="T1910" s="1" t="str">
        <f t="shared" si="1201"/>
        <v>False</v>
      </c>
      <c r="U1910" s="1" t="str">
        <f t="shared" si="1202"/>
        <v>True</v>
      </c>
      <c r="V1910" s="1" t="str">
        <f>"U0028100"</f>
        <v>U0028100</v>
      </c>
      <c r="W1910" s="1">
        <v>1</v>
      </c>
      <c r="Y1910" s="1">
        <v>0</v>
      </c>
      <c r="Z1910" s="1">
        <v>0</v>
      </c>
      <c r="AB1910" s="1" t="str">
        <f t="shared" ref="AB1910:AB1973" si="1228">"SMU"</f>
        <v>SMU</v>
      </c>
      <c r="AI1910" s="1" t="str">
        <f>"F11"</f>
        <v>F11</v>
      </c>
      <c r="AJ1910" s="1" t="str">
        <f t="shared" si="1218"/>
        <v>WOMAN</v>
      </c>
      <c r="AK1910" s="1" t="str">
        <f t="shared" si="1203"/>
        <v>PA</v>
      </c>
      <c r="AP1910" s="1" t="str">
        <f t="shared" si="1204"/>
        <v>False</v>
      </c>
      <c r="AR1910" s="1" t="str">
        <f t="shared" si="1219"/>
        <v>GALAD</v>
      </c>
      <c r="AY1910" s="1" t="str">
        <f t="shared" si="1205"/>
        <v>PF</v>
      </c>
      <c r="AZ1910" s="1">
        <v>0</v>
      </c>
      <c r="BA1910" s="1">
        <v>0</v>
      </c>
      <c r="BB1910" s="1">
        <v>0</v>
      </c>
      <c r="BC1910" s="1">
        <v>0</v>
      </c>
      <c r="BD1910" s="1">
        <v>0</v>
      </c>
      <c r="BE1910" s="1" t="str">
        <f t="shared" si="1220"/>
        <v>D GOMMA D.H.TWILL CANVAS+SINT.</v>
      </c>
      <c r="BF1910" s="1" t="str">
        <f t="shared" si="1206"/>
        <v>Bonis SpA</v>
      </c>
    </row>
    <row r="1911" spans="2:58" x14ac:dyDescent="0.25">
      <c r="B1911" s="1">
        <v>2530</v>
      </c>
      <c r="C1911" s="1" t="str">
        <f t="shared" si="1215"/>
        <v>GALAD4184S7/CY1</v>
      </c>
      <c r="E1911" s="1" t="str">
        <f>"41"</f>
        <v>41</v>
      </c>
      <c r="F1911" s="1" t="str">
        <f t="shared" si="1195"/>
        <v>BONIS SPA</v>
      </c>
      <c r="G1911" s="1" t="str">
        <f t="shared" si="1225"/>
        <v>STOCK SCAFFALE MP</v>
      </c>
      <c r="H1911" s="1" t="str">
        <f>"RED"</f>
        <v>RED</v>
      </c>
      <c r="K1911" s="1">
        <v>2</v>
      </c>
      <c r="L1911" s="1" t="str">
        <f t="shared" si="1196"/>
        <v>01</v>
      </c>
      <c r="M1911" s="1" t="str">
        <f t="shared" si="1227"/>
        <v>409</v>
      </c>
      <c r="N1911" s="1" t="str">
        <f>"004"</f>
        <v>004</v>
      </c>
      <c r="O1911" s="1" t="str">
        <f t="shared" si="1197"/>
        <v>00</v>
      </c>
      <c r="P1911" s="1" t="str">
        <f t="shared" si="1198"/>
        <v>S</v>
      </c>
      <c r="Q1911" s="1" t="str">
        <f t="shared" si="1199"/>
        <v>P</v>
      </c>
      <c r="R1911" s="1" t="str">
        <f t="shared" si="1200"/>
        <v>01</v>
      </c>
      <c r="S1911" s="1" t="str">
        <f t="shared" si="1226"/>
        <v>04</v>
      </c>
      <c r="T1911" s="1" t="str">
        <f t="shared" si="1201"/>
        <v>False</v>
      </c>
      <c r="U1911" s="1" t="str">
        <f t="shared" si="1202"/>
        <v>True</v>
      </c>
      <c r="V1911" s="1" t="str">
        <f>"U0028112"</f>
        <v>U0028112</v>
      </c>
      <c r="W1911" s="1">
        <v>1</v>
      </c>
      <c r="Y1911" s="1">
        <v>0</v>
      </c>
      <c r="Z1911" s="1">
        <v>0</v>
      </c>
      <c r="AB1911" s="1" t="str">
        <f t="shared" si="1228"/>
        <v>SMU</v>
      </c>
      <c r="AI1911" s="1" t="str">
        <f>"106"</f>
        <v>106</v>
      </c>
      <c r="AJ1911" s="1" t="str">
        <f t="shared" si="1218"/>
        <v>WOMAN</v>
      </c>
      <c r="AK1911" s="1" t="str">
        <f t="shared" si="1203"/>
        <v>PA</v>
      </c>
      <c r="AP1911" s="1" t="str">
        <f t="shared" si="1204"/>
        <v>False</v>
      </c>
      <c r="AR1911" s="1" t="str">
        <f t="shared" si="1219"/>
        <v>GALAD</v>
      </c>
      <c r="AY1911" s="1" t="str">
        <f t="shared" si="1205"/>
        <v>PF</v>
      </c>
      <c r="AZ1911" s="1">
        <v>0</v>
      </c>
      <c r="BA1911" s="1">
        <v>0</v>
      </c>
      <c r="BB1911" s="1">
        <v>0</v>
      </c>
      <c r="BC1911" s="1">
        <v>0</v>
      </c>
      <c r="BD1911" s="1">
        <v>0</v>
      </c>
      <c r="BE1911" s="1" t="str">
        <f t="shared" si="1220"/>
        <v>D GOMMA D.H.TWILL CANVAS+SINT.</v>
      </c>
      <c r="BF1911" s="1" t="str">
        <f t="shared" si="1206"/>
        <v>Bonis SpA</v>
      </c>
    </row>
    <row r="1912" spans="2:58" x14ac:dyDescent="0.25">
      <c r="B1912" s="1">
        <v>2530</v>
      </c>
      <c r="C1912" s="1" t="str">
        <f t="shared" si="1215"/>
        <v>GALAD4184S7/CY1</v>
      </c>
      <c r="E1912" s="1" t="str">
        <f>"40"</f>
        <v>40</v>
      </c>
      <c r="F1912" s="1" t="str">
        <f t="shared" si="1195"/>
        <v>BONIS SPA</v>
      </c>
      <c r="G1912" s="1" t="str">
        <f t="shared" si="1225"/>
        <v>STOCK SCAFFALE MP</v>
      </c>
      <c r="H1912" s="1" t="str">
        <f>"RED"</f>
        <v>RED</v>
      </c>
      <c r="K1912" s="1">
        <v>3</v>
      </c>
      <c r="L1912" s="1" t="str">
        <f t="shared" si="1196"/>
        <v>01</v>
      </c>
      <c r="M1912" s="1" t="str">
        <f t="shared" si="1227"/>
        <v>409</v>
      </c>
      <c r="N1912" s="1" t="str">
        <f>"004"</f>
        <v>004</v>
      </c>
      <c r="O1912" s="1" t="str">
        <f t="shared" si="1197"/>
        <v>00</v>
      </c>
      <c r="P1912" s="1" t="str">
        <f t="shared" si="1198"/>
        <v>S</v>
      </c>
      <c r="Q1912" s="1" t="str">
        <f t="shared" si="1199"/>
        <v>P</v>
      </c>
      <c r="R1912" s="1" t="str">
        <f t="shared" si="1200"/>
        <v>01</v>
      </c>
      <c r="S1912" s="1" t="str">
        <f t="shared" si="1226"/>
        <v>04</v>
      </c>
      <c r="T1912" s="1" t="str">
        <f t="shared" si="1201"/>
        <v>False</v>
      </c>
      <c r="U1912" s="1" t="str">
        <f t="shared" si="1202"/>
        <v>True</v>
      </c>
      <c r="V1912" s="1" t="str">
        <f>"U0028112"</f>
        <v>U0028112</v>
      </c>
      <c r="W1912" s="1">
        <v>1</v>
      </c>
      <c r="Y1912" s="1">
        <v>0</v>
      </c>
      <c r="Z1912" s="1">
        <v>0</v>
      </c>
      <c r="AB1912" s="1" t="str">
        <f t="shared" si="1228"/>
        <v>SMU</v>
      </c>
      <c r="AI1912" s="1" t="str">
        <f>"106"</f>
        <v>106</v>
      </c>
      <c r="AJ1912" s="1" t="str">
        <f t="shared" si="1218"/>
        <v>WOMAN</v>
      </c>
      <c r="AK1912" s="1" t="str">
        <f t="shared" si="1203"/>
        <v>PA</v>
      </c>
      <c r="AP1912" s="1" t="str">
        <f t="shared" si="1204"/>
        <v>False</v>
      </c>
      <c r="AR1912" s="1" t="str">
        <f t="shared" si="1219"/>
        <v>GALAD</v>
      </c>
      <c r="AY1912" s="1" t="str">
        <f t="shared" si="1205"/>
        <v>PF</v>
      </c>
      <c r="AZ1912" s="1">
        <v>0</v>
      </c>
      <c r="BA1912" s="1">
        <v>0</v>
      </c>
      <c r="BB1912" s="1">
        <v>0</v>
      </c>
      <c r="BC1912" s="1">
        <v>0</v>
      </c>
      <c r="BD1912" s="1">
        <v>0</v>
      </c>
      <c r="BE1912" s="1" t="str">
        <f t="shared" si="1220"/>
        <v>D GOMMA D.H.TWILL CANVAS+SINT.</v>
      </c>
      <c r="BF1912" s="1" t="str">
        <f t="shared" si="1206"/>
        <v>Bonis SpA</v>
      </c>
    </row>
    <row r="1913" spans="2:58" x14ac:dyDescent="0.25">
      <c r="B1913" s="1">
        <v>2554</v>
      </c>
      <c r="C1913" s="1" t="str">
        <f t="shared" si="1215"/>
        <v>GALAD4184S7/CY1</v>
      </c>
      <c r="E1913" s="1" t="str">
        <f>"40"</f>
        <v>40</v>
      </c>
      <c r="F1913" s="1" t="str">
        <f t="shared" si="1195"/>
        <v>BONIS SPA</v>
      </c>
      <c r="G1913" s="1" t="str">
        <f t="shared" si="1225"/>
        <v>STOCK SCAFFALE MP</v>
      </c>
      <c r="H1913" s="1" t="str">
        <f>"BLUE"</f>
        <v>BLUE</v>
      </c>
      <c r="K1913" s="1">
        <v>5</v>
      </c>
      <c r="L1913" s="1" t="str">
        <f t="shared" si="1196"/>
        <v>01</v>
      </c>
      <c r="M1913" s="1" t="str">
        <f t="shared" si="1227"/>
        <v>409</v>
      </c>
      <c r="N1913" s="1" t="str">
        <f t="shared" ref="N1913:N1935" si="1229">"012"</f>
        <v>012</v>
      </c>
      <c r="O1913" s="1" t="str">
        <f t="shared" si="1197"/>
        <v>00</v>
      </c>
      <c r="P1913" s="1" t="str">
        <f t="shared" si="1198"/>
        <v>S</v>
      </c>
      <c r="Q1913" s="1" t="str">
        <f t="shared" si="1199"/>
        <v>P</v>
      </c>
      <c r="R1913" s="1" t="str">
        <f t="shared" si="1200"/>
        <v>01</v>
      </c>
      <c r="S1913" s="1" t="str">
        <f t="shared" si="1226"/>
        <v>04</v>
      </c>
      <c r="T1913" s="1" t="str">
        <f t="shared" si="1201"/>
        <v>False</v>
      </c>
      <c r="U1913" s="1" t="str">
        <f t="shared" si="1202"/>
        <v>True</v>
      </c>
      <c r="V1913" s="1" t="str">
        <f>"U0028078"</f>
        <v>U0028078</v>
      </c>
      <c r="W1913" s="1">
        <v>1</v>
      </c>
      <c r="Y1913" s="1">
        <v>0</v>
      </c>
      <c r="Z1913" s="1">
        <v>0</v>
      </c>
      <c r="AB1913" s="1" t="str">
        <f t="shared" si="1228"/>
        <v>SMU</v>
      </c>
      <c r="AI1913" s="1" t="str">
        <f t="shared" ref="AI1913:AI1935" si="1230">"F11"</f>
        <v>F11</v>
      </c>
      <c r="AJ1913" s="1" t="str">
        <f t="shared" si="1218"/>
        <v>WOMAN</v>
      </c>
      <c r="AK1913" s="1" t="str">
        <f t="shared" si="1203"/>
        <v>PA</v>
      </c>
      <c r="AP1913" s="1" t="str">
        <f t="shared" si="1204"/>
        <v>False</v>
      </c>
      <c r="AR1913" s="1" t="str">
        <f t="shared" si="1219"/>
        <v>GALAD</v>
      </c>
      <c r="AY1913" s="1" t="str">
        <f t="shared" si="1205"/>
        <v>PF</v>
      </c>
      <c r="AZ1913" s="1">
        <v>0</v>
      </c>
      <c r="BA1913" s="1">
        <v>0</v>
      </c>
      <c r="BB1913" s="1">
        <v>0</v>
      </c>
      <c r="BC1913" s="1">
        <v>0</v>
      </c>
      <c r="BD1913" s="1">
        <v>0</v>
      </c>
      <c r="BE1913" s="1" t="str">
        <f t="shared" si="1220"/>
        <v>D GOMMA D.H.TWILL CANVAS+SINT.</v>
      </c>
      <c r="BF1913" s="1" t="str">
        <f t="shared" si="1206"/>
        <v>Bonis SpA</v>
      </c>
    </row>
    <row r="1914" spans="2:58" x14ac:dyDescent="0.25">
      <c r="B1914" s="1">
        <v>2554</v>
      </c>
      <c r="C1914" s="1" t="str">
        <f t="shared" si="1215"/>
        <v>GALAD4184S7/CY1</v>
      </c>
      <c r="E1914" s="1" t="str">
        <f>"41"</f>
        <v>41</v>
      </c>
      <c r="F1914" s="1" t="str">
        <f t="shared" si="1195"/>
        <v>BONIS SPA</v>
      </c>
      <c r="G1914" s="1" t="str">
        <f t="shared" si="1225"/>
        <v>STOCK SCAFFALE MP</v>
      </c>
      <c r="H1914" s="1" t="str">
        <f>"BLUE"</f>
        <v>BLUE</v>
      </c>
      <c r="K1914" s="1">
        <v>1</v>
      </c>
      <c r="L1914" s="1" t="str">
        <f t="shared" si="1196"/>
        <v>01</v>
      </c>
      <c r="M1914" s="1" t="str">
        <f t="shared" si="1227"/>
        <v>409</v>
      </c>
      <c r="N1914" s="1" t="str">
        <f t="shared" si="1229"/>
        <v>012</v>
      </c>
      <c r="O1914" s="1" t="str">
        <f t="shared" si="1197"/>
        <v>00</v>
      </c>
      <c r="P1914" s="1" t="str">
        <f t="shared" si="1198"/>
        <v>S</v>
      </c>
      <c r="Q1914" s="1" t="str">
        <f t="shared" si="1199"/>
        <v>P</v>
      </c>
      <c r="R1914" s="1" t="str">
        <f t="shared" si="1200"/>
        <v>01</v>
      </c>
      <c r="S1914" s="1" t="str">
        <f t="shared" si="1226"/>
        <v>04</v>
      </c>
      <c r="T1914" s="1" t="str">
        <f t="shared" si="1201"/>
        <v>False</v>
      </c>
      <c r="U1914" s="1" t="str">
        <f t="shared" si="1202"/>
        <v>True</v>
      </c>
      <c r="V1914" s="1" t="str">
        <f>"U0028078"</f>
        <v>U0028078</v>
      </c>
      <c r="W1914" s="1">
        <v>1</v>
      </c>
      <c r="Y1914" s="1">
        <v>0</v>
      </c>
      <c r="Z1914" s="1">
        <v>0</v>
      </c>
      <c r="AB1914" s="1" t="str">
        <f t="shared" si="1228"/>
        <v>SMU</v>
      </c>
      <c r="AI1914" s="1" t="str">
        <f t="shared" si="1230"/>
        <v>F11</v>
      </c>
      <c r="AJ1914" s="1" t="str">
        <f t="shared" si="1218"/>
        <v>WOMAN</v>
      </c>
      <c r="AK1914" s="1" t="str">
        <f t="shared" si="1203"/>
        <v>PA</v>
      </c>
      <c r="AP1914" s="1" t="str">
        <f t="shared" si="1204"/>
        <v>False</v>
      </c>
      <c r="AR1914" s="1" t="str">
        <f t="shared" si="1219"/>
        <v>GALAD</v>
      </c>
      <c r="AY1914" s="1" t="str">
        <f t="shared" si="1205"/>
        <v>PF</v>
      </c>
      <c r="AZ1914" s="1">
        <v>0</v>
      </c>
      <c r="BA1914" s="1">
        <v>0</v>
      </c>
      <c r="BB1914" s="1">
        <v>0</v>
      </c>
      <c r="BC1914" s="1">
        <v>0</v>
      </c>
      <c r="BD1914" s="1">
        <v>0</v>
      </c>
      <c r="BE1914" s="1" t="str">
        <f t="shared" si="1220"/>
        <v>D GOMMA D.H.TWILL CANVAS+SINT.</v>
      </c>
      <c r="BF1914" s="1" t="str">
        <f t="shared" si="1206"/>
        <v>Bonis SpA</v>
      </c>
    </row>
    <row r="1915" spans="2:58" x14ac:dyDescent="0.25">
      <c r="B1915" s="1">
        <v>2554</v>
      </c>
      <c r="C1915" s="1" t="str">
        <f t="shared" si="1215"/>
        <v>GALAD4184S7/CY1</v>
      </c>
      <c r="E1915" s="1" t="str">
        <f>"39"</f>
        <v>39</v>
      </c>
      <c r="F1915" s="1" t="str">
        <f t="shared" si="1195"/>
        <v>BONIS SPA</v>
      </c>
      <c r="G1915" s="1" t="str">
        <f t="shared" si="1225"/>
        <v>STOCK SCAFFALE MP</v>
      </c>
      <c r="H1915" s="1" t="str">
        <f>"BLUE"</f>
        <v>BLUE</v>
      </c>
      <c r="K1915" s="1">
        <v>6</v>
      </c>
      <c r="L1915" s="1" t="str">
        <f t="shared" si="1196"/>
        <v>01</v>
      </c>
      <c r="M1915" s="1" t="str">
        <f t="shared" si="1227"/>
        <v>409</v>
      </c>
      <c r="N1915" s="1" t="str">
        <f t="shared" si="1229"/>
        <v>012</v>
      </c>
      <c r="O1915" s="1" t="str">
        <f t="shared" si="1197"/>
        <v>00</v>
      </c>
      <c r="P1915" s="1" t="str">
        <f t="shared" si="1198"/>
        <v>S</v>
      </c>
      <c r="Q1915" s="1" t="str">
        <f t="shared" si="1199"/>
        <v>P</v>
      </c>
      <c r="R1915" s="1" t="str">
        <f t="shared" si="1200"/>
        <v>01</v>
      </c>
      <c r="S1915" s="1" t="str">
        <f t="shared" si="1226"/>
        <v>04</v>
      </c>
      <c r="T1915" s="1" t="str">
        <f t="shared" si="1201"/>
        <v>False</v>
      </c>
      <c r="U1915" s="1" t="str">
        <f t="shared" si="1202"/>
        <v>True</v>
      </c>
      <c r="V1915" s="1" t="str">
        <f>"U0028078"</f>
        <v>U0028078</v>
      </c>
      <c r="W1915" s="1">
        <v>1</v>
      </c>
      <c r="Y1915" s="1">
        <v>0</v>
      </c>
      <c r="Z1915" s="1">
        <v>0</v>
      </c>
      <c r="AB1915" s="1" t="str">
        <f t="shared" si="1228"/>
        <v>SMU</v>
      </c>
      <c r="AI1915" s="1" t="str">
        <f t="shared" si="1230"/>
        <v>F11</v>
      </c>
      <c r="AJ1915" s="1" t="str">
        <f t="shared" si="1218"/>
        <v>WOMAN</v>
      </c>
      <c r="AK1915" s="1" t="str">
        <f t="shared" si="1203"/>
        <v>PA</v>
      </c>
      <c r="AP1915" s="1" t="str">
        <f t="shared" si="1204"/>
        <v>False</v>
      </c>
      <c r="AR1915" s="1" t="str">
        <f t="shared" si="1219"/>
        <v>GALAD</v>
      </c>
      <c r="AY1915" s="1" t="str">
        <f t="shared" si="1205"/>
        <v>PF</v>
      </c>
      <c r="AZ1915" s="1">
        <v>0</v>
      </c>
      <c r="BA1915" s="1">
        <v>0</v>
      </c>
      <c r="BB1915" s="1">
        <v>0</v>
      </c>
      <c r="BC1915" s="1">
        <v>0</v>
      </c>
      <c r="BD1915" s="1">
        <v>0</v>
      </c>
      <c r="BE1915" s="1" t="str">
        <f t="shared" si="1220"/>
        <v>D GOMMA D.H.TWILL CANVAS+SINT.</v>
      </c>
      <c r="BF1915" s="1" t="str">
        <f t="shared" si="1206"/>
        <v>Bonis SpA</v>
      </c>
    </row>
    <row r="1916" spans="2:58" x14ac:dyDescent="0.25">
      <c r="B1916" s="1">
        <v>2554</v>
      </c>
      <c r="C1916" s="1" t="str">
        <f t="shared" si="1215"/>
        <v>GALAD4184S7/CY1</v>
      </c>
      <c r="E1916" s="1" t="str">
        <f>"39"</f>
        <v>39</v>
      </c>
      <c r="F1916" s="1" t="str">
        <f t="shared" si="1195"/>
        <v>BONIS SPA</v>
      </c>
      <c r="G1916" s="1" t="str">
        <f t="shared" si="1225"/>
        <v>STOCK SCAFFALE MP</v>
      </c>
      <c r="H1916" s="1" t="str">
        <f t="shared" ref="H1916:H1923" si="1231">"DKBL"</f>
        <v>DKBL</v>
      </c>
      <c r="K1916" s="1">
        <v>11</v>
      </c>
      <c r="L1916" s="1" t="str">
        <f t="shared" si="1196"/>
        <v>01</v>
      </c>
      <c r="M1916" s="1" t="str">
        <f t="shared" si="1227"/>
        <v>409</v>
      </c>
      <c r="N1916" s="1" t="str">
        <f t="shared" si="1229"/>
        <v>012</v>
      </c>
      <c r="O1916" s="1" t="str">
        <f t="shared" si="1197"/>
        <v>00</v>
      </c>
      <c r="P1916" s="1" t="str">
        <f t="shared" si="1198"/>
        <v>S</v>
      </c>
      <c r="Q1916" s="1" t="str">
        <f t="shared" si="1199"/>
        <v>P</v>
      </c>
      <c r="R1916" s="1" t="str">
        <f t="shared" si="1200"/>
        <v>01</v>
      </c>
      <c r="S1916" s="1" t="str">
        <f t="shared" si="1226"/>
        <v>04</v>
      </c>
      <c r="T1916" s="1" t="str">
        <f t="shared" si="1201"/>
        <v>False</v>
      </c>
      <c r="U1916" s="1" t="str">
        <f t="shared" si="1202"/>
        <v>True</v>
      </c>
      <c r="V1916" s="1" t="str">
        <f>"U0028076"</f>
        <v>U0028076</v>
      </c>
      <c r="W1916" s="1">
        <v>1</v>
      </c>
      <c r="Y1916" s="1">
        <v>0</v>
      </c>
      <c r="Z1916" s="1">
        <v>0</v>
      </c>
      <c r="AB1916" s="1" t="str">
        <f t="shared" si="1228"/>
        <v>SMU</v>
      </c>
      <c r="AI1916" s="1" t="str">
        <f t="shared" si="1230"/>
        <v>F11</v>
      </c>
      <c r="AJ1916" s="1" t="str">
        <f t="shared" si="1218"/>
        <v>WOMAN</v>
      </c>
      <c r="AK1916" s="1" t="str">
        <f t="shared" si="1203"/>
        <v>PA</v>
      </c>
      <c r="AP1916" s="1" t="str">
        <f t="shared" si="1204"/>
        <v>False</v>
      </c>
      <c r="AR1916" s="1" t="str">
        <f t="shared" si="1219"/>
        <v>GALAD</v>
      </c>
      <c r="AY1916" s="1" t="str">
        <f t="shared" si="1205"/>
        <v>PF</v>
      </c>
      <c r="AZ1916" s="1">
        <v>0</v>
      </c>
      <c r="BA1916" s="1">
        <v>0</v>
      </c>
      <c r="BB1916" s="1">
        <v>0</v>
      </c>
      <c r="BC1916" s="1">
        <v>0</v>
      </c>
      <c r="BD1916" s="1">
        <v>0</v>
      </c>
      <c r="BE1916" s="1" t="str">
        <f t="shared" si="1220"/>
        <v>D GOMMA D.H.TWILL CANVAS+SINT.</v>
      </c>
      <c r="BF1916" s="1" t="str">
        <f t="shared" si="1206"/>
        <v>Bonis SpA</v>
      </c>
    </row>
    <row r="1917" spans="2:58" x14ac:dyDescent="0.25">
      <c r="B1917" s="1">
        <v>2554</v>
      </c>
      <c r="C1917" s="1" t="str">
        <f t="shared" si="1215"/>
        <v>GALAD4184S7/CY1</v>
      </c>
      <c r="E1917" s="1" t="str">
        <f>"38"</f>
        <v>38</v>
      </c>
      <c r="F1917" s="1" t="str">
        <f t="shared" si="1195"/>
        <v>BONIS SPA</v>
      </c>
      <c r="G1917" s="1" t="str">
        <f t="shared" si="1225"/>
        <v>STOCK SCAFFALE MP</v>
      </c>
      <c r="H1917" s="1" t="str">
        <f t="shared" si="1231"/>
        <v>DKBL</v>
      </c>
      <c r="K1917" s="1">
        <v>12</v>
      </c>
      <c r="L1917" s="1" t="str">
        <f t="shared" si="1196"/>
        <v>01</v>
      </c>
      <c r="M1917" s="1" t="str">
        <f t="shared" si="1227"/>
        <v>409</v>
      </c>
      <c r="N1917" s="1" t="str">
        <f t="shared" si="1229"/>
        <v>012</v>
      </c>
      <c r="O1917" s="1" t="str">
        <f t="shared" si="1197"/>
        <v>00</v>
      </c>
      <c r="P1917" s="1" t="str">
        <f t="shared" si="1198"/>
        <v>S</v>
      </c>
      <c r="Q1917" s="1" t="str">
        <f t="shared" si="1199"/>
        <v>P</v>
      </c>
      <c r="R1917" s="1" t="str">
        <f t="shared" si="1200"/>
        <v>01</v>
      </c>
      <c r="S1917" s="1" t="str">
        <f t="shared" si="1226"/>
        <v>04</v>
      </c>
      <c r="T1917" s="1" t="str">
        <f t="shared" si="1201"/>
        <v>False</v>
      </c>
      <c r="U1917" s="1" t="str">
        <f t="shared" si="1202"/>
        <v>True</v>
      </c>
      <c r="V1917" s="1" t="str">
        <f>"U0028077"</f>
        <v>U0028077</v>
      </c>
      <c r="W1917" s="1">
        <v>1</v>
      </c>
      <c r="Y1917" s="1">
        <v>0</v>
      </c>
      <c r="Z1917" s="1">
        <v>0</v>
      </c>
      <c r="AB1917" s="1" t="str">
        <f t="shared" si="1228"/>
        <v>SMU</v>
      </c>
      <c r="AI1917" s="1" t="str">
        <f t="shared" si="1230"/>
        <v>F11</v>
      </c>
      <c r="AJ1917" s="1" t="str">
        <f t="shared" ref="AJ1917:AJ1948" si="1232">"WOMAN"</f>
        <v>WOMAN</v>
      </c>
      <c r="AK1917" s="1" t="str">
        <f t="shared" si="1203"/>
        <v>PA</v>
      </c>
      <c r="AP1917" s="1" t="str">
        <f t="shared" si="1204"/>
        <v>False</v>
      </c>
      <c r="AR1917" s="1" t="str">
        <f t="shared" ref="AR1917:AR1948" si="1233">"GALAD"</f>
        <v>GALAD</v>
      </c>
      <c r="AY1917" s="1" t="str">
        <f t="shared" si="1205"/>
        <v>PF</v>
      </c>
      <c r="AZ1917" s="1">
        <v>0</v>
      </c>
      <c r="BA1917" s="1">
        <v>0</v>
      </c>
      <c r="BB1917" s="1">
        <v>0</v>
      </c>
      <c r="BC1917" s="1">
        <v>0</v>
      </c>
      <c r="BD1917" s="1">
        <v>0</v>
      </c>
      <c r="BE1917" s="1" t="str">
        <f t="shared" ref="BE1917:BE1948" si="1234">"D GOMMA D.H.TWILL CANVAS+SINT."</f>
        <v>D GOMMA D.H.TWILL CANVAS+SINT.</v>
      </c>
      <c r="BF1917" s="1" t="str">
        <f t="shared" si="1206"/>
        <v>Bonis SpA</v>
      </c>
    </row>
    <row r="1918" spans="2:58" x14ac:dyDescent="0.25">
      <c r="B1918" s="1">
        <v>2554</v>
      </c>
      <c r="C1918" s="1" t="str">
        <f t="shared" si="1215"/>
        <v>GALAD4184S7/CY1</v>
      </c>
      <c r="E1918" s="1" t="str">
        <f>"40"</f>
        <v>40</v>
      </c>
      <c r="F1918" s="1" t="str">
        <f t="shared" si="1195"/>
        <v>BONIS SPA</v>
      </c>
      <c r="G1918" s="1" t="str">
        <f t="shared" si="1225"/>
        <v>STOCK SCAFFALE MP</v>
      </c>
      <c r="H1918" s="1" t="str">
        <f t="shared" si="1231"/>
        <v>DKBL</v>
      </c>
      <c r="K1918" s="1">
        <v>12</v>
      </c>
      <c r="L1918" s="1" t="str">
        <f t="shared" si="1196"/>
        <v>01</v>
      </c>
      <c r="M1918" s="1" t="str">
        <f t="shared" si="1227"/>
        <v>409</v>
      </c>
      <c r="N1918" s="1" t="str">
        <f t="shared" si="1229"/>
        <v>012</v>
      </c>
      <c r="O1918" s="1" t="str">
        <f t="shared" si="1197"/>
        <v>00</v>
      </c>
      <c r="P1918" s="1" t="str">
        <f t="shared" si="1198"/>
        <v>S</v>
      </c>
      <c r="Q1918" s="1" t="str">
        <f t="shared" si="1199"/>
        <v>P</v>
      </c>
      <c r="R1918" s="1" t="str">
        <f t="shared" si="1200"/>
        <v>01</v>
      </c>
      <c r="S1918" s="1" t="str">
        <f t="shared" si="1226"/>
        <v>04</v>
      </c>
      <c r="T1918" s="1" t="str">
        <f t="shared" si="1201"/>
        <v>False</v>
      </c>
      <c r="U1918" s="1" t="str">
        <f t="shared" si="1202"/>
        <v>True</v>
      </c>
      <c r="V1918" s="1" t="str">
        <f>"U0023518"</f>
        <v>U0023518</v>
      </c>
      <c r="W1918" s="1">
        <v>1</v>
      </c>
      <c r="Y1918" s="1">
        <v>0</v>
      </c>
      <c r="Z1918" s="1">
        <v>0</v>
      </c>
      <c r="AB1918" s="1" t="str">
        <f t="shared" si="1228"/>
        <v>SMU</v>
      </c>
      <c r="AI1918" s="1" t="str">
        <f t="shared" si="1230"/>
        <v>F11</v>
      </c>
      <c r="AJ1918" s="1" t="str">
        <f t="shared" si="1232"/>
        <v>WOMAN</v>
      </c>
      <c r="AK1918" s="1" t="str">
        <f t="shared" si="1203"/>
        <v>PA</v>
      </c>
      <c r="AP1918" s="1" t="str">
        <f t="shared" si="1204"/>
        <v>False</v>
      </c>
      <c r="AR1918" s="1" t="str">
        <f t="shared" si="1233"/>
        <v>GALAD</v>
      </c>
      <c r="AY1918" s="1" t="str">
        <f t="shared" si="1205"/>
        <v>PF</v>
      </c>
      <c r="AZ1918" s="1">
        <v>0</v>
      </c>
      <c r="BA1918" s="1">
        <v>0</v>
      </c>
      <c r="BB1918" s="1">
        <v>0</v>
      </c>
      <c r="BC1918" s="1">
        <v>0</v>
      </c>
      <c r="BD1918" s="1">
        <v>0</v>
      </c>
      <c r="BE1918" s="1" t="str">
        <f t="shared" si="1234"/>
        <v>D GOMMA D.H.TWILL CANVAS+SINT.</v>
      </c>
      <c r="BF1918" s="1" t="str">
        <f t="shared" si="1206"/>
        <v>Bonis SpA</v>
      </c>
    </row>
    <row r="1919" spans="2:58" x14ac:dyDescent="0.25">
      <c r="B1919" s="1">
        <v>2554</v>
      </c>
      <c r="C1919" s="1" t="str">
        <f t="shared" si="1215"/>
        <v>GALAD4184S7/CY1</v>
      </c>
      <c r="E1919" s="1" t="str">
        <f>"36"</f>
        <v>36</v>
      </c>
      <c r="F1919" s="1" t="str">
        <f t="shared" si="1195"/>
        <v>BONIS SPA</v>
      </c>
      <c r="G1919" s="1" t="str">
        <f t="shared" si="1225"/>
        <v>STOCK SCAFFALE MP</v>
      </c>
      <c r="H1919" s="1" t="str">
        <f t="shared" si="1231"/>
        <v>DKBL</v>
      </c>
      <c r="K1919" s="1">
        <v>1</v>
      </c>
      <c r="L1919" s="1" t="str">
        <f t="shared" si="1196"/>
        <v>01</v>
      </c>
      <c r="M1919" s="1" t="str">
        <f t="shared" si="1227"/>
        <v>409</v>
      </c>
      <c r="N1919" s="1" t="str">
        <f t="shared" si="1229"/>
        <v>012</v>
      </c>
      <c r="O1919" s="1" t="str">
        <f t="shared" si="1197"/>
        <v>00</v>
      </c>
      <c r="P1919" s="1" t="str">
        <f t="shared" si="1198"/>
        <v>S</v>
      </c>
      <c r="Q1919" s="1" t="str">
        <f t="shared" si="1199"/>
        <v>P</v>
      </c>
      <c r="R1919" s="1" t="str">
        <f t="shared" si="1200"/>
        <v>01</v>
      </c>
      <c r="S1919" s="1" t="str">
        <f t="shared" si="1226"/>
        <v>04</v>
      </c>
      <c r="T1919" s="1" t="str">
        <f t="shared" si="1201"/>
        <v>False</v>
      </c>
      <c r="U1919" s="1" t="str">
        <f t="shared" si="1202"/>
        <v>True</v>
      </c>
      <c r="V1919" s="1" t="str">
        <f>"U0023194"</f>
        <v>U0023194</v>
      </c>
      <c r="W1919" s="1">
        <v>1</v>
      </c>
      <c r="Y1919" s="1">
        <v>0</v>
      </c>
      <c r="Z1919" s="1">
        <v>0</v>
      </c>
      <c r="AB1919" s="1" t="str">
        <f t="shared" si="1228"/>
        <v>SMU</v>
      </c>
      <c r="AI1919" s="1" t="str">
        <f t="shared" si="1230"/>
        <v>F11</v>
      </c>
      <c r="AJ1919" s="1" t="str">
        <f t="shared" si="1232"/>
        <v>WOMAN</v>
      </c>
      <c r="AK1919" s="1" t="str">
        <f t="shared" si="1203"/>
        <v>PA</v>
      </c>
      <c r="AP1919" s="1" t="str">
        <f t="shared" si="1204"/>
        <v>False</v>
      </c>
      <c r="AR1919" s="1" t="str">
        <f t="shared" si="1233"/>
        <v>GALAD</v>
      </c>
      <c r="AY1919" s="1" t="str">
        <f t="shared" si="1205"/>
        <v>PF</v>
      </c>
      <c r="AZ1919" s="1">
        <v>0</v>
      </c>
      <c r="BA1919" s="1">
        <v>0</v>
      </c>
      <c r="BB1919" s="1">
        <v>0</v>
      </c>
      <c r="BC1919" s="1">
        <v>0</v>
      </c>
      <c r="BD1919" s="1">
        <v>0</v>
      </c>
      <c r="BE1919" s="1" t="str">
        <f t="shared" si="1234"/>
        <v>D GOMMA D.H.TWILL CANVAS+SINT.</v>
      </c>
      <c r="BF1919" s="1" t="str">
        <f t="shared" si="1206"/>
        <v>Bonis SpA</v>
      </c>
    </row>
    <row r="1920" spans="2:58" x14ac:dyDescent="0.25">
      <c r="B1920" s="1">
        <v>2554</v>
      </c>
      <c r="C1920" s="1" t="str">
        <f t="shared" si="1215"/>
        <v>GALAD4184S7/CY1</v>
      </c>
      <c r="E1920" s="1" t="str">
        <f>"38"</f>
        <v>38</v>
      </c>
      <c r="F1920" s="1" t="str">
        <f t="shared" si="1195"/>
        <v>BONIS SPA</v>
      </c>
      <c r="G1920" s="1" t="str">
        <f t="shared" si="1225"/>
        <v>STOCK SCAFFALE MP</v>
      </c>
      <c r="H1920" s="1" t="str">
        <f t="shared" si="1231"/>
        <v>DKBL</v>
      </c>
      <c r="K1920" s="1">
        <v>3</v>
      </c>
      <c r="L1920" s="1" t="str">
        <f t="shared" si="1196"/>
        <v>01</v>
      </c>
      <c r="M1920" s="1" t="str">
        <f t="shared" si="1227"/>
        <v>409</v>
      </c>
      <c r="N1920" s="1" t="str">
        <f t="shared" si="1229"/>
        <v>012</v>
      </c>
      <c r="O1920" s="1" t="str">
        <f t="shared" si="1197"/>
        <v>00</v>
      </c>
      <c r="P1920" s="1" t="str">
        <f t="shared" si="1198"/>
        <v>S</v>
      </c>
      <c r="Q1920" s="1" t="str">
        <f t="shared" si="1199"/>
        <v>P</v>
      </c>
      <c r="R1920" s="1" t="str">
        <f t="shared" si="1200"/>
        <v>01</v>
      </c>
      <c r="S1920" s="1" t="str">
        <f t="shared" si="1226"/>
        <v>04</v>
      </c>
      <c r="T1920" s="1" t="str">
        <f t="shared" si="1201"/>
        <v>False</v>
      </c>
      <c r="U1920" s="1" t="str">
        <f t="shared" si="1202"/>
        <v>True</v>
      </c>
      <c r="V1920" s="1" t="str">
        <f>"U0023194"</f>
        <v>U0023194</v>
      </c>
      <c r="W1920" s="1">
        <v>1</v>
      </c>
      <c r="Y1920" s="1">
        <v>0</v>
      </c>
      <c r="Z1920" s="1">
        <v>0</v>
      </c>
      <c r="AB1920" s="1" t="str">
        <f t="shared" si="1228"/>
        <v>SMU</v>
      </c>
      <c r="AI1920" s="1" t="str">
        <f t="shared" si="1230"/>
        <v>F11</v>
      </c>
      <c r="AJ1920" s="1" t="str">
        <f t="shared" si="1232"/>
        <v>WOMAN</v>
      </c>
      <c r="AK1920" s="1" t="str">
        <f t="shared" si="1203"/>
        <v>PA</v>
      </c>
      <c r="AP1920" s="1" t="str">
        <f t="shared" si="1204"/>
        <v>False</v>
      </c>
      <c r="AR1920" s="1" t="str">
        <f t="shared" si="1233"/>
        <v>GALAD</v>
      </c>
      <c r="AY1920" s="1" t="str">
        <f t="shared" si="1205"/>
        <v>PF</v>
      </c>
      <c r="AZ1920" s="1">
        <v>0</v>
      </c>
      <c r="BA1920" s="1">
        <v>0</v>
      </c>
      <c r="BB1920" s="1">
        <v>0</v>
      </c>
      <c r="BC1920" s="1">
        <v>0</v>
      </c>
      <c r="BD1920" s="1">
        <v>0</v>
      </c>
      <c r="BE1920" s="1" t="str">
        <f t="shared" si="1234"/>
        <v>D GOMMA D.H.TWILL CANVAS+SINT.</v>
      </c>
      <c r="BF1920" s="1" t="str">
        <f t="shared" si="1206"/>
        <v>Bonis SpA</v>
      </c>
    </row>
    <row r="1921" spans="2:58" x14ac:dyDescent="0.25">
      <c r="B1921" s="1">
        <v>2554</v>
      </c>
      <c r="C1921" s="1" t="str">
        <f t="shared" si="1215"/>
        <v>GALAD4184S7/CY1</v>
      </c>
      <c r="E1921" s="1" t="str">
        <f>"37"</f>
        <v>37</v>
      </c>
      <c r="F1921" s="1" t="str">
        <f t="shared" si="1195"/>
        <v>BONIS SPA</v>
      </c>
      <c r="G1921" s="1" t="str">
        <f t="shared" si="1225"/>
        <v>STOCK SCAFFALE MP</v>
      </c>
      <c r="H1921" s="1" t="str">
        <f t="shared" si="1231"/>
        <v>DKBL</v>
      </c>
      <c r="K1921" s="1">
        <v>1</v>
      </c>
      <c r="L1921" s="1" t="str">
        <f t="shared" si="1196"/>
        <v>01</v>
      </c>
      <c r="M1921" s="1" t="str">
        <f t="shared" si="1227"/>
        <v>409</v>
      </c>
      <c r="N1921" s="1" t="str">
        <f t="shared" si="1229"/>
        <v>012</v>
      </c>
      <c r="O1921" s="1" t="str">
        <f t="shared" si="1197"/>
        <v>00</v>
      </c>
      <c r="P1921" s="1" t="str">
        <f t="shared" si="1198"/>
        <v>S</v>
      </c>
      <c r="Q1921" s="1" t="str">
        <f t="shared" si="1199"/>
        <v>P</v>
      </c>
      <c r="R1921" s="1" t="str">
        <f t="shared" si="1200"/>
        <v>01</v>
      </c>
      <c r="S1921" s="1" t="str">
        <f t="shared" si="1226"/>
        <v>04</v>
      </c>
      <c r="T1921" s="1" t="str">
        <f t="shared" si="1201"/>
        <v>False</v>
      </c>
      <c r="U1921" s="1" t="str">
        <f t="shared" si="1202"/>
        <v>True</v>
      </c>
      <c r="V1921" s="1" t="str">
        <f>"U0023194"</f>
        <v>U0023194</v>
      </c>
      <c r="W1921" s="1">
        <v>1</v>
      </c>
      <c r="Y1921" s="1">
        <v>0</v>
      </c>
      <c r="Z1921" s="1">
        <v>0</v>
      </c>
      <c r="AB1921" s="1" t="str">
        <f t="shared" si="1228"/>
        <v>SMU</v>
      </c>
      <c r="AI1921" s="1" t="str">
        <f t="shared" si="1230"/>
        <v>F11</v>
      </c>
      <c r="AJ1921" s="1" t="str">
        <f t="shared" si="1232"/>
        <v>WOMAN</v>
      </c>
      <c r="AK1921" s="1" t="str">
        <f t="shared" si="1203"/>
        <v>PA</v>
      </c>
      <c r="AP1921" s="1" t="str">
        <f t="shared" si="1204"/>
        <v>False</v>
      </c>
      <c r="AR1921" s="1" t="str">
        <f t="shared" si="1233"/>
        <v>GALAD</v>
      </c>
      <c r="AY1921" s="1" t="str">
        <f t="shared" si="1205"/>
        <v>PF</v>
      </c>
      <c r="AZ1921" s="1">
        <v>0</v>
      </c>
      <c r="BA1921" s="1">
        <v>0</v>
      </c>
      <c r="BB1921" s="1">
        <v>0</v>
      </c>
      <c r="BC1921" s="1">
        <v>0</v>
      </c>
      <c r="BD1921" s="1">
        <v>0</v>
      </c>
      <c r="BE1921" s="1" t="str">
        <f t="shared" si="1234"/>
        <v>D GOMMA D.H.TWILL CANVAS+SINT.</v>
      </c>
      <c r="BF1921" s="1" t="str">
        <f t="shared" si="1206"/>
        <v>Bonis SpA</v>
      </c>
    </row>
    <row r="1922" spans="2:58" x14ac:dyDescent="0.25">
      <c r="B1922" s="1">
        <v>2554</v>
      </c>
      <c r="C1922" s="1" t="str">
        <f t="shared" si="1215"/>
        <v>GALAD4184S7/CY1</v>
      </c>
      <c r="E1922" s="1" t="str">
        <f>"40"</f>
        <v>40</v>
      </c>
      <c r="F1922" s="1" t="str">
        <f t="shared" ref="F1922:F1985" si="1235">"BONIS SPA"</f>
        <v>BONIS SPA</v>
      </c>
      <c r="G1922" s="1" t="str">
        <f t="shared" si="1225"/>
        <v>STOCK SCAFFALE MP</v>
      </c>
      <c r="H1922" s="1" t="str">
        <f t="shared" si="1231"/>
        <v>DKBL</v>
      </c>
      <c r="K1922" s="1">
        <v>2</v>
      </c>
      <c r="L1922" s="1" t="str">
        <f t="shared" ref="L1922:L1985" si="1236">"01"</f>
        <v>01</v>
      </c>
      <c r="M1922" s="1" t="str">
        <f t="shared" si="1227"/>
        <v>409</v>
      </c>
      <c r="N1922" s="1" t="str">
        <f t="shared" si="1229"/>
        <v>012</v>
      </c>
      <c r="O1922" s="1" t="str">
        <f t="shared" ref="O1922:O1985" si="1237">"00"</f>
        <v>00</v>
      </c>
      <c r="P1922" s="1" t="str">
        <f t="shared" ref="P1922:P1985" si="1238">"S"</f>
        <v>S</v>
      </c>
      <c r="Q1922" s="1" t="str">
        <f t="shared" ref="Q1922:Q1985" si="1239">"P"</f>
        <v>P</v>
      </c>
      <c r="R1922" s="1" t="str">
        <f t="shared" ref="R1922:R1985" si="1240">"01"</f>
        <v>01</v>
      </c>
      <c r="S1922" s="1" t="str">
        <f t="shared" si="1226"/>
        <v>04</v>
      </c>
      <c r="T1922" s="1" t="str">
        <f t="shared" ref="T1922:T1985" si="1241">"False"</f>
        <v>False</v>
      </c>
      <c r="U1922" s="1" t="str">
        <f t="shared" ref="U1922:U1985" si="1242">"True"</f>
        <v>True</v>
      </c>
      <c r="V1922" s="1" t="str">
        <f>"U0023194"</f>
        <v>U0023194</v>
      </c>
      <c r="W1922" s="1">
        <v>1</v>
      </c>
      <c r="Y1922" s="1">
        <v>0</v>
      </c>
      <c r="Z1922" s="1">
        <v>0</v>
      </c>
      <c r="AB1922" s="1" t="str">
        <f t="shared" si="1228"/>
        <v>SMU</v>
      </c>
      <c r="AI1922" s="1" t="str">
        <f t="shared" si="1230"/>
        <v>F11</v>
      </c>
      <c r="AJ1922" s="1" t="str">
        <f t="shared" si="1232"/>
        <v>WOMAN</v>
      </c>
      <c r="AK1922" s="1" t="str">
        <f t="shared" ref="AK1922:AK1985" si="1243">"PA"</f>
        <v>PA</v>
      </c>
      <c r="AP1922" s="1" t="str">
        <f t="shared" ref="AP1922:AP1985" si="1244">"False"</f>
        <v>False</v>
      </c>
      <c r="AR1922" s="1" t="str">
        <f t="shared" si="1233"/>
        <v>GALAD</v>
      </c>
      <c r="AY1922" s="1" t="str">
        <f t="shared" ref="AY1922:AY1985" si="1245">"PF"</f>
        <v>PF</v>
      </c>
      <c r="AZ1922" s="1">
        <v>0</v>
      </c>
      <c r="BA1922" s="1">
        <v>0</v>
      </c>
      <c r="BB1922" s="1">
        <v>0</v>
      </c>
      <c r="BC1922" s="1">
        <v>0</v>
      </c>
      <c r="BD1922" s="1">
        <v>0</v>
      </c>
      <c r="BE1922" s="1" t="str">
        <f t="shared" si="1234"/>
        <v>D GOMMA D.H.TWILL CANVAS+SINT.</v>
      </c>
      <c r="BF1922" s="1" t="str">
        <f t="shared" ref="BF1922:BF1985" si="1246">"Bonis SpA"</f>
        <v>Bonis SpA</v>
      </c>
    </row>
    <row r="1923" spans="2:58" x14ac:dyDescent="0.25">
      <c r="B1923" s="1">
        <v>2554</v>
      </c>
      <c r="C1923" s="1" t="str">
        <f t="shared" si="1215"/>
        <v>GALAD4184S7/CY1</v>
      </c>
      <c r="E1923" s="1" t="str">
        <f>"37"</f>
        <v>37</v>
      </c>
      <c r="F1923" s="1" t="str">
        <f t="shared" si="1235"/>
        <v>BONIS SPA</v>
      </c>
      <c r="G1923" s="1" t="str">
        <f t="shared" si="1225"/>
        <v>STOCK SCAFFALE MP</v>
      </c>
      <c r="H1923" s="1" t="str">
        <f t="shared" si="1231"/>
        <v>DKBL</v>
      </c>
      <c r="K1923" s="1">
        <v>12</v>
      </c>
      <c r="L1923" s="1" t="str">
        <f t="shared" si="1236"/>
        <v>01</v>
      </c>
      <c r="M1923" s="1" t="str">
        <f t="shared" si="1227"/>
        <v>409</v>
      </c>
      <c r="N1923" s="1" t="str">
        <f t="shared" si="1229"/>
        <v>012</v>
      </c>
      <c r="O1923" s="1" t="str">
        <f t="shared" si="1237"/>
        <v>00</v>
      </c>
      <c r="P1923" s="1" t="str">
        <f t="shared" si="1238"/>
        <v>S</v>
      </c>
      <c r="Q1923" s="1" t="str">
        <f t="shared" si="1239"/>
        <v>P</v>
      </c>
      <c r="R1923" s="1" t="str">
        <f t="shared" si="1240"/>
        <v>01</v>
      </c>
      <c r="S1923" s="1" t="str">
        <f t="shared" si="1226"/>
        <v>04</v>
      </c>
      <c r="T1923" s="1" t="str">
        <f t="shared" si="1241"/>
        <v>False</v>
      </c>
      <c r="U1923" s="1" t="str">
        <f t="shared" si="1242"/>
        <v>True</v>
      </c>
      <c r="V1923" s="1" t="str">
        <f>"U0023195"</f>
        <v>U0023195</v>
      </c>
      <c r="W1923" s="1">
        <v>1</v>
      </c>
      <c r="Y1923" s="1">
        <v>0</v>
      </c>
      <c r="Z1923" s="1">
        <v>0</v>
      </c>
      <c r="AB1923" s="1" t="str">
        <f t="shared" si="1228"/>
        <v>SMU</v>
      </c>
      <c r="AI1923" s="1" t="str">
        <f t="shared" si="1230"/>
        <v>F11</v>
      </c>
      <c r="AJ1923" s="1" t="str">
        <f t="shared" si="1232"/>
        <v>WOMAN</v>
      </c>
      <c r="AK1923" s="1" t="str">
        <f t="shared" si="1243"/>
        <v>PA</v>
      </c>
      <c r="AP1923" s="1" t="str">
        <f t="shared" si="1244"/>
        <v>False</v>
      </c>
      <c r="AR1923" s="1" t="str">
        <f t="shared" si="1233"/>
        <v>GALAD</v>
      </c>
      <c r="AY1923" s="1" t="str">
        <f t="shared" si="1245"/>
        <v>PF</v>
      </c>
      <c r="AZ1923" s="1">
        <v>0</v>
      </c>
      <c r="BA1923" s="1">
        <v>0</v>
      </c>
      <c r="BB1923" s="1">
        <v>0</v>
      </c>
      <c r="BC1923" s="1">
        <v>0</v>
      </c>
      <c r="BD1923" s="1">
        <v>0</v>
      </c>
      <c r="BE1923" s="1" t="str">
        <f t="shared" si="1234"/>
        <v>D GOMMA D.H.TWILL CANVAS+SINT.</v>
      </c>
      <c r="BF1923" s="1" t="str">
        <f t="shared" si="1246"/>
        <v>Bonis SpA</v>
      </c>
    </row>
    <row r="1924" spans="2:58" x14ac:dyDescent="0.25">
      <c r="B1924" s="1">
        <v>2554</v>
      </c>
      <c r="C1924" s="1" t="str">
        <f t="shared" si="1215"/>
        <v>GALAD4184S7/CY1</v>
      </c>
      <c r="E1924" s="1" t="str">
        <f>"37"</f>
        <v>37</v>
      </c>
      <c r="F1924" s="1" t="str">
        <f t="shared" si="1235"/>
        <v>BONIS SPA</v>
      </c>
      <c r="G1924" s="1" t="str">
        <f t="shared" si="1225"/>
        <v>STOCK SCAFFALE MP</v>
      </c>
      <c r="H1924" s="1" t="str">
        <f>"BLK"</f>
        <v>BLK</v>
      </c>
      <c r="K1924" s="1">
        <v>3</v>
      </c>
      <c r="L1924" s="1" t="str">
        <f t="shared" si="1236"/>
        <v>01</v>
      </c>
      <c r="M1924" s="1" t="str">
        <f t="shared" si="1227"/>
        <v>409</v>
      </c>
      <c r="N1924" s="1" t="str">
        <f t="shared" si="1229"/>
        <v>012</v>
      </c>
      <c r="O1924" s="1" t="str">
        <f t="shared" si="1237"/>
        <v>00</v>
      </c>
      <c r="P1924" s="1" t="str">
        <f t="shared" si="1238"/>
        <v>S</v>
      </c>
      <c r="Q1924" s="1" t="str">
        <f t="shared" si="1239"/>
        <v>P</v>
      </c>
      <c r="R1924" s="1" t="str">
        <f t="shared" si="1240"/>
        <v>01</v>
      </c>
      <c r="S1924" s="1" t="str">
        <f t="shared" si="1226"/>
        <v>04</v>
      </c>
      <c r="T1924" s="1" t="str">
        <f t="shared" si="1241"/>
        <v>False</v>
      </c>
      <c r="U1924" s="1" t="str">
        <f t="shared" si="1242"/>
        <v>True</v>
      </c>
      <c r="V1924" s="1" t="str">
        <f>"U0023757"</f>
        <v>U0023757</v>
      </c>
      <c r="W1924" s="1">
        <v>1</v>
      </c>
      <c r="Y1924" s="1">
        <v>0</v>
      </c>
      <c r="Z1924" s="1">
        <v>0</v>
      </c>
      <c r="AB1924" s="1" t="str">
        <f t="shared" si="1228"/>
        <v>SMU</v>
      </c>
      <c r="AI1924" s="1" t="str">
        <f t="shared" si="1230"/>
        <v>F11</v>
      </c>
      <c r="AJ1924" s="1" t="str">
        <f t="shared" si="1232"/>
        <v>WOMAN</v>
      </c>
      <c r="AK1924" s="1" t="str">
        <f t="shared" si="1243"/>
        <v>PA</v>
      </c>
      <c r="AP1924" s="1" t="str">
        <f t="shared" si="1244"/>
        <v>False</v>
      </c>
      <c r="AR1924" s="1" t="str">
        <f t="shared" si="1233"/>
        <v>GALAD</v>
      </c>
      <c r="AY1924" s="1" t="str">
        <f t="shared" si="1245"/>
        <v>PF</v>
      </c>
      <c r="AZ1924" s="1">
        <v>0</v>
      </c>
      <c r="BA1924" s="1">
        <v>0</v>
      </c>
      <c r="BB1924" s="1">
        <v>0</v>
      </c>
      <c r="BC1924" s="1">
        <v>0</v>
      </c>
      <c r="BD1924" s="1">
        <v>0</v>
      </c>
      <c r="BE1924" s="1" t="str">
        <f t="shared" si="1234"/>
        <v>D GOMMA D.H.TWILL CANVAS+SINT.</v>
      </c>
      <c r="BF1924" s="1" t="str">
        <f t="shared" si="1246"/>
        <v>Bonis SpA</v>
      </c>
    </row>
    <row r="1925" spans="2:58" x14ac:dyDescent="0.25">
      <c r="B1925" s="1">
        <v>2554</v>
      </c>
      <c r="C1925" s="1" t="str">
        <f>"GALAD4185S7/CY1"</f>
        <v>GALAD4185S7/CY1</v>
      </c>
      <c r="E1925" s="1" t="str">
        <f>"36"</f>
        <v>36</v>
      </c>
      <c r="F1925" s="1" t="str">
        <f t="shared" si="1235"/>
        <v>BONIS SPA</v>
      </c>
      <c r="G1925" s="1" t="str">
        <f t="shared" si="1225"/>
        <v>STOCK SCAFFALE MP</v>
      </c>
      <c r="H1925" s="1" t="str">
        <f>"DKBL"</f>
        <v>DKBL</v>
      </c>
      <c r="K1925" s="1">
        <v>4</v>
      </c>
      <c r="L1925" s="1" t="str">
        <f t="shared" si="1236"/>
        <v>01</v>
      </c>
      <c r="M1925" s="1" t="str">
        <f t="shared" si="1227"/>
        <v>409</v>
      </c>
      <c r="N1925" s="1" t="str">
        <f t="shared" si="1229"/>
        <v>012</v>
      </c>
      <c r="O1925" s="1" t="str">
        <f t="shared" si="1237"/>
        <v>00</v>
      </c>
      <c r="P1925" s="1" t="str">
        <f t="shared" si="1238"/>
        <v>S</v>
      </c>
      <c r="Q1925" s="1" t="str">
        <f t="shared" si="1239"/>
        <v>P</v>
      </c>
      <c r="R1925" s="1" t="str">
        <f t="shared" si="1240"/>
        <v>01</v>
      </c>
      <c r="S1925" s="1" t="str">
        <f t="shared" si="1226"/>
        <v>04</v>
      </c>
      <c r="T1925" s="1" t="str">
        <f t="shared" si="1241"/>
        <v>False</v>
      </c>
      <c r="U1925" s="1" t="str">
        <f t="shared" si="1242"/>
        <v>True</v>
      </c>
      <c r="V1925" s="1" t="str">
        <f>"U0023757"</f>
        <v>U0023757</v>
      </c>
      <c r="W1925" s="1">
        <v>1</v>
      </c>
      <c r="Y1925" s="1">
        <v>0</v>
      </c>
      <c r="Z1925" s="1">
        <v>0</v>
      </c>
      <c r="AB1925" s="1" t="str">
        <f t="shared" si="1228"/>
        <v>SMU</v>
      </c>
      <c r="AI1925" s="1" t="str">
        <f t="shared" si="1230"/>
        <v>F11</v>
      </c>
      <c r="AJ1925" s="1" t="str">
        <f t="shared" si="1232"/>
        <v>WOMAN</v>
      </c>
      <c r="AK1925" s="1" t="str">
        <f t="shared" si="1243"/>
        <v>PA</v>
      </c>
      <c r="AP1925" s="1" t="str">
        <f t="shared" si="1244"/>
        <v>False</v>
      </c>
      <c r="AR1925" s="1" t="str">
        <f t="shared" si="1233"/>
        <v>GALAD</v>
      </c>
      <c r="AY1925" s="1" t="str">
        <f t="shared" si="1245"/>
        <v>PF</v>
      </c>
      <c r="AZ1925" s="1">
        <v>0</v>
      </c>
      <c r="BA1925" s="1">
        <v>0</v>
      </c>
      <c r="BB1925" s="1">
        <v>0</v>
      </c>
      <c r="BC1925" s="1">
        <v>0</v>
      </c>
      <c r="BD1925" s="1">
        <v>0</v>
      </c>
      <c r="BE1925" s="1" t="str">
        <f t="shared" si="1234"/>
        <v>D GOMMA D.H.TWILL CANVAS+SINT.</v>
      </c>
      <c r="BF1925" s="1" t="str">
        <f t="shared" si="1246"/>
        <v>Bonis SpA</v>
      </c>
    </row>
    <row r="1926" spans="2:58" x14ac:dyDescent="0.25">
      <c r="B1926" s="1">
        <v>2554</v>
      </c>
      <c r="C1926" s="1" t="str">
        <f>"GALAD4185S7/CY1"</f>
        <v>GALAD4185S7/CY1</v>
      </c>
      <c r="E1926" s="1" t="str">
        <f>"37"</f>
        <v>37</v>
      </c>
      <c r="F1926" s="1" t="str">
        <f t="shared" si="1235"/>
        <v>BONIS SPA</v>
      </c>
      <c r="G1926" s="1" t="str">
        <f t="shared" si="1225"/>
        <v>STOCK SCAFFALE MP</v>
      </c>
      <c r="H1926" s="1" t="str">
        <f>"DKBL"</f>
        <v>DKBL</v>
      </c>
      <c r="K1926" s="1">
        <v>1</v>
      </c>
      <c r="L1926" s="1" t="str">
        <f t="shared" si="1236"/>
        <v>01</v>
      </c>
      <c r="M1926" s="1" t="str">
        <f t="shared" si="1227"/>
        <v>409</v>
      </c>
      <c r="N1926" s="1" t="str">
        <f t="shared" si="1229"/>
        <v>012</v>
      </c>
      <c r="O1926" s="1" t="str">
        <f t="shared" si="1237"/>
        <v>00</v>
      </c>
      <c r="P1926" s="1" t="str">
        <f t="shared" si="1238"/>
        <v>S</v>
      </c>
      <c r="Q1926" s="1" t="str">
        <f t="shared" si="1239"/>
        <v>P</v>
      </c>
      <c r="R1926" s="1" t="str">
        <f t="shared" si="1240"/>
        <v>01</v>
      </c>
      <c r="S1926" s="1" t="str">
        <f t="shared" si="1226"/>
        <v>04</v>
      </c>
      <c r="T1926" s="1" t="str">
        <f t="shared" si="1241"/>
        <v>False</v>
      </c>
      <c r="U1926" s="1" t="str">
        <f t="shared" si="1242"/>
        <v>True</v>
      </c>
      <c r="V1926" s="1" t="str">
        <f>"U0023757"</f>
        <v>U0023757</v>
      </c>
      <c r="W1926" s="1">
        <v>1</v>
      </c>
      <c r="Y1926" s="1">
        <v>0</v>
      </c>
      <c r="Z1926" s="1">
        <v>0</v>
      </c>
      <c r="AB1926" s="1" t="str">
        <f t="shared" si="1228"/>
        <v>SMU</v>
      </c>
      <c r="AI1926" s="1" t="str">
        <f t="shared" si="1230"/>
        <v>F11</v>
      </c>
      <c r="AJ1926" s="1" t="str">
        <f t="shared" si="1232"/>
        <v>WOMAN</v>
      </c>
      <c r="AK1926" s="1" t="str">
        <f t="shared" si="1243"/>
        <v>PA</v>
      </c>
      <c r="AP1926" s="1" t="str">
        <f t="shared" si="1244"/>
        <v>False</v>
      </c>
      <c r="AR1926" s="1" t="str">
        <f t="shared" si="1233"/>
        <v>GALAD</v>
      </c>
      <c r="AY1926" s="1" t="str">
        <f t="shared" si="1245"/>
        <v>PF</v>
      </c>
      <c r="AZ1926" s="1">
        <v>0</v>
      </c>
      <c r="BA1926" s="1">
        <v>0</v>
      </c>
      <c r="BB1926" s="1">
        <v>0</v>
      </c>
      <c r="BC1926" s="1">
        <v>0</v>
      </c>
      <c r="BD1926" s="1">
        <v>0</v>
      </c>
      <c r="BE1926" s="1" t="str">
        <f t="shared" si="1234"/>
        <v>D GOMMA D.H.TWILL CANVAS+SINT.</v>
      </c>
      <c r="BF1926" s="1" t="str">
        <f t="shared" si="1246"/>
        <v>Bonis SpA</v>
      </c>
    </row>
    <row r="1927" spans="2:58" x14ac:dyDescent="0.25">
      <c r="B1927" s="1">
        <v>2554</v>
      </c>
      <c r="C1927" s="1" t="str">
        <f t="shared" ref="C1927:C1933" si="1247">"GALAD4184S7/CY1"</f>
        <v>GALAD4184S7/CY1</v>
      </c>
      <c r="E1927" s="1" t="str">
        <f>"39"</f>
        <v>39</v>
      </c>
      <c r="F1927" s="1" t="str">
        <f t="shared" si="1235"/>
        <v>BONIS SPA</v>
      </c>
      <c r="G1927" s="1" t="str">
        <f t="shared" si="1225"/>
        <v>STOCK SCAFFALE MP</v>
      </c>
      <c r="H1927" s="1" t="str">
        <f>"DKBL"</f>
        <v>DKBL</v>
      </c>
      <c r="K1927" s="1">
        <v>12</v>
      </c>
      <c r="L1927" s="1" t="str">
        <f t="shared" si="1236"/>
        <v>01</v>
      </c>
      <c r="M1927" s="1" t="str">
        <f t="shared" si="1227"/>
        <v>409</v>
      </c>
      <c r="N1927" s="1" t="str">
        <f t="shared" si="1229"/>
        <v>012</v>
      </c>
      <c r="O1927" s="1" t="str">
        <f t="shared" si="1237"/>
        <v>00</v>
      </c>
      <c r="P1927" s="1" t="str">
        <f t="shared" si="1238"/>
        <v>S</v>
      </c>
      <c r="Q1927" s="1" t="str">
        <f t="shared" si="1239"/>
        <v>P</v>
      </c>
      <c r="R1927" s="1" t="str">
        <f t="shared" si="1240"/>
        <v>01</v>
      </c>
      <c r="S1927" s="1" t="str">
        <f t="shared" si="1226"/>
        <v>04</v>
      </c>
      <c r="T1927" s="1" t="str">
        <f t="shared" si="1241"/>
        <v>False</v>
      </c>
      <c r="U1927" s="1" t="str">
        <f t="shared" si="1242"/>
        <v>True</v>
      </c>
      <c r="V1927" s="1" t="str">
        <f>"U0028079"</f>
        <v>U0028079</v>
      </c>
      <c r="W1927" s="1">
        <v>1</v>
      </c>
      <c r="Y1927" s="1">
        <v>0</v>
      </c>
      <c r="Z1927" s="1">
        <v>0</v>
      </c>
      <c r="AB1927" s="1" t="str">
        <f t="shared" si="1228"/>
        <v>SMU</v>
      </c>
      <c r="AI1927" s="1" t="str">
        <f t="shared" si="1230"/>
        <v>F11</v>
      </c>
      <c r="AJ1927" s="1" t="str">
        <f t="shared" si="1232"/>
        <v>WOMAN</v>
      </c>
      <c r="AK1927" s="1" t="str">
        <f t="shared" si="1243"/>
        <v>PA</v>
      </c>
      <c r="AP1927" s="1" t="str">
        <f t="shared" si="1244"/>
        <v>False</v>
      </c>
      <c r="AR1927" s="1" t="str">
        <f t="shared" si="1233"/>
        <v>GALAD</v>
      </c>
      <c r="AY1927" s="1" t="str">
        <f t="shared" si="1245"/>
        <v>PF</v>
      </c>
      <c r="AZ1927" s="1">
        <v>0</v>
      </c>
      <c r="BA1927" s="1">
        <v>0</v>
      </c>
      <c r="BB1927" s="1">
        <v>0</v>
      </c>
      <c r="BC1927" s="1">
        <v>0</v>
      </c>
      <c r="BD1927" s="1">
        <v>0</v>
      </c>
      <c r="BE1927" s="1" t="str">
        <f t="shared" si="1234"/>
        <v>D GOMMA D.H.TWILL CANVAS+SINT.</v>
      </c>
      <c r="BF1927" s="1" t="str">
        <f t="shared" si="1246"/>
        <v>Bonis SpA</v>
      </c>
    </row>
    <row r="1928" spans="2:58" x14ac:dyDescent="0.25">
      <c r="B1928" s="1">
        <v>2554</v>
      </c>
      <c r="C1928" s="1" t="str">
        <f t="shared" si="1247"/>
        <v>GALAD4184S7/CY1</v>
      </c>
      <c r="E1928" s="1" t="str">
        <f>"36"</f>
        <v>36</v>
      </c>
      <c r="F1928" s="1" t="str">
        <f t="shared" si="1235"/>
        <v>BONIS SPA</v>
      </c>
      <c r="G1928" s="1" t="str">
        <f t="shared" si="1225"/>
        <v>STOCK SCAFFALE MP</v>
      </c>
      <c r="H1928" s="1" t="str">
        <f t="shared" ref="H1928:H1933" si="1248">"BLK"</f>
        <v>BLK</v>
      </c>
      <c r="K1928" s="1">
        <v>2</v>
      </c>
      <c r="L1928" s="1" t="str">
        <f t="shared" si="1236"/>
        <v>01</v>
      </c>
      <c r="M1928" s="1" t="str">
        <f t="shared" si="1227"/>
        <v>409</v>
      </c>
      <c r="N1928" s="1" t="str">
        <f t="shared" si="1229"/>
        <v>012</v>
      </c>
      <c r="O1928" s="1" t="str">
        <f t="shared" si="1237"/>
        <v>00</v>
      </c>
      <c r="P1928" s="1" t="str">
        <f t="shared" si="1238"/>
        <v>S</v>
      </c>
      <c r="Q1928" s="1" t="str">
        <f t="shared" si="1239"/>
        <v>P</v>
      </c>
      <c r="R1928" s="1" t="str">
        <f t="shared" si="1240"/>
        <v>01</v>
      </c>
      <c r="S1928" s="1" t="str">
        <f t="shared" si="1226"/>
        <v>04</v>
      </c>
      <c r="T1928" s="1" t="str">
        <f t="shared" si="1241"/>
        <v>False</v>
      </c>
      <c r="U1928" s="1" t="str">
        <f t="shared" si="1242"/>
        <v>True</v>
      </c>
      <c r="V1928" s="1" t="str">
        <f>"U0028080"</f>
        <v>U0028080</v>
      </c>
      <c r="W1928" s="1">
        <v>1</v>
      </c>
      <c r="Y1928" s="1">
        <v>0</v>
      </c>
      <c r="Z1928" s="1">
        <v>0</v>
      </c>
      <c r="AB1928" s="1" t="str">
        <f t="shared" si="1228"/>
        <v>SMU</v>
      </c>
      <c r="AI1928" s="1" t="str">
        <f t="shared" si="1230"/>
        <v>F11</v>
      </c>
      <c r="AJ1928" s="1" t="str">
        <f t="shared" si="1232"/>
        <v>WOMAN</v>
      </c>
      <c r="AK1928" s="1" t="str">
        <f t="shared" si="1243"/>
        <v>PA</v>
      </c>
      <c r="AP1928" s="1" t="str">
        <f t="shared" si="1244"/>
        <v>False</v>
      </c>
      <c r="AR1928" s="1" t="str">
        <f t="shared" si="1233"/>
        <v>GALAD</v>
      </c>
      <c r="AY1928" s="1" t="str">
        <f t="shared" si="1245"/>
        <v>PF</v>
      </c>
      <c r="AZ1928" s="1">
        <v>0</v>
      </c>
      <c r="BA1928" s="1">
        <v>0</v>
      </c>
      <c r="BB1928" s="1">
        <v>0</v>
      </c>
      <c r="BC1928" s="1">
        <v>0</v>
      </c>
      <c r="BD1928" s="1">
        <v>0</v>
      </c>
      <c r="BE1928" s="1" t="str">
        <f t="shared" si="1234"/>
        <v>D GOMMA D.H.TWILL CANVAS+SINT.</v>
      </c>
      <c r="BF1928" s="1" t="str">
        <f t="shared" si="1246"/>
        <v>Bonis SpA</v>
      </c>
    </row>
    <row r="1929" spans="2:58" x14ac:dyDescent="0.25">
      <c r="B1929" s="1">
        <v>2554</v>
      </c>
      <c r="C1929" s="1" t="str">
        <f t="shared" si="1247"/>
        <v>GALAD4184S7/CY1</v>
      </c>
      <c r="E1929" s="1" t="str">
        <f>"40"</f>
        <v>40</v>
      </c>
      <c r="F1929" s="1" t="str">
        <f t="shared" si="1235"/>
        <v>BONIS SPA</v>
      </c>
      <c r="G1929" s="1" t="str">
        <f t="shared" si="1225"/>
        <v>STOCK SCAFFALE MP</v>
      </c>
      <c r="H1929" s="1" t="str">
        <f t="shared" si="1248"/>
        <v>BLK</v>
      </c>
      <c r="K1929" s="1">
        <v>2</v>
      </c>
      <c r="L1929" s="1" t="str">
        <f t="shared" si="1236"/>
        <v>01</v>
      </c>
      <c r="M1929" s="1" t="str">
        <f t="shared" si="1227"/>
        <v>409</v>
      </c>
      <c r="N1929" s="1" t="str">
        <f t="shared" si="1229"/>
        <v>012</v>
      </c>
      <c r="O1929" s="1" t="str">
        <f t="shared" si="1237"/>
        <v>00</v>
      </c>
      <c r="P1929" s="1" t="str">
        <f t="shared" si="1238"/>
        <v>S</v>
      </c>
      <c r="Q1929" s="1" t="str">
        <f t="shared" si="1239"/>
        <v>P</v>
      </c>
      <c r="R1929" s="1" t="str">
        <f t="shared" si="1240"/>
        <v>01</v>
      </c>
      <c r="S1929" s="1" t="str">
        <f t="shared" si="1226"/>
        <v>04</v>
      </c>
      <c r="T1929" s="1" t="str">
        <f t="shared" si="1241"/>
        <v>False</v>
      </c>
      <c r="U1929" s="1" t="str">
        <f t="shared" si="1242"/>
        <v>True</v>
      </c>
      <c r="V1929" s="1" t="str">
        <f>"U0028080"</f>
        <v>U0028080</v>
      </c>
      <c r="W1929" s="1">
        <v>1</v>
      </c>
      <c r="Y1929" s="1">
        <v>0</v>
      </c>
      <c r="Z1929" s="1">
        <v>0</v>
      </c>
      <c r="AB1929" s="1" t="str">
        <f t="shared" si="1228"/>
        <v>SMU</v>
      </c>
      <c r="AI1929" s="1" t="str">
        <f t="shared" si="1230"/>
        <v>F11</v>
      </c>
      <c r="AJ1929" s="1" t="str">
        <f t="shared" si="1232"/>
        <v>WOMAN</v>
      </c>
      <c r="AK1929" s="1" t="str">
        <f t="shared" si="1243"/>
        <v>PA</v>
      </c>
      <c r="AP1929" s="1" t="str">
        <f t="shared" si="1244"/>
        <v>False</v>
      </c>
      <c r="AR1929" s="1" t="str">
        <f t="shared" si="1233"/>
        <v>GALAD</v>
      </c>
      <c r="AY1929" s="1" t="str">
        <f t="shared" si="1245"/>
        <v>PF</v>
      </c>
      <c r="AZ1929" s="1">
        <v>0</v>
      </c>
      <c r="BA1929" s="1">
        <v>0</v>
      </c>
      <c r="BB1929" s="1">
        <v>0</v>
      </c>
      <c r="BC1929" s="1">
        <v>0</v>
      </c>
      <c r="BD1929" s="1">
        <v>0</v>
      </c>
      <c r="BE1929" s="1" t="str">
        <f t="shared" si="1234"/>
        <v>D GOMMA D.H.TWILL CANVAS+SINT.</v>
      </c>
      <c r="BF1929" s="1" t="str">
        <f t="shared" si="1246"/>
        <v>Bonis SpA</v>
      </c>
    </row>
    <row r="1930" spans="2:58" x14ac:dyDescent="0.25">
      <c r="B1930" s="1">
        <v>2554</v>
      </c>
      <c r="C1930" s="1" t="str">
        <f t="shared" si="1247"/>
        <v>GALAD4184S7/CY1</v>
      </c>
      <c r="E1930" s="1" t="str">
        <f>"39"</f>
        <v>39</v>
      </c>
      <c r="F1930" s="1" t="str">
        <f t="shared" si="1235"/>
        <v>BONIS SPA</v>
      </c>
      <c r="G1930" s="1" t="str">
        <f t="shared" si="1225"/>
        <v>STOCK SCAFFALE MP</v>
      </c>
      <c r="H1930" s="1" t="str">
        <f t="shared" si="1248"/>
        <v>BLK</v>
      </c>
      <c r="K1930" s="1">
        <v>2</v>
      </c>
      <c r="L1930" s="1" t="str">
        <f t="shared" si="1236"/>
        <v>01</v>
      </c>
      <c r="M1930" s="1" t="str">
        <f t="shared" si="1227"/>
        <v>409</v>
      </c>
      <c r="N1930" s="1" t="str">
        <f t="shared" si="1229"/>
        <v>012</v>
      </c>
      <c r="O1930" s="1" t="str">
        <f t="shared" si="1237"/>
        <v>00</v>
      </c>
      <c r="P1930" s="1" t="str">
        <f t="shared" si="1238"/>
        <v>S</v>
      </c>
      <c r="Q1930" s="1" t="str">
        <f t="shared" si="1239"/>
        <v>P</v>
      </c>
      <c r="R1930" s="1" t="str">
        <f t="shared" si="1240"/>
        <v>01</v>
      </c>
      <c r="S1930" s="1" t="str">
        <f t="shared" si="1226"/>
        <v>04</v>
      </c>
      <c r="T1930" s="1" t="str">
        <f t="shared" si="1241"/>
        <v>False</v>
      </c>
      <c r="U1930" s="1" t="str">
        <f t="shared" si="1242"/>
        <v>True</v>
      </c>
      <c r="V1930" s="1" t="str">
        <f>"U0028080"</f>
        <v>U0028080</v>
      </c>
      <c r="W1930" s="1">
        <v>1</v>
      </c>
      <c r="Y1930" s="1">
        <v>0</v>
      </c>
      <c r="Z1930" s="1">
        <v>0</v>
      </c>
      <c r="AB1930" s="1" t="str">
        <f t="shared" si="1228"/>
        <v>SMU</v>
      </c>
      <c r="AI1930" s="1" t="str">
        <f t="shared" si="1230"/>
        <v>F11</v>
      </c>
      <c r="AJ1930" s="1" t="str">
        <f t="shared" si="1232"/>
        <v>WOMAN</v>
      </c>
      <c r="AK1930" s="1" t="str">
        <f t="shared" si="1243"/>
        <v>PA</v>
      </c>
      <c r="AP1930" s="1" t="str">
        <f t="shared" si="1244"/>
        <v>False</v>
      </c>
      <c r="AR1930" s="1" t="str">
        <f t="shared" si="1233"/>
        <v>GALAD</v>
      </c>
      <c r="AY1930" s="1" t="str">
        <f t="shared" si="1245"/>
        <v>PF</v>
      </c>
      <c r="AZ1930" s="1">
        <v>0</v>
      </c>
      <c r="BA1930" s="1">
        <v>0</v>
      </c>
      <c r="BB1930" s="1">
        <v>0</v>
      </c>
      <c r="BC1930" s="1">
        <v>0</v>
      </c>
      <c r="BD1930" s="1">
        <v>0</v>
      </c>
      <c r="BE1930" s="1" t="str">
        <f t="shared" si="1234"/>
        <v>D GOMMA D.H.TWILL CANVAS+SINT.</v>
      </c>
      <c r="BF1930" s="1" t="str">
        <f t="shared" si="1246"/>
        <v>Bonis SpA</v>
      </c>
    </row>
    <row r="1931" spans="2:58" x14ac:dyDescent="0.25">
      <c r="B1931" s="1">
        <v>2554</v>
      </c>
      <c r="C1931" s="1" t="str">
        <f t="shared" si="1247"/>
        <v>GALAD4184S7/CY1</v>
      </c>
      <c r="E1931" s="1" t="str">
        <f>"37"</f>
        <v>37</v>
      </c>
      <c r="F1931" s="1" t="str">
        <f t="shared" si="1235"/>
        <v>BONIS SPA</v>
      </c>
      <c r="G1931" s="1" t="str">
        <f t="shared" si="1225"/>
        <v>STOCK SCAFFALE MP</v>
      </c>
      <c r="H1931" s="1" t="str">
        <f t="shared" si="1248"/>
        <v>BLK</v>
      </c>
      <c r="K1931" s="1">
        <v>4</v>
      </c>
      <c r="L1931" s="1" t="str">
        <f t="shared" si="1236"/>
        <v>01</v>
      </c>
      <c r="M1931" s="1" t="str">
        <f t="shared" si="1227"/>
        <v>409</v>
      </c>
      <c r="N1931" s="1" t="str">
        <f t="shared" si="1229"/>
        <v>012</v>
      </c>
      <c r="O1931" s="1" t="str">
        <f t="shared" si="1237"/>
        <v>00</v>
      </c>
      <c r="P1931" s="1" t="str">
        <f t="shared" si="1238"/>
        <v>S</v>
      </c>
      <c r="Q1931" s="1" t="str">
        <f t="shared" si="1239"/>
        <v>P</v>
      </c>
      <c r="R1931" s="1" t="str">
        <f t="shared" si="1240"/>
        <v>01</v>
      </c>
      <c r="S1931" s="1" t="str">
        <f t="shared" si="1226"/>
        <v>04</v>
      </c>
      <c r="T1931" s="1" t="str">
        <f t="shared" si="1241"/>
        <v>False</v>
      </c>
      <c r="U1931" s="1" t="str">
        <f t="shared" si="1242"/>
        <v>True</v>
      </c>
      <c r="V1931" s="1" t="str">
        <f>"U0028080"</f>
        <v>U0028080</v>
      </c>
      <c r="W1931" s="1">
        <v>1</v>
      </c>
      <c r="Y1931" s="1">
        <v>0</v>
      </c>
      <c r="Z1931" s="1">
        <v>0</v>
      </c>
      <c r="AB1931" s="1" t="str">
        <f t="shared" si="1228"/>
        <v>SMU</v>
      </c>
      <c r="AI1931" s="1" t="str">
        <f t="shared" si="1230"/>
        <v>F11</v>
      </c>
      <c r="AJ1931" s="1" t="str">
        <f t="shared" si="1232"/>
        <v>WOMAN</v>
      </c>
      <c r="AK1931" s="1" t="str">
        <f t="shared" si="1243"/>
        <v>PA</v>
      </c>
      <c r="AP1931" s="1" t="str">
        <f t="shared" si="1244"/>
        <v>False</v>
      </c>
      <c r="AR1931" s="1" t="str">
        <f t="shared" si="1233"/>
        <v>GALAD</v>
      </c>
      <c r="AY1931" s="1" t="str">
        <f t="shared" si="1245"/>
        <v>PF</v>
      </c>
      <c r="AZ1931" s="1">
        <v>0</v>
      </c>
      <c r="BA1931" s="1">
        <v>0</v>
      </c>
      <c r="BB1931" s="1">
        <v>0</v>
      </c>
      <c r="BC1931" s="1">
        <v>0</v>
      </c>
      <c r="BD1931" s="1">
        <v>0</v>
      </c>
      <c r="BE1931" s="1" t="str">
        <f t="shared" si="1234"/>
        <v>D GOMMA D.H.TWILL CANVAS+SINT.</v>
      </c>
      <c r="BF1931" s="1" t="str">
        <f t="shared" si="1246"/>
        <v>Bonis SpA</v>
      </c>
    </row>
    <row r="1932" spans="2:58" x14ac:dyDescent="0.25">
      <c r="B1932" s="1">
        <v>2554</v>
      </c>
      <c r="C1932" s="1" t="str">
        <f t="shared" si="1247"/>
        <v>GALAD4184S7/CY1</v>
      </c>
      <c r="E1932" s="1" t="str">
        <f>"38"</f>
        <v>38</v>
      </c>
      <c r="F1932" s="1" t="str">
        <f t="shared" si="1235"/>
        <v>BONIS SPA</v>
      </c>
      <c r="G1932" s="1" t="str">
        <f t="shared" si="1225"/>
        <v>STOCK SCAFFALE MP</v>
      </c>
      <c r="H1932" s="1" t="str">
        <f t="shared" si="1248"/>
        <v>BLK</v>
      </c>
      <c r="K1932" s="1">
        <v>2</v>
      </c>
      <c r="L1932" s="1" t="str">
        <f t="shared" si="1236"/>
        <v>01</v>
      </c>
      <c r="M1932" s="1" t="str">
        <f t="shared" si="1227"/>
        <v>409</v>
      </c>
      <c r="N1932" s="1" t="str">
        <f t="shared" si="1229"/>
        <v>012</v>
      </c>
      <c r="O1932" s="1" t="str">
        <f t="shared" si="1237"/>
        <v>00</v>
      </c>
      <c r="P1932" s="1" t="str">
        <f t="shared" si="1238"/>
        <v>S</v>
      </c>
      <c r="Q1932" s="1" t="str">
        <f t="shared" si="1239"/>
        <v>P</v>
      </c>
      <c r="R1932" s="1" t="str">
        <f t="shared" si="1240"/>
        <v>01</v>
      </c>
      <c r="S1932" s="1" t="str">
        <f t="shared" si="1226"/>
        <v>04</v>
      </c>
      <c r="T1932" s="1" t="str">
        <f t="shared" si="1241"/>
        <v>False</v>
      </c>
      <c r="U1932" s="1" t="str">
        <f t="shared" si="1242"/>
        <v>True</v>
      </c>
      <c r="V1932" s="1" t="str">
        <f>"U0028080"</f>
        <v>U0028080</v>
      </c>
      <c r="W1932" s="1">
        <v>1</v>
      </c>
      <c r="Y1932" s="1">
        <v>0</v>
      </c>
      <c r="Z1932" s="1">
        <v>0</v>
      </c>
      <c r="AB1932" s="1" t="str">
        <f t="shared" si="1228"/>
        <v>SMU</v>
      </c>
      <c r="AI1932" s="1" t="str">
        <f t="shared" si="1230"/>
        <v>F11</v>
      </c>
      <c r="AJ1932" s="1" t="str">
        <f t="shared" si="1232"/>
        <v>WOMAN</v>
      </c>
      <c r="AK1932" s="1" t="str">
        <f t="shared" si="1243"/>
        <v>PA</v>
      </c>
      <c r="AP1932" s="1" t="str">
        <f t="shared" si="1244"/>
        <v>False</v>
      </c>
      <c r="AR1932" s="1" t="str">
        <f t="shared" si="1233"/>
        <v>GALAD</v>
      </c>
      <c r="AY1932" s="1" t="str">
        <f t="shared" si="1245"/>
        <v>PF</v>
      </c>
      <c r="AZ1932" s="1">
        <v>0</v>
      </c>
      <c r="BA1932" s="1">
        <v>0</v>
      </c>
      <c r="BB1932" s="1">
        <v>0</v>
      </c>
      <c r="BC1932" s="1">
        <v>0</v>
      </c>
      <c r="BD1932" s="1">
        <v>0</v>
      </c>
      <c r="BE1932" s="1" t="str">
        <f t="shared" si="1234"/>
        <v>D GOMMA D.H.TWILL CANVAS+SINT.</v>
      </c>
      <c r="BF1932" s="1" t="str">
        <f t="shared" si="1246"/>
        <v>Bonis SpA</v>
      </c>
    </row>
    <row r="1933" spans="2:58" x14ac:dyDescent="0.25">
      <c r="B1933" s="1">
        <v>2554</v>
      </c>
      <c r="C1933" s="1" t="str">
        <f t="shared" si="1247"/>
        <v>GALAD4184S7/CY1</v>
      </c>
      <c r="E1933" s="1" t="str">
        <f>"38"</f>
        <v>38</v>
      </c>
      <c r="F1933" s="1" t="str">
        <f t="shared" si="1235"/>
        <v>BONIS SPA</v>
      </c>
      <c r="G1933" s="1" t="str">
        <f t="shared" si="1225"/>
        <v>STOCK SCAFFALE MP</v>
      </c>
      <c r="H1933" s="1" t="str">
        <f t="shared" si="1248"/>
        <v>BLK</v>
      </c>
      <c r="K1933" s="1">
        <v>12</v>
      </c>
      <c r="L1933" s="1" t="str">
        <f t="shared" si="1236"/>
        <v>01</v>
      </c>
      <c r="M1933" s="1" t="str">
        <f t="shared" si="1227"/>
        <v>409</v>
      </c>
      <c r="N1933" s="1" t="str">
        <f t="shared" si="1229"/>
        <v>012</v>
      </c>
      <c r="O1933" s="1" t="str">
        <f t="shared" si="1237"/>
        <v>00</v>
      </c>
      <c r="P1933" s="1" t="str">
        <f t="shared" si="1238"/>
        <v>S</v>
      </c>
      <c r="Q1933" s="1" t="str">
        <f t="shared" si="1239"/>
        <v>P</v>
      </c>
      <c r="R1933" s="1" t="str">
        <f t="shared" si="1240"/>
        <v>01</v>
      </c>
      <c r="S1933" s="1" t="str">
        <f t="shared" si="1226"/>
        <v>04</v>
      </c>
      <c r="T1933" s="1" t="str">
        <f t="shared" si="1241"/>
        <v>False</v>
      </c>
      <c r="U1933" s="1" t="str">
        <f t="shared" si="1242"/>
        <v>True</v>
      </c>
      <c r="V1933" s="1" t="str">
        <f>"U0022672"</f>
        <v>U0022672</v>
      </c>
      <c r="W1933" s="1">
        <v>1</v>
      </c>
      <c r="Y1933" s="1">
        <v>0</v>
      </c>
      <c r="Z1933" s="1">
        <v>0</v>
      </c>
      <c r="AB1933" s="1" t="str">
        <f t="shared" si="1228"/>
        <v>SMU</v>
      </c>
      <c r="AI1933" s="1" t="str">
        <f t="shared" si="1230"/>
        <v>F11</v>
      </c>
      <c r="AJ1933" s="1" t="str">
        <f t="shared" si="1232"/>
        <v>WOMAN</v>
      </c>
      <c r="AK1933" s="1" t="str">
        <f t="shared" si="1243"/>
        <v>PA</v>
      </c>
      <c r="AP1933" s="1" t="str">
        <f t="shared" si="1244"/>
        <v>False</v>
      </c>
      <c r="AR1933" s="1" t="str">
        <f t="shared" si="1233"/>
        <v>GALAD</v>
      </c>
      <c r="AY1933" s="1" t="str">
        <f t="shared" si="1245"/>
        <v>PF</v>
      </c>
      <c r="AZ1933" s="1">
        <v>0</v>
      </c>
      <c r="BA1933" s="1">
        <v>0</v>
      </c>
      <c r="BB1933" s="1">
        <v>0</v>
      </c>
      <c r="BC1933" s="1">
        <v>0</v>
      </c>
      <c r="BD1933" s="1">
        <v>0</v>
      </c>
      <c r="BE1933" s="1" t="str">
        <f t="shared" si="1234"/>
        <v>D GOMMA D.H.TWILL CANVAS+SINT.</v>
      </c>
      <c r="BF1933" s="1" t="str">
        <f t="shared" si="1246"/>
        <v>Bonis SpA</v>
      </c>
    </row>
    <row r="1934" spans="2:58" x14ac:dyDescent="0.25">
      <c r="B1934" s="1">
        <v>2554</v>
      </c>
      <c r="C1934" s="1" t="str">
        <f>"GALAD4185S7/CY1"</f>
        <v>GALAD4185S7/CY1</v>
      </c>
      <c r="E1934" s="1" t="str">
        <f>"40"</f>
        <v>40</v>
      </c>
      <c r="F1934" s="1" t="str">
        <f t="shared" si="1235"/>
        <v>BONIS SPA</v>
      </c>
      <c r="G1934" s="1" t="str">
        <f t="shared" si="1225"/>
        <v>STOCK SCAFFALE MP</v>
      </c>
      <c r="H1934" s="1" t="str">
        <f>"DKBL"</f>
        <v>DKBL</v>
      </c>
      <c r="K1934" s="1">
        <v>7</v>
      </c>
      <c r="L1934" s="1" t="str">
        <f t="shared" si="1236"/>
        <v>01</v>
      </c>
      <c r="M1934" s="1" t="str">
        <f t="shared" si="1227"/>
        <v>409</v>
      </c>
      <c r="N1934" s="1" t="str">
        <f t="shared" si="1229"/>
        <v>012</v>
      </c>
      <c r="O1934" s="1" t="str">
        <f t="shared" si="1237"/>
        <v>00</v>
      </c>
      <c r="P1934" s="1" t="str">
        <f t="shared" si="1238"/>
        <v>S</v>
      </c>
      <c r="Q1934" s="1" t="str">
        <f t="shared" si="1239"/>
        <v>P</v>
      </c>
      <c r="R1934" s="1" t="str">
        <f t="shared" si="1240"/>
        <v>01</v>
      </c>
      <c r="S1934" s="1" t="str">
        <f t="shared" si="1226"/>
        <v>04</v>
      </c>
      <c r="T1934" s="1" t="str">
        <f t="shared" si="1241"/>
        <v>False</v>
      </c>
      <c r="U1934" s="1" t="str">
        <f t="shared" si="1242"/>
        <v>True</v>
      </c>
      <c r="V1934" s="1" t="str">
        <f>"U0023758"</f>
        <v>U0023758</v>
      </c>
      <c r="W1934" s="1">
        <v>1</v>
      </c>
      <c r="Y1934" s="1">
        <v>0</v>
      </c>
      <c r="Z1934" s="1">
        <v>0</v>
      </c>
      <c r="AB1934" s="1" t="str">
        <f t="shared" si="1228"/>
        <v>SMU</v>
      </c>
      <c r="AI1934" s="1" t="str">
        <f t="shared" si="1230"/>
        <v>F11</v>
      </c>
      <c r="AJ1934" s="1" t="str">
        <f t="shared" si="1232"/>
        <v>WOMAN</v>
      </c>
      <c r="AK1934" s="1" t="str">
        <f t="shared" si="1243"/>
        <v>PA</v>
      </c>
      <c r="AP1934" s="1" t="str">
        <f t="shared" si="1244"/>
        <v>False</v>
      </c>
      <c r="AR1934" s="1" t="str">
        <f t="shared" si="1233"/>
        <v>GALAD</v>
      </c>
      <c r="AY1934" s="1" t="str">
        <f t="shared" si="1245"/>
        <v>PF</v>
      </c>
      <c r="AZ1934" s="1">
        <v>0</v>
      </c>
      <c r="BA1934" s="1">
        <v>0</v>
      </c>
      <c r="BB1934" s="1">
        <v>0</v>
      </c>
      <c r="BC1934" s="1">
        <v>0</v>
      </c>
      <c r="BD1934" s="1">
        <v>0</v>
      </c>
      <c r="BE1934" s="1" t="str">
        <f t="shared" si="1234"/>
        <v>D GOMMA D.H.TWILL CANVAS+SINT.</v>
      </c>
      <c r="BF1934" s="1" t="str">
        <f t="shared" si="1246"/>
        <v>Bonis SpA</v>
      </c>
    </row>
    <row r="1935" spans="2:58" x14ac:dyDescent="0.25">
      <c r="B1935" s="1">
        <v>2554</v>
      </c>
      <c r="C1935" s="1" t="str">
        <f>"GALAD4185S7/CY1"</f>
        <v>GALAD4185S7/CY1</v>
      </c>
      <c r="E1935" s="1" t="str">
        <f>"41"</f>
        <v>41</v>
      </c>
      <c r="F1935" s="1" t="str">
        <f t="shared" si="1235"/>
        <v>BONIS SPA</v>
      </c>
      <c r="G1935" s="1" t="str">
        <f t="shared" si="1225"/>
        <v>STOCK SCAFFALE MP</v>
      </c>
      <c r="H1935" s="1" t="str">
        <f>"DKBL"</f>
        <v>DKBL</v>
      </c>
      <c r="K1935" s="1">
        <v>4</v>
      </c>
      <c r="L1935" s="1" t="str">
        <f t="shared" si="1236"/>
        <v>01</v>
      </c>
      <c r="M1935" s="1" t="str">
        <f t="shared" si="1227"/>
        <v>409</v>
      </c>
      <c r="N1935" s="1" t="str">
        <f t="shared" si="1229"/>
        <v>012</v>
      </c>
      <c r="O1935" s="1" t="str">
        <f t="shared" si="1237"/>
        <v>00</v>
      </c>
      <c r="P1935" s="1" t="str">
        <f t="shared" si="1238"/>
        <v>S</v>
      </c>
      <c r="Q1935" s="1" t="str">
        <f t="shared" si="1239"/>
        <v>P</v>
      </c>
      <c r="R1935" s="1" t="str">
        <f t="shared" si="1240"/>
        <v>01</v>
      </c>
      <c r="S1935" s="1" t="str">
        <f t="shared" si="1226"/>
        <v>04</v>
      </c>
      <c r="T1935" s="1" t="str">
        <f t="shared" si="1241"/>
        <v>False</v>
      </c>
      <c r="U1935" s="1" t="str">
        <f t="shared" si="1242"/>
        <v>True</v>
      </c>
      <c r="V1935" s="1" t="str">
        <f>"U0023758"</f>
        <v>U0023758</v>
      </c>
      <c r="W1935" s="1">
        <v>1</v>
      </c>
      <c r="Y1935" s="1">
        <v>0</v>
      </c>
      <c r="Z1935" s="1">
        <v>0</v>
      </c>
      <c r="AB1935" s="1" t="str">
        <f t="shared" si="1228"/>
        <v>SMU</v>
      </c>
      <c r="AI1935" s="1" t="str">
        <f t="shared" si="1230"/>
        <v>F11</v>
      </c>
      <c r="AJ1935" s="1" t="str">
        <f t="shared" si="1232"/>
        <v>WOMAN</v>
      </c>
      <c r="AK1935" s="1" t="str">
        <f t="shared" si="1243"/>
        <v>PA</v>
      </c>
      <c r="AP1935" s="1" t="str">
        <f t="shared" si="1244"/>
        <v>False</v>
      </c>
      <c r="AR1935" s="1" t="str">
        <f t="shared" si="1233"/>
        <v>GALAD</v>
      </c>
      <c r="AY1935" s="1" t="str">
        <f t="shared" si="1245"/>
        <v>PF</v>
      </c>
      <c r="AZ1935" s="1">
        <v>0</v>
      </c>
      <c r="BA1935" s="1">
        <v>0</v>
      </c>
      <c r="BB1935" s="1">
        <v>0</v>
      </c>
      <c r="BC1935" s="1">
        <v>0</v>
      </c>
      <c r="BD1935" s="1">
        <v>0</v>
      </c>
      <c r="BE1935" s="1" t="str">
        <f t="shared" si="1234"/>
        <v>D GOMMA D.H.TWILL CANVAS+SINT.</v>
      </c>
      <c r="BF1935" s="1" t="str">
        <f t="shared" si="1246"/>
        <v>Bonis SpA</v>
      </c>
    </row>
    <row r="1936" spans="2:58" x14ac:dyDescent="0.25">
      <c r="B1936" s="1">
        <v>2530</v>
      </c>
      <c r="C1936" s="1" t="str">
        <f>"GALAD4184S7/CY1"</f>
        <v>GALAD4184S7/CY1</v>
      </c>
      <c r="E1936" s="1" t="str">
        <f>"39"</f>
        <v>39</v>
      </c>
      <c r="F1936" s="1" t="str">
        <f t="shared" si="1235"/>
        <v>BONIS SPA</v>
      </c>
      <c r="G1936" s="1" t="str">
        <f t="shared" si="1225"/>
        <v>STOCK SCAFFALE MP</v>
      </c>
      <c r="H1936" s="1" t="str">
        <f>"BLK"</f>
        <v>BLK</v>
      </c>
      <c r="K1936" s="1">
        <v>12</v>
      </c>
      <c r="L1936" s="1" t="str">
        <f t="shared" si="1236"/>
        <v>01</v>
      </c>
      <c r="M1936" s="1" t="str">
        <f t="shared" si="1227"/>
        <v>409</v>
      </c>
      <c r="N1936" s="1" t="str">
        <f t="shared" ref="N1936:N1980" si="1249">"004"</f>
        <v>004</v>
      </c>
      <c r="O1936" s="1" t="str">
        <f t="shared" si="1237"/>
        <v>00</v>
      </c>
      <c r="P1936" s="1" t="str">
        <f t="shared" si="1238"/>
        <v>S</v>
      </c>
      <c r="Q1936" s="1" t="str">
        <f t="shared" si="1239"/>
        <v>P</v>
      </c>
      <c r="R1936" s="1" t="str">
        <f t="shared" si="1240"/>
        <v>01</v>
      </c>
      <c r="S1936" s="1" t="str">
        <f t="shared" si="1226"/>
        <v>04</v>
      </c>
      <c r="T1936" s="1" t="str">
        <f t="shared" si="1241"/>
        <v>False</v>
      </c>
      <c r="U1936" s="1" t="str">
        <f t="shared" si="1242"/>
        <v>True</v>
      </c>
      <c r="V1936" s="1" t="str">
        <f>"U0023751"</f>
        <v>U0023751</v>
      </c>
      <c r="W1936" s="1">
        <v>1</v>
      </c>
      <c r="Y1936" s="1">
        <v>0</v>
      </c>
      <c r="Z1936" s="1">
        <v>0</v>
      </c>
      <c r="AB1936" s="1" t="str">
        <f t="shared" si="1228"/>
        <v>SMU</v>
      </c>
      <c r="AI1936" s="1" t="str">
        <f>"P11"</f>
        <v>P11</v>
      </c>
      <c r="AJ1936" s="1" t="str">
        <f t="shared" si="1232"/>
        <v>WOMAN</v>
      </c>
      <c r="AK1936" s="1" t="str">
        <f t="shared" si="1243"/>
        <v>PA</v>
      </c>
      <c r="AP1936" s="1" t="str">
        <f t="shared" si="1244"/>
        <v>False</v>
      </c>
      <c r="AR1936" s="1" t="str">
        <f t="shared" si="1233"/>
        <v>GALAD</v>
      </c>
      <c r="AY1936" s="1" t="str">
        <f t="shared" si="1245"/>
        <v>PF</v>
      </c>
      <c r="AZ1936" s="1">
        <v>0</v>
      </c>
      <c r="BA1936" s="1">
        <v>0</v>
      </c>
      <c r="BB1936" s="1">
        <v>0</v>
      </c>
      <c r="BC1936" s="1">
        <v>0</v>
      </c>
      <c r="BD1936" s="1">
        <v>0</v>
      </c>
      <c r="BE1936" s="1" t="str">
        <f t="shared" si="1234"/>
        <v>D GOMMA D.H.TWILL CANVAS+SINT.</v>
      </c>
      <c r="BF1936" s="1" t="str">
        <f t="shared" si="1246"/>
        <v>Bonis SpA</v>
      </c>
    </row>
    <row r="1937" spans="2:58" x14ac:dyDescent="0.25">
      <c r="B1937" s="1">
        <v>2530</v>
      </c>
      <c r="C1937" s="1" t="str">
        <f t="shared" ref="C1937:C1948" si="1250">"GALAD4185S7/CY1"</f>
        <v>GALAD4185S7/CY1</v>
      </c>
      <c r="E1937" s="1" t="str">
        <f>"40"</f>
        <v>40</v>
      </c>
      <c r="F1937" s="1" t="str">
        <f t="shared" si="1235"/>
        <v>BONIS SPA</v>
      </c>
      <c r="G1937" s="1" t="str">
        <f t="shared" si="1225"/>
        <v>STOCK SCAFFALE MP</v>
      </c>
      <c r="H1937" s="1" t="str">
        <f>"DKBL"</f>
        <v>DKBL</v>
      </c>
      <c r="K1937" s="1">
        <v>3</v>
      </c>
      <c r="L1937" s="1" t="str">
        <f t="shared" si="1236"/>
        <v>01</v>
      </c>
      <c r="M1937" s="1" t="str">
        <f t="shared" si="1227"/>
        <v>409</v>
      </c>
      <c r="N1937" s="1" t="str">
        <f t="shared" si="1249"/>
        <v>004</v>
      </c>
      <c r="O1937" s="1" t="str">
        <f t="shared" si="1237"/>
        <v>00</v>
      </c>
      <c r="P1937" s="1" t="str">
        <f t="shared" si="1238"/>
        <v>S</v>
      </c>
      <c r="Q1937" s="1" t="str">
        <f t="shared" si="1239"/>
        <v>P</v>
      </c>
      <c r="R1937" s="1" t="str">
        <f t="shared" si="1240"/>
        <v>01</v>
      </c>
      <c r="S1937" s="1" t="str">
        <f t="shared" si="1226"/>
        <v>04</v>
      </c>
      <c r="T1937" s="1" t="str">
        <f t="shared" si="1241"/>
        <v>False</v>
      </c>
      <c r="U1937" s="1" t="str">
        <f t="shared" si="1242"/>
        <v>True</v>
      </c>
      <c r="V1937" s="1" t="str">
        <f>"U0028114"</f>
        <v>U0028114</v>
      </c>
      <c r="W1937" s="1">
        <v>1</v>
      </c>
      <c r="Y1937" s="1">
        <v>0</v>
      </c>
      <c r="Z1937" s="1">
        <v>0</v>
      </c>
      <c r="AB1937" s="1" t="str">
        <f t="shared" si="1228"/>
        <v>SMU</v>
      </c>
      <c r="AI1937" s="1" t="str">
        <f>"106"</f>
        <v>106</v>
      </c>
      <c r="AJ1937" s="1" t="str">
        <f t="shared" si="1232"/>
        <v>WOMAN</v>
      </c>
      <c r="AK1937" s="1" t="str">
        <f t="shared" si="1243"/>
        <v>PA</v>
      </c>
      <c r="AP1937" s="1" t="str">
        <f t="shared" si="1244"/>
        <v>False</v>
      </c>
      <c r="AR1937" s="1" t="str">
        <f t="shared" si="1233"/>
        <v>GALAD</v>
      </c>
      <c r="AY1937" s="1" t="str">
        <f t="shared" si="1245"/>
        <v>PF</v>
      </c>
      <c r="AZ1937" s="1">
        <v>0</v>
      </c>
      <c r="BA1937" s="1">
        <v>0</v>
      </c>
      <c r="BB1937" s="1">
        <v>0</v>
      </c>
      <c r="BC1937" s="1">
        <v>0</v>
      </c>
      <c r="BD1937" s="1">
        <v>0</v>
      </c>
      <c r="BE1937" s="1" t="str">
        <f t="shared" si="1234"/>
        <v>D GOMMA D.H.TWILL CANVAS+SINT.</v>
      </c>
      <c r="BF1937" s="1" t="str">
        <f t="shared" si="1246"/>
        <v>Bonis SpA</v>
      </c>
    </row>
    <row r="1938" spans="2:58" x14ac:dyDescent="0.25">
      <c r="B1938" s="1">
        <v>2530</v>
      </c>
      <c r="C1938" s="1" t="str">
        <f t="shared" si="1250"/>
        <v>GALAD4185S7/CY1</v>
      </c>
      <c r="E1938" s="1" t="str">
        <f>"39"</f>
        <v>39</v>
      </c>
      <c r="F1938" s="1" t="str">
        <f t="shared" si="1235"/>
        <v>BONIS SPA</v>
      </c>
      <c r="G1938" s="1" t="str">
        <f t="shared" si="1225"/>
        <v>STOCK SCAFFALE MP</v>
      </c>
      <c r="H1938" s="1" t="str">
        <f>"DKBL"</f>
        <v>DKBL</v>
      </c>
      <c r="K1938" s="1">
        <v>1</v>
      </c>
      <c r="L1938" s="1" t="str">
        <f t="shared" si="1236"/>
        <v>01</v>
      </c>
      <c r="M1938" s="1" t="str">
        <f t="shared" si="1227"/>
        <v>409</v>
      </c>
      <c r="N1938" s="1" t="str">
        <f t="shared" si="1249"/>
        <v>004</v>
      </c>
      <c r="O1938" s="1" t="str">
        <f t="shared" si="1237"/>
        <v>00</v>
      </c>
      <c r="P1938" s="1" t="str">
        <f t="shared" si="1238"/>
        <v>S</v>
      </c>
      <c r="Q1938" s="1" t="str">
        <f t="shared" si="1239"/>
        <v>P</v>
      </c>
      <c r="R1938" s="1" t="str">
        <f t="shared" si="1240"/>
        <v>01</v>
      </c>
      <c r="S1938" s="1" t="str">
        <f t="shared" si="1226"/>
        <v>04</v>
      </c>
      <c r="T1938" s="1" t="str">
        <f t="shared" si="1241"/>
        <v>False</v>
      </c>
      <c r="U1938" s="1" t="str">
        <f t="shared" si="1242"/>
        <v>True</v>
      </c>
      <c r="V1938" s="1" t="str">
        <f>"U0028114"</f>
        <v>U0028114</v>
      </c>
      <c r="W1938" s="1">
        <v>1</v>
      </c>
      <c r="Y1938" s="1">
        <v>0</v>
      </c>
      <c r="Z1938" s="1">
        <v>0</v>
      </c>
      <c r="AB1938" s="1" t="str">
        <f t="shared" si="1228"/>
        <v>SMU</v>
      </c>
      <c r="AI1938" s="1" t="str">
        <f>"106"</f>
        <v>106</v>
      </c>
      <c r="AJ1938" s="1" t="str">
        <f t="shared" si="1232"/>
        <v>WOMAN</v>
      </c>
      <c r="AK1938" s="1" t="str">
        <f t="shared" si="1243"/>
        <v>PA</v>
      </c>
      <c r="AP1938" s="1" t="str">
        <f t="shared" si="1244"/>
        <v>False</v>
      </c>
      <c r="AR1938" s="1" t="str">
        <f t="shared" si="1233"/>
        <v>GALAD</v>
      </c>
      <c r="AY1938" s="1" t="str">
        <f t="shared" si="1245"/>
        <v>PF</v>
      </c>
      <c r="AZ1938" s="1">
        <v>0</v>
      </c>
      <c r="BA1938" s="1">
        <v>0</v>
      </c>
      <c r="BB1938" s="1">
        <v>0</v>
      </c>
      <c r="BC1938" s="1">
        <v>0</v>
      </c>
      <c r="BD1938" s="1">
        <v>0</v>
      </c>
      <c r="BE1938" s="1" t="str">
        <f t="shared" si="1234"/>
        <v>D GOMMA D.H.TWILL CANVAS+SINT.</v>
      </c>
      <c r="BF1938" s="1" t="str">
        <f t="shared" si="1246"/>
        <v>Bonis SpA</v>
      </c>
    </row>
    <row r="1939" spans="2:58" x14ac:dyDescent="0.25">
      <c r="B1939" s="1">
        <v>2530</v>
      </c>
      <c r="C1939" s="1" t="str">
        <f t="shared" si="1250"/>
        <v>GALAD4185S7/CY1</v>
      </c>
      <c r="E1939" s="1" t="str">
        <f>"39"</f>
        <v>39</v>
      </c>
      <c r="F1939" s="1" t="str">
        <f t="shared" si="1235"/>
        <v>BONIS SPA</v>
      </c>
      <c r="G1939" s="1" t="str">
        <f t="shared" si="1225"/>
        <v>STOCK SCAFFALE MP</v>
      </c>
      <c r="H1939" s="1" t="str">
        <f>"DKBL"</f>
        <v>DKBL</v>
      </c>
      <c r="K1939" s="1">
        <v>2</v>
      </c>
      <c r="L1939" s="1" t="str">
        <f t="shared" si="1236"/>
        <v>01</v>
      </c>
      <c r="M1939" s="1" t="str">
        <f t="shared" si="1227"/>
        <v>409</v>
      </c>
      <c r="N1939" s="1" t="str">
        <f t="shared" si="1249"/>
        <v>004</v>
      </c>
      <c r="O1939" s="1" t="str">
        <f t="shared" si="1237"/>
        <v>00</v>
      </c>
      <c r="P1939" s="1" t="str">
        <f t="shared" si="1238"/>
        <v>S</v>
      </c>
      <c r="Q1939" s="1" t="str">
        <f t="shared" si="1239"/>
        <v>P</v>
      </c>
      <c r="R1939" s="1" t="str">
        <f t="shared" si="1240"/>
        <v>01</v>
      </c>
      <c r="S1939" s="1" t="str">
        <f t="shared" si="1226"/>
        <v>04</v>
      </c>
      <c r="T1939" s="1" t="str">
        <f t="shared" si="1241"/>
        <v>False</v>
      </c>
      <c r="U1939" s="1" t="str">
        <f t="shared" si="1242"/>
        <v>True</v>
      </c>
      <c r="V1939" s="1" t="str">
        <f>"U0028126"</f>
        <v>U0028126</v>
      </c>
      <c r="W1939" s="1">
        <v>1</v>
      </c>
      <c r="Y1939" s="1">
        <v>0</v>
      </c>
      <c r="Z1939" s="1">
        <v>0</v>
      </c>
      <c r="AB1939" s="1" t="str">
        <f t="shared" si="1228"/>
        <v>SMU</v>
      </c>
      <c r="AI1939" s="1" t="str">
        <f>"106"</f>
        <v>106</v>
      </c>
      <c r="AJ1939" s="1" t="str">
        <f t="shared" si="1232"/>
        <v>WOMAN</v>
      </c>
      <c r="AK1939" s="1" t="str">
        <f t="shared" si="1243"/>
        <v>PA</v>
      </c>
      <c r="AP1939" s="1" t="str">
        <f t="shared" si="1244"/>
        <v>False</v>
      </c>
      <c r="AR1939" s="1" t="str">
        <f t="shared" si="1233"/>
        <v>GALAD</v>
      </c>
      <c r="AY1939" s="1" t="str">
        <f t="shared" si="1245"/>
        <v>PF</v>
      </c>
      <c r="AZ1939" s="1">
        <v>0</v>
      </c>
      <c r="BA1939" s="1">
        <v>0</v>
      </c>
      <c r="BB1939" s="1">
        <v>0</v>
      </c>
      <c r="BC1939" s="1">
        <v>0</v>
      </c>
      <c r="BD1939" s="1">
        <v>0</v>
      </c>
      <c r="BE1939" s="1" t="str">
        <f t="shared" si="1234"/>
        <v>D GOMMA D.H.TWILL CANVAS+SINT.</v>
      </c>
      <c r="BF1939" s="1" t="str">
        <f t="shared" si="1246"/>
        <v>Bonis SpA</v>
      </c>
    </row>
    <row r="1940" spans="2:58" x14ac:dyDescent="0.25">
      <c r="B1940" s="1">
        <v>2530</v>
      </c>
      <c r="C1940" s="1" t="str">
        <f t="shared" si="1250"/>
        <v>GALAD4185S7/CY1</v>
      </c>
      <c r="E1940" s="1" t="str">
        <f>"38"</f>
        <v>38</v>
      </c>
      <c r="F1940" s="1" t="str">
        <f t="shared" si="1235"/>
        <v>BONIS SPA</v>
      </c>
      <c r="G1940" s="1" t="str">
        <f t="shared" si="1225"/>
        <v>STOCK SCAFFALE MP</v>
      </c>
      <c r="H1940" s="1" t="str">
        <f t="shared" ref="H1940:H1947" si="1251">"BLUE"</f>
        <v>BLUE</v>
      </c>
      <c r="K1940" s="1">
        <v>7</v>
      </c>
      <c r="L1940" s="1" t="str">
        <f t="shared" si="1236"/>
        <v>01</v>
      </c>
      <c r="M1940" s="1" t="str">
        <f t="shared" si="1227"/>
        <v>409</v>
      </c>
      <c r="N1940" s="1" t="str">
        <f t="shared" si="1249"/>
        <v>004</v>
      </c>
      <c r="O1940" s="1" t="str">
        <f t="shared" si="1237"/>
        <v>00</v>
      </c>
      <c r="P1940" s="1" t="str">
        <f t="shared" si="1238"/>
        <v>S</v>
      </c>
      <c r="Q1940" s="1" t="str">
        <f t="shared" si="1239"/>
        <v>P</v>
      </c>
      <c r="R1940" s="1" t="str">
        <f t="shared" si="1240"/>
        <v>01</v>
      </c>
      <c r="S1940" s="1" t="str">
        <f t="shared" si="1226"/>
        <v>04</v>
      </c>
      <c r="T1940" s="1" t="str">
        <f t="shared" si="1241"/>
        <v>False</v>
      </c>
      <c r="U1940" s="1" t="str">
        <f t="shared" si="1242"/>
        <v>True</v>
      </c>
      <c r="V1940" s="1" t="str">
        <f>"U0027751"</f>
        <v>U0027751</v>
      </c>
      <c r="W1940" s="1">
        <v>1</v>
      </c>
      <c r="Y1940" s="1">
        <v>0</v>
      </c>
      <c r="Z1940" s="1">
        <v>0</v>
      </c>
      <c r="AB1940" s="1" t="str">
        <f t="shared" si="1228"/>
        <v>SMU</v>
      </c>
      <c r="AI1940" s="1" t="str">
        <f>"P11"</f>
        <v>P11</v>
      </c>
      <c r="AJ1940" s="1" t="str">
        <f t="shared" si="1232"/>
        <v>WOMAN</v>
      </c>
      <c r="AK1940" s="1" t="str">
        <f t="shared" si="1243"/>
        <v>PA</v>
      </c>
      <c r="AP1940" s="1" t="str">
        <f t="shared" si="1244"/>
        <v>False</v>
      </c>
      <c r="AR1940" s="1" t="str">
        <f t="shared" si="1233"/>
        <v>GALAD</v>
      </c>
      <c r="AY1940" s="1" t="str">
        <f t="shared" si="1245"/>
        <v>PF</v>
      </c>
      <c r="AZ1940" s="1">
        <v>0</v>
      </c>
      <c r="BA1940" s="1">
        <v>0</v>
      </c>
      <c r="BB1940" s="1">
        <v>0</v>
      </c>
      <c r="BC1940" s="1">
        <v>0</v>
      </c>
      <c r="BD1940" s="1">
        <v>0</v>
      </c>
      <c r="BE1940" s="1" t="str">
        <f t="shared" si="1234"/>
        <v>D GOMMA D.H.TWILL CANVAS+SINT.</v>
      </c>
      <c r="BF1940" s="1" t="str">
        <f t="shared" si="1246"/>
        <v>Bonis SpA</v>
      </c>
    </row>
    <row r="1941" spans="2:58" x14ac:dyDescent="0.25">
      <c r="B1941" s="1">
        <v>2530</v>
      </c>
      <c r="C1941" s="1" t="str">
        <f t="shared" si="1250"/>
        <v>GALAD4185S7/CY1</v>
      </c>
      <c r="E1941" s="1" t="str">
        <f>"39"</f>
        <v>39</v>
      </c>
      <c r="F1941" s="1" t="str">
        <f t="shared" si="1235"/>
        <v>BONIS SPA</v>
      </c>
      <c r="G1941" s="1" t="str">
        <f t="shared" si="1225"/>
        <v>STOCK SCAFFALE MP</v>
      </c>
      <c r="H1941" s="1" t="str">
        <f t="shared" si="1251"/>
        <v>BLUE</v>
      </c>
      <c r="K1941" s="1">
        <v>4</v>
      </c>
      <c r="L1941" s="1" t="str">
        <f t="shared" si="1236"/>
        <v>01</v>
      </c>
      <c r="M1941" s="1" t="str">
        <f t="shared" si="1227"/>
        <v>409</v>
      </c>
      <c r="N1941" s="1" t="str">
        <f t="shared" si="1249"/>
        <v>004</v>
      </c>
      <c r="O1941" s="1" t="str">
        <f t="shared" si="1237"/>
        <v>00</v>
      </c>
      <c r="P1941" s="1" t="str">
        <f t="shared" si="1238"/>
        <v>S</v>
      </c>
      <c r="Q1941" s="1" t="str">
        <f t="shared" si="1239"/>
        <v>P</v>
      </c>
      <c r="R1941" s="1" t="str">
        <f t="shared" si="1240"/>
        <v>01</v>
      </c>
      <c r="S1941" s="1" t="str">
        <f t="shared" si="1226"/>
        <v>04</v>
      </c>
      <c r="T1941" s="1" t="str">
        <f t="shared" si="1241"/>
        <v>False</v>
      </c>
      <c r="U1941" s="1" t="str">
        <f t="shared" si="1242"/>
        <v>True</v>
      </c>
      <c r="V1941" s="1" t="str">
        <f>"U0027751"</f>
        <v>U0027751</v>
      </c>
      <c r="W1941" s="1">
        <v>1</v>
      </c>
      <c r="Y1941" s="1">
        <v>0</v>
      </c>
      <c r="Z1941" s="1">
        <v>0</v>
      </c>
      <c r="AB1941" s="1" t="str">
        <f t="shared" si="1228"/>
        <v>SMU</v>
      </c>
      <c r="AI1941" s="1" t="str">
        <f>"P11"</f>
        <v>P11</v>
      </c>
      <c r="AJ1941" s="1" t="str">
        <f t="shared" si="1232"/>
        <v>WOMAN</v>
      </c>
      <c r="AK1941" s="1" t="str">
        <f t="shared" si="1243"/>
        <v>PA</v>
      </c>
      <c r="AP1941" s="1" t="str">
        <f t="shared" si="1244"/>
        <v>False</v>
      </c>
      <c r="AR1941" s="1" t="str">
        <f t="shared" si="1233"/>
        <v>GALAD</v>
      </c>
      <c r="AY1941" s="1" t="str">
        <f t="shared" si="1245"/>
        <v>PF</v>
      </c>
      <c r="AZ1941" s="1">
        <v>0</v>
      </c>
      <c r="BA1941" s="1">
        <v>0</v>
      </c>
      <c r="BB1941" s="1">
        <v>0</v>
      </c>
      <c r="BC1941" s="1">
        <v>0</v>
      </c>
      <c r="BD1941" s="1">
        <v>0</v>
      </c>
      <c r="BE1941" s="1" t="str">
        <f t="shared" si="1234"/>
        <v>D GOMMA D.H.TWILL CANVAS+SINT.</v>
      </c>
      <c r="BF1941" s="1" t="str">
        <f t="shared" si="1246"/>
        <v>Bonis SpA</v>
      </c>
    </row>
    <row r="1942" spans="2:58" x14ac:dyDescent="0.25">
      <c r="B1942" s="1">
        <v>2530</v>
      </c>
      <c r="C1942" s="1" t="str">
        <f t="shared" si="1250"/>
        <v>GALAD4185S7/CY1</v>
      </c>
      <c r="E1942" s="1" t="str">
        <f>"39"</f>
        <v>39</v>
      </c>
      <c r="F1942" s="1" t="str">
        <f t="shared" si="1235"/>
        <v>BONIS SPA</v>
      </c>
      <c r="G1942" s="1" t="str">
        <f t="shared" si="1225"/>
        <v>STOCK SCAFFALE MP</v>
      </c>
      <c r="H1942" s="1" t="str">
        <f t="shared" si="1251"/>
        <v>BLUE</v>
      </c>
      <c r="K1942" s="1">
        <v>4</v>
      </c>
      <c r="L1942" s="1" t="str">
        <f t="shared" si="1236"/>
        <v>01</v>
      </c>
      <c r="M1942" s="1" t="str">
        <f t="shared" si="1227"/>
        <v>409</v>
      </c>
      <c r="N1942" s="1" t="str">
        <f t="shared" si="1249"/>
        <v>004</v>
      </c>
      <c r="O1942" s="1" t="str">
        <f t="shared" si="1237"/>
        <v>00</v>
      </c>
      <c r="P1942" s="1" t="str">
        <f t="shared" si="1238"/>
        <v>S</v>
      </c>
      <c r="Q1942" s="1" t="str">
        <f t="shared" si="1239"/>
        <v>P</v>
      </c>
      <c r="R1942" s="1" t="str">
        <f t="shared" si="1240"/>
        <v>01</v>
      </c>
      <c r="S1942" s="1" t="str">
        <f t="shared" si="1226"/>
        <v>04</v>
      </c>
      <c r="T1942" s="1" t="str">
        <f t="shared" si="1241"/>
        <v>False</v>
      </c>
      <c r="U1942" s="1" t="str">
        <f t="shared" si="1242"/>
        <v>True</v>
      </c>
      <c r="V1942" s="1" t="str">
        <f>"U0028126"</f>
        <v>U0028126</v>
      </c>
      <c r="W1942" s="1">
        <v>1</v>
      </c>
      <c r="Y1942" s="1">
        <v>0</v>
      </c>
      <c r="Z1942" s="1">
        <v>0</v>
      </c>
      <c r="AB1942" s="1" t="str">
        <f t="shared" si="1228"/>
        <v>SMU</v>
      </c>
      <c r="AI1942" s="1" t="str">
        <f>"P11"</f>
        <v>P11</v>
      </c>
      <c r="AJ1942" s="1" t="str">
        <f t="shared" si="1232"/>
        <v>WOMAN</v>
      </c>
      <c r="AK1942" s="1" t="str">
        <f t="shared" si="1243"/>
        <v>PA</v>
      </c>
      <c r="AP1942" s="1" t="str">
        <f t="shared" si="1244"/>
        <v>False</v>
      </c>
      <c r="AR1942" s="1" t="str">
        <f t="shared" si="1233"/>
        <v>GALAD</v>
      </c>
      <c r="AY1942" s="1" t="str">
        <f t="shared" si="1245"/>
        <v>PF</v>
      </c>
      <c r="AZ1942" s="1">
        <v>0</v>
      </c>
      <c r="BA1942" s="1">
        <v>0</v>
      </c>
      <c r="BB1942" s="1">
        <v>0</v>
      </c>
      <c r="BC1942" s="1">
        <v>0</v>
      </c>
      <c r="BD1942" s="1">
        <v>0</v>
      </c>
      <c r="BE1942" s="1" t="str">
        <f t="shared" si="1234"/>
        <v>D GOMMA D.H.TWILL CANVAS+SINT.</v>
      </c>
      <c r="BF1942" s="1" t="str">
        <f t="shared" si="1246"/>
        <v>Bonis SpA</v>
      </c>
    </row>
    <row r="1943" spans="2:58" x14ac:dyDescent="0.25">
      <c r="B1943" s="1">
        <v>2530</v>
      </c>
      <c r="C1943" s="1" t="str">
        <f t="shared" si="1250"/>
        <v>GALAD4185S7/CY1</v>
      </c>
      <c r="E1943" s="1" t="str">
        <f>"40"</f>
        <v>40</v>
      </c>
      <c r="F1943" s="1" t="str">
        <f t="shared" si="1235"/>
        <v>BONIS SPA</v>
      </c>
      <c r="G1943" s="1" t="str">
        <f t="shared" si="1225"/>
        <v>STOCK SCAFFALE MP</v>
      </c>
      <c r="H1943" s="1" t="str">
        <f t="shared" si="1251"/>
        <v>BLUE</v>
      </c>
      <c r="K1943" s="1">
        <v>5</v>
      </c>
      <c r="L1943" s="1" t="str">
        <f t="shared" si="1236"/>
        <v>01</v>
      </c>
      <c r="M1943" s="1" t="str">
        <f t="shared" si="1227"/>
        <v>409</v>
      </c>
      <c r="N1943" s="1" t="str">
        <f t="shared" si="1249"/>
        <v>004</v>
      </c>
      <c r="O1943" s="1" t="str">
        <f t="shared" si="1237"/>
        <v>00</v>
      </c>
      <c r="P1943" s="1" t="str">
        <f t="shared" si="1238"/>
        <v>S</v>
      </c>
      <c r="Q1943" s="1" t="str">
        <f t="shared" si="1239"/>
        <v>P</v>
      </c>
      <c r="R1943" s="1" t="str">
        <f t="shared" si="1240"/>
        <v>01</v>
      </c>
      <c r="S1943" s="1" t="str">
        <f t="shared" si="1226"/>
        <v>04</v>
      </c>
      <c r="T1943" s="1" t="str">
        <f t="shared" si="1241"/>
        <v>False</v>
      </c>
      <c r="U1943" s="1" t="str">
        <f t="shared" si="1242"/>
        <v>True</v>
      </c>
      <c r="V1943" s="1" t="str">
        <f>"U0028126"</f>
        <v>U0028126</v>
      </c>
      <c r="W1943" s="1">
        <v>1</v>
      </c>
      <c r="Y1943" s="1">
        <v>0</v>
      </c>
      <c r="Z1943" s="1">
        <v>0</v>
      </c>
      <c r="AB1943" s="1" t="str">
        <f t="shared" si="1228"/>
        <v>SMU</v>
      </c>
      <c r="AI1943" s="1" t="str">
        <f>"P11"</f>
        <v>P11</v>
      </c>
      <c r="AJ1943" s="1" t="str">
        <f t="shared" si="1232"/>
        <v>WOMAN</v>
      </c>
      <c r="AK1943" s="1" t="str">
        <f t="shared" si="1243"/>
        <v>PA</v>
      </c>
      <c r="AP1943" s="1" t="str">
        <f t="shared" si="1244"/>
        <v>False</v>
      </c>
      <c r="AR1943" s="1" t="str">
        <f t="shared" si="1233"/>
        <v>GALAD</v>
      </c>
      <c r="AY1943" s="1" t="str">
        <f t="shared" si="1245"/>
        <v>PF</v>
      </c>
      <c r="AZ1943" s="1">
        <v>0</v>
      </c>
      <c r="BA1943" s="1">
        <v>0</v>
      </c>
      <c r="BB1943" s="1">
        <v>0</v>
      </c>
      <c r="BC1943" s="1">
        <v>0</v>
      </c>
      <c r="BD1943" s="1">
        <v>0</v>
      </c>
      <c r="BE1943" s="1" t="str">
        <f t="shared" si="1234"/>
        <v>D GOMMA D.H.TWILL CANVAS+SINT.</v>
      </c>
      <c r="BF1943" s="1" t="str">
        <f t="shared" si="1246"/>
        <v>Bonis SpA</v>
      </c>
    </row>
    <row r="1944" spans="2:58" x14ac:dyDescent="0.25">
      <c r="B1944" s="1">
        <v>2530</v>
      </c>
      <c r="C1944" s="1" t="str">
        <f t="shared" si="1250"/>
        <v>GALAD4185S7/CY1</v>
      </c>
      <c r="E1944" s="1" t="str">
        <f>"41"</f>
        <v>41</v>
      </c>
      <c r="F1944" s="1" t="str">
        <f t="shared" si="1235"/>
        <v>BONIS SPA</v>
      </c>
      <c r="G1944" s="1" t="str">
        <f t="shared" si="1225"/>
        <v>STOCK SCAFFALE MP</v>
      </c>
      <c r="H1944" s="1" t="str">
        <f t="shared" si="1251"/>
        <v>BLUE</v>
      </c>
      <c r="K1944" s="1">
        <v>1</v>
      </c>
      <c r="L1944" s="1" t="str">
        <f t="shared" si="1236"/>
        <v>01</v>
      </c>
      <c r="M1944" s="1" t="str">
        <f t="shared" si="1227"/>
        <v>409</v>
      </c>
      <c r="N1944" s="1" t="str">
        <f t="shared" si="1249"/>
        <v>004</v>
      </c>
      <c r="O1944" s="1" t="str">
        <f t="shared" si="1237"/>
        <v>00</v>
      </c>
      <c r="P1944" s="1" t="str">
        <f t="shared" si="1238"/>
        <v>S</v>
      </c>
      <c r="Q1944" s="1" t="str">
        <f t="shared" si="1239"/>
        <v>P</v>
      </c>
      <c r="R1944" s="1" t="str">
        <f t="shared" si="1240"/>
        <v>01</v>
      </c>
      <c r="S1944" s="1" t="str">
        <f t="shared" si="1226"/>
        <v>04</v>
      </c>
      <c r="T1944" s="1" t="str">
        <f t="shared" si="1241"/>
        <v>False</v>
      </c>
      <c r="U1944" s="1" t="str">
        <f t="shared" si="1242"/>
        <v>True</v>
      </c>
      <c r="V1944" s="1" t="str">
        <f>"U0032562"</f>
        <v>U0032562</v>
      </c>
      <c r="W1944" s="1">
        <v>1</v>
      </c>
      <c r="Y1944" s="1">
        <v>0</v>
      </c>
      <c r="Z1944" s="1">
        <v>0</v>
      </c>
      <c r="AB1944" s="1" t="str">
        <f t="shared" si="1228"/>
        <v>SMU</v>
      </c>
      <c r="AI1944" s="1" t="str">
        <f>"106"</f>
        <v>106</v>
      </c>
      <c r="AJ1944" s="1" t="str">
        <f t="shared" si="1232"/>
        <v>WOMAN</v>
      </c>
      <c r="AK1944" s="1" t="str">
        <f t="shared" si="1243"/>
        <v>PA</v>
      </c>
      <c r="AP1944" s="1" t="str">
        <f t="shared" si="1244"/>
        <v>False</v>
      </c>
      <c r="AR1944" s="1" t="str">
        <f t="shared" si="1233"/>
        <v>GALAD</v>
      </c>
      <c r="AY1944" s="1" t="str">
        <f t="shared" si="1245"/>
        <v>PF</v>
      </c>
      <c r="AZ1944" s="1">
        <v>0</v>
      </c>
      <c r="BA1944" s="1">
        <v>0</v>
      </c>
      <c r="BB1944" s="1">
        <v>0</v>
      </c>
      <c r="BC1944" s="1">
        <v>0</v>
      </c>
      <c r="BD1944" s="1">
        <v>0</v>
      </c>
      <c r="BE1944" s="1" t="str">
        <f t="shared" si="1234"/>
        <v>D GOMMA D.H.TWILL CANVAS+SINT.</v>
      </c>
      <c r="BF1944" s="1" t="str">
        <f t="shared" si="1246"/>
        <v>Bonis SpA</v>
      </c>
    </row>
    <row r="1945" spans="2:58" x14ac:dyDescent="0.25">
      <c r="B1945" s="1">
        <v>2530</v>
      </c>
      <c r="C1945" s="1" t="str">
        <f t="shared" si="1250"/>
        <v>GALAD4185S7/CY1</v>
      </c>
      <c r="E1945" s="1" t="str">
        <f>"41"</f>
        <v>41</v>
      </c>
      <c r="F1945" s="1" t="str">
        <f t="shared" si="1235"/>
        <v>BONIS SPA</v>
      </c>
      <c r="G1945" s="1" t="str">
        <f t="shared" si="1225"/>
        <v>STOCK SCAFFALE MP</v>
      </c>
      <c r="H1945" s="1" t="str">
        <f t="shared" si="1251"/>
        <v>BLUE</v>
      </c>
      <c r="K1945" s="1">
        <v>1</v>
      </c>
      <c r="L1945" s="1" t="str">
        <f t="shared" si="1236"/>
        <v>01</v>
      </c>
      <c r="M1945" s="1" t="str">
        <f t="shared" si="1227"/>
        <v>409</v>
      </c>
      <c r="N1945" s="1" t="str">
        <f t="shared" si="1249"/>
        <v>004</v>
      </c>
      <c r="O1945" s="1" t="str">
        <f t="shared" si="1237"/>
        <v>00</v>
      </c>
      <c r="P1945" s="1" t="str">
        <f t="shared" si="1238"/>
        <v>S</v>
      </c>
      <c r="Q1945" s="1" t="str">
        <f t="shared" si="1239"/>
        <v>P</v>
      </c>
      <c r="R1945" s="1" t="str">
        <f t="shared" si="1240"/>
        <v>01</v>
      </c>
      <c r="S1945" s="1" t="str">
        <f t="shared" si="1226"/>
        <v>04</v>
      </c>
      <c r="T1945" s="1" t="str">
        <f t="shared" si="1241"/>
        <v>False</v>
      </c>
      <c r="U1945" s="1" t="str">
        <f t="shared" si="1242"/>
        <v>True</v>
      </c>
      <c r="V1945" s="1" t="str">
        <f>"U0032565"</f>
        <v>U0032565</v>
      </c>
      <c r="W1945" s="1">
        <v>1</v>
      </c>
      <c r="Y1945" s="1">
        <v>0</v>
      </c>
      <c r="Z1945" s="1">
        <v>0</v>
      </c>
      <c r="AB1945" s="1" t="str">
        <f t="shared" si="1228"/>
        <v>SMU</v>
      </c>
      <c r="AI1945" s="1" t="str">
        <f>"106"</f>
        <v>106</v>
      </c>
      <c r="AJ1945" s="1" t="str">
        <f t="shared" si="1232"/>
        <v>WOMAN</v>
      </c>
      <c r="AK1945" s="1" t="str">
        <f t="shared" si="1243"/>
        <v>PA</v>
      </c>
      <c r="AP1945" s="1" t="str">
        <f t="shared" si="1244"/>
        <v>False</v>
      </c>
      <c r="AR1945" s="1" t="str">
        <f t="shared" si="1233"/>
        <v>GALAD</v>
      </c>
      <c r="AY1945" s="1" t="str">
        <f t="shared" si="1245"/>
        <v>PF</v>
      </c>
      <c r="AZ1945" s="1">
        <v>0</v>
      </c>
      <c r="BA1945" s="1">
        <v>0</v>
      </c>
      <c r="BB1945" s="1">
        <v>0</v>
      </c>
      <c r="BC1945" s="1">
        <v>0</v>
      </c>
      <c r="BD1945" s="1">
        <v>0</v>
      </c>
      <c r="BE1945" s="1" t="str">
        <f t="shared" si="1234"/>
        <v>D GOMMA D.H.TWILL CANVAS+SINT.</v>
      </c>
      <c r="BF1945" s="1" t="str">
        <f t="shared" si="1246"/>
        <v>Bonis SpA</v>
      </c>
    </row>
    <row r="1946" spans="2:58" x14ac:dyDescent="0.25">
      <c r="B1946" s="1">
        <v>2530</v>
      </c>
      <c r="C1946" s="1" t="str">
        <f t="shared" si="1250"/>
        <v>GALAD4185S7/CY1</v>
      </c>
      <c r="E1946" s="1" t="str">
        <f>"41"</f>
        <v>41</v>
      </c>
      <c r="F1946" s="1" t="str">
        <f t="shared" si="1235"/>
        <v>BONIS SPA</v>
      </c>
      <c r="G1946" s="1" t="str">
        <f t="shared" si="1225"/>
        <v>STOCK SCAFFALE MP</v>
      </c>
      <c r="H1946" s="1" t="str">
        <f t="shared" si="1251"/>
        <v>BLUE</v>
      </c>
      <c r="K1946" s="1">
        <v>2</v>
      </c>
      <c r="L1946" s="1" t="str">
        <f t="shared" si="1236"/>
        <v>01</v>
      </c>
      <c r="M1946" s="1" t="str">
        <f t="shared" si="1227"/>
        <v>409</v>
      </c>
      <c r="N1946" s="1" t="str">
        <f t="shared" si="1249"/>
        <v>004</v>
      </c>
      <c r="O1946" s="1" t="str">
        <f t="shared" si="1237"/>
        <v>00</v>
      </c>
      <c r="P1946" s="1" t="str">
        <f t="shared" si="1238"/>
        <v>S</v>
      </c>
      <c r="Q1946" s="1" t="str">
        <f t="shared" si="1239"/>
        <v>P</v>
      </c>
      <c r="R1946" s="1" t="str">
        <f t="shared" si="1240"/>
        <v>01</v>
      </c>
      <c r="S1946" s="1" t="str">
        <f t="shared" si="1226"/>
        <v>04</v>
      </c>
      <c r="T1946" s="1" t="str">
        <f t="shared" si="1241"/>
        <v>False</v>
      </c>
      <c r="U1946" s="1" t="str">
        <f t="shared" si="1242"/>
        <v>True</v>
      </c>
      <c r="V1946" s="1" t="str">
        <f>"U0023754"</f>
        <v>U0023754</v>
      </c>
      <c r="W1946" s="1">
        <v>1</v>
      </c>
      <c r="Y1946" s="1">
        <v>0</v>
      </c>
      <c r="Z1946" s="1">
        <v>0</v>
      </c>
      <c r="AB1946" s="1" t="str">
        <f t="shared" si="1228"/>
        <v>SMU</v>
      </c>
      <c r="AI1946" s="1" t="str">
        <f>"106"</f>
        <v>106</v>
      </c>
      <c r="AJ1946" s="1" t="str">
        <f t="shared" si="1232"/>
        <v>WOMAN</v>
      </c>
      <c r="AK1946" s="1" t="str">
        <f t="shared" si="1243"/>
        <v>PA</v>
      </c>
      <c r="AP1946" s="1" t="str">
        <f t="shared" si="1244"/>
        <v>False</v>
      </c>
      <c r="AR1946" s="1" t="str">
        <f t="shared" si="1233"/>
        <v>GALAD</v>
      </c>
      <c r="AY1946" s="1" t="str">
        <f t="shared" si="1245"/>
        <v>PF</v>
      </c>
      <c r="AZ1946" s="1">
        <v>0</v>
      </c>
      <c r="BA1946" s="1">
        <v>0</v>
      </c>
      <c r="BB1946" s="1">
        <v>0</v>
      </c>
      <c r="BC1946" s="1">
        <v>0</v>
      </c>
      <c r="BD1946" s="1">
        <v>0</v>
      </c>
      <c r="BE1946" s="1" t="str">
        <f t="shared" si="1234"/>
        <v>D GOMMA D.H.TWILL CANVAS+SINT.</v>
      </c>
      <c r="BF1946" s="1" t="str">
        <f t="shared" si="1246"/>
        <v>Bonis SpA</v>
      </c>
    </row>
    <row r="1947" spans="2:58" x14ac:dyDescent="0.25">
      <c r="B1947" s="1">
        <v>2530</v>
      </c>
      <c r="C1947" s="1" t="str">
        <f t="shared" si="1250"/>
        <v>GALAD4185S7/CY1</v>
      </c>
      <c r="E1947" s="1" t="str">
        <f>"40"</f>
        <v>40</v>
      </c>
      <c r="F1947" s="1" t="str">
        <f t="shared" si="1235"/>
        <v>BONIS SPA</v>
      </c>
      <c r="G1947" s="1" t="str">
        <f t="shared" si="1225"/>
        <v>STOCK SCAFFALE MP</v>
      </c>
      <c r="H1947" s="1" t="str">
        <f t="shared" si="1251"/>
        <v>BLUE</v>
      </c>
      <c r="K1947" s="1">
        <v>1</v>
      </c>
      <c r="L1947" s="1" t="str">
        <f t="shared" si="1236"/>
        <v>01</v>
      </c>
      <c r="M1947" s="1" t="str">
        <f t="shared" si="1227"/>
        <v>409</v>
      </c>
      <c r="N1947" s="1" t="str">
        <f t="shared" si="1249"/>
        <v>004</v>
      </c>
      <c r="O1947" s="1" t="str">
        <f t="shared" si="1237"/>
        <v>00</v>
      </c>
      <c r="P1947" s="1" t="str">
        <f t="shared" si="1238"/>
        <v>S</v>
      </c>
      <c r="Q1947" s="1" t="str">
        <f t="shared" si="1239"/>
        <v>P</v>
      </c>
      <c r="R1947" s="1" t="str">
        <f t="shared" si="1240"/>
        <v>01</v>
      </c>
      <c r="S1947" s="1" t="str">
        <f t="shared" si="1226"/>
        <v>04</v>
      </c>
      <c r="T1947" s="1" t="str">
        <f t="shared" si="1241"/>
        <v>False</v>
      </c>
      <c r="U1947" s="1" t="str">
        <f t="shared" si="1242"/>
        <v>True</v>
      </c>
      <c r="V1947" s="1" t="str">
        <f>"U0023754"</f>
        <v>U0023754</v>
      </c>
      <c r="W1947" s="1">
        <v>1</v>
      </c>
      <c r="Y1947" s="1">
        <v>0</v>
      </c>
      <c r="Z1947" s="1">
        <v>0</v>
      </c>
      <c r="AB1947" s="1" t="str">
        <f t="shared" si="1228"/>
        <v>SMU</v>
      </c>
      <c r="AI1947" s="1" t="str">
        <f>"106"</f>
        <v>106</v>
      </c>
      <c r="AJ1947" s="1" t="str">
        <f t="shared" si="1232"/>
        <v>WOMAN</v>
      </c>
      <c r="AK1947" s="1" t="str">
        <f t="shared" si="1243"/>
        <v>PA</v>
      </c>
      <c r="AP1947" s="1" t="str">
        <f t="shared" si="1244"/>
        <v>False</v>
      </c>
      <c r="AR1947" s="1" t="str">
        <f t="shared" si="1233"/>
        <v>GALAD</v>
      </c>
      <c r="AY1947" s="1" t="str">
        <f t="shared" si="1245"/>
        <v>PF</v>
      </c>
      <c r="AZ1947" s="1">
        <v>0</v>
      </c>
      <c r="BA1947" s="1">
        <v>0</v>
      </c>
      <c r="BB1947" s="1">
        <v>0</v>
      </c>
      <c r="BC1947" s="1">
        <v>0</v>
      </c>
      <c r="BD1947" s="1">
        <v>0</v>
      </c>
      <c r="BE1947" s="1" t="str">
        <f t="shared" si="1234"/>
        <v>D GOMMA D.H.TWILL CANVAS+SINT.</v>
      </c>
      <c r="BF1947" s="1" t="str">
        <f t="shared" si="1246"/>
        <v>Bonis SpA</v>
      </c>
    </row>
    <row r="1948" spans="2:58" x14ac:dyDescent="0.25">
      <c r="B1948" s="1">
        <v>2530</v>
      </c>
      <c r="C1948" s="1" t="str">
        <f t="shared" si="1250"/>
        <v>GALAD4185S7/CY1</v>
      </c>
      <c r="E1948" s="1" t="str">
        <f>"40"</f>
        <v>40</v>
      </c>
      <c r="F1948" s="1" t="str">
        <f t="shared" si="1235"/>
        <v>BONIS SPA</v>
      </c>
      <c r="G1948" s="1" t="str">
        <f t="shared" si="1225"/>
        <v>STOCK SCAFFALE MP</v>
      </c>
      <c r="H1948" s="1" t="str">
        <f>"WHI"</f>
        <v>WHI</v>
      </c>
      <c r="K1948" s="1">
        <v>9</v>
      </c>
      <c r="L1948" s="1" t="str">
        <f t="shared" si="1236"/>
        <v>01</v>
      </c>
      <c r="M1948" s="1" t="str">
        <f t="shared" si="1227"/>
        <v>409</v>
      </c>
      <c r="N1948" s="1" t="str">
        <f t="shared" si="1249"/>
        <v>004</v>
      </c>
      <c r="O1948" s="1" t="str">
        <f t="shared" si="1237"/>
        <v>00</v>
      </c>
      <c r="P1948" s="1" t="str">
        <f t="shared" si="1238"/>
        <v>S</v>
      </c>
      <c r="Q1948" s="1" t="str">
        <f t="shared" si="1239"/>
        <v>P</v>
      </c>
      <c r="R1948" s="1" t="str">
        <f t="shared" si="1240"/>
        <v>01</v>
      </c>
      <c r="S1948" s="1" t="str">
        <f t="shared" si="1226"/>
        <v>04</v>
      </c>
      <c r="T1948" s="1" t="str">
        <f t="shared" si="1241"/>
        <v>False</v>
      </c>
      <c r="U1948" s="1" t="str">
        <f t="shared" si="1242"/>
        <v>True</v>
      </c>
      <c r="V1948" s="1" t="str">
        <f>"U0028111"</f>
        <v>U0028111</v>
      </c>
      <c r="W1948" s="1">
        <v>1</v>
      </c>
      <c r="Y1948" s="1">
        <v>0</v>
      </c>
      <c r="Z1948" s="1">
        <v>0</v>
      </c>
      <c r="AB1948" s="1" t="str">
        <f t="shared" si="1228"/>
        <v>SMU</v>
      </c>
      <c r="AI1948" s="1" t="str">
        <f t="shared" ref="AI1948:AI1955" si="1252">"P11"</f>
        <v>P11</v>
      </c>
      <c r="AJ1948" s="1" t="str">
        <f t="shared" si="1232"/>
        <v>WOMAN</v>
      </c>
      <c r="AK1948" s="1" t="str">
        <f t="shared" si="1243"/>
        <v>PA</v>
      </c>
      <c r="AP1948" s="1" t="str">
        <f t="shared" si="1244"/>
        <v>False</v>
      </c>
      <c r="AR1948" s="1" t="str">
        <f t="shared" si="1233"/>
        <v>GALAD</v>
      </c>
      <c r="AY1948" s="1" t="str">
        <f t="shared" si="1245"/>
        <v>PF</v>
      </c>
      <c r="AZ1948" s="1">
        <v>0</v>
      </c>
      <c r="BA1948" s="1">
        <v>0</v>
      </c>
      <c r="BB1948" s="1">
        <v>0</v>
      </c>
      <c r="BC1948" s="1">
        <v>0</v>
      </c>
      <c r="BD1948" s="1">
        <v>0</v>
      </c>
      <c r="BE1948" s="1" t="str">
        <f t="shared" si="1234"/>
        <v>D GOMMA D.H.TWILL CANVAS+SINT.</v>
      </c>
      <c r="BF1948" s="1" t="str">
        <f t="shared" si="1246"/>
        <v>Bonis SpA</v>
      </c>
    </row>
    <row r="1949" spans="2:58" x14ac:dyDescent="0.25">
      <c r="B1949" s="1">
        <v>2530</v>
      </c>
      <c r="C1949" s="1" t="str">
        <f>"GALAD4184S7/CY1"</f>
        <v>GALAD4184S7/CY1</v>
      </c>
      <c r="E1949" s="1" t="str">
        <f>"40"</f>
        <v>40</v>
      </c>
      <c r="F1949" s="1" t="str">
        <f t="shared" si="1235"/>
        <v>BONIS SPA</v>
      </c>
      <c r="G1949" s="1" t="str">
        <f t="shared" si="1225"/>
        <v>STOCK SCAFFALE MP</v>
      </c>
      <c r="H1949" s="1" t="str">
        <f>"DKBL"</f>
        <v>DKBL</v>
      </c>
      <c r="K1949" s="1">
        <v>3</v>
      </c>
      <c r="L1949" s="1" t="str">
        <f t="shared" si="1236"/>
        <v>01</v>
      </c>
      <c r="M1949" s="1" t="str">
        <f t="shared" si="1227"/>
        <v>409</v>
      </c>
      <c r="N1949" s="1" t="str">
        <f t="shared" si="1249"/>
        <v>004</v>
      </c>
      <c r="O1949" s="1" t="str">
        <f t="shared" si="1237"/>
        <v>00</v>
      </c>
      <c r="P1949" s="1" t="str">
        <f t="shared" si="1238"/>
        <v>S</v>
      </c>
      <c r="Q1949" s="1" t="str">
        <f t="shared" si="1239"/>
        <v>P</v>
      </c>
      <c r="R1949" s="1" t="str">
        <f t="shared" si="1240"/>
        <v>01</v>
      </c>
      <c r="S1949" s="1" t="str">
        <f t="shared" si="1226"/>
        <v>04</v>
      </c>
      <c r="T1949" s="1" t="str">
        <f t="shared" si="1241"/>
        <v>False</v>
      </c>
      <c r="U1949" s="1" t="str">
        <f t="shared" si="1242"/>
        <v>True</v>
      </c>
      <c r="V1949" s="1" t="str">
        <f>"U0028114"</f>
        <v>U0028114</v>
      </c>
      <c r="W1949" s="1">
        <v>1</v>
      </c>
      <c r="Y1949" s="1">
        <v>0</v>
      </c>
      <c r="Z1949" s="1">
        <v>0</v>
      </c>
      <c r="AB1949" s="1" t="str">
        <f t="shared" si="1228"/>
        <v>SMU</v>
      </c>
      <c r="AI1949" s="1" t="str">
        <f t="shared" si="1252"/>
        <v>P11</v>
      </c>
      <c r="AJ1949" s="1" t="str">
        <f t="shared" ref="AJ1949:AJ1980" si="1253">"WOMAN"</f>
        <v>WOMAN</v>
      </c>
      <c r="AK1949" s="1" t="str">
        <f t="shared" si="1243"/>
        <v>PA</v>
      </c>
      <c r="AP1949" s="1" t="str">
        <f t="shared" si="1244"/>
        <v>False</v>
      </c>
      <c r="AR1949" s="1" t="str">
        <f t="shared" ref="AR1949:AR1980" si="1254">"GALAD"</f>
        <v>GALAD</v>
      </c>
      <c r="AY1949" s="1" t="str">
        <f t="shared" si="1245"/>
        <v>PF</v>
      </c>
      <c r="AZ1949" s="1">
        <v>0</v>
      </c>
      <c r="BA1949" s="1">
        <v>0</v>
      </c>
      <c r="BB1949" s="1">
        <v>0</v>
      </c>
      <c r="BC1949" s="1">
        <v>0</v>
      </c>
      <c r="BD1949" s="1">
        <v>0</v>
      </c>
      <c r="BE1949" s="1" t="str">
        <f t="shared" ref="BE1949:BE1980" si="1255">"D GOMMA D.H.TWILL CANVAS+SINT."</f>
        <v>D GOMMA D.H.TWILL CANVAS+SINT.</v>
      </c>
      <c r="BF1949" s="1" t="str">
        <f t="shared" si="1246"/>
        <v>Bonis SpA</v>
      </c>
    </row>
    <row r="1950" spans="2:58" x14ac:dyDescent="0.25">
      <c r="B1950" s="1">
        <v>2530</v>
      </c>
      <c r="C1950" s="1" t="str">
        <f t="shared" ref="C1950:C1967" si="1256">"GALAD4185S7/CY1"</f>
        <v>GALAD4185S7/CY1</v>
      </c>
      <c r="E1950" s="1" t="str">
        <f>"36"</f>
        <v>36</v>
      </c>
      <c r="F1950" s="1" t="str">
        <f t="shared" si="1235"/>
        <v>BONIS SPA</v>
      </c>
      <c r="G1950" s="1" t="str">
        <f t="shared" si="1225"/>
        <v>STOCK SCAFFALE MP</v>
      </c>
      <c r="H1950" s="1" t="str">
        <f>"WHI"</f>
        <v>WHI</v>
      </c>
      <c r="K1950" s="1">
        <v>2</v>
      </c>
      <c r="L1950" s="1" t="str">
        <f t="shared" si="1236"/>
        <v>01</v>
      </c>
      <c r="M1950" s="1" t="str">
        <f t="shared" si="1227"/>
        <v>409</v>
      </c>
      <c r="N1950" s="1" t="str">
        <f t="shared" si="1249"/>
        <v>004</v>
      </c>
      <c r="O1950" s="1" t="str">
        <f t="shared" si="1237"/>
        <v>00</v>
      </c>
      <c r="P1950" s="1" t="str">
        <f t="shared" si="1238"/>
        <v>S</v>
      </c>
      <c r="Q1950" s="1" t="str">
        <f t="shared" si="1239"/>
        <v>P</v>
      </c>
      <c r="R1950" s="1" t="str">
        <f t="shared" si="1240"/>
        <v>01</v>
      </c>
      <c r="S1950" s="1" t="str">
        <f t="shared" si="1226"/>
        <v>04</v>
      </c>
      <c r="T1950" s="1" t="str">
        <f t="shared" si="1241"/>
        <v>False</v>
      </c>
      <c r="U1950" s="1" t="str">
        <f t="shared" si="1242"/>
        <v>True</v>
      </c>
      <c r="V1950" s="1" t="str">
        <f>"U0028114"</f>
        <v>U0028114</v>
      </c>
      <c r="W1950" s="1">
        <v>1</v>
      </c>
      <c r="Y1950" s="1">
        <v>0</v>
      </c>
      <c r="Z1950" s="1">
        <v>0</v>
      </c>
      <c r="AB1950" s="1" t="str">
        <f t="shared" si="1228"/>
        <v>SMU</v>
      </c>
      <c r="AI1950" s="1" t="str">
        <f t="shared" si="1252"/>
        <v>P11</v>
      </c>
      <c r="AJ1950" s="1" t="str">
        <f t="shared" si="1253"/>
        <v>WOMAN</v>
      </c>
      <c r="AK1950" s="1" t="str">
        <f t="shared" si="1243"/>
        <v>PA</v>
      </c>
      <c r="AP1950" s="1" t="str">
        <f t="shared" si="1244"/>
        <v>False</v>
      </c>
      <c r="AR1950" s="1" t="str">
        <f t="shared" si="1254"/>
        <v>GALAD</v>
      </c>
      <c r="AY1950" s="1" t="str">
        <f t="shared" si="1245"/>
        <v>PF</v>
      </c>
      <c r="AZ1950" s="1">
        <v>0</v>
      </c>
      <c r="BA1950" s="1">
        <v>0</v>
      </c>
      <c r="BB1950" s="1">
        <v>0</v>
      </c>
      <c r="BC1950" s="1">
        <v>0</v>
      </c>
      <c r="BD1950" s="1">
        <v>0</v>
      </c>
      <c r="BE1950" s="1" t="str">
        <f t="shared" si="1255"/>
        <v>D GOMMA D.H.TWILL CANVAS+SINT.</v>
      </c>
      <c r="BF1950" s="1" t="str">
        <f t="shared" si="1246"/>
        <v>Bonis SpA</v>
      </c>
    </row>
    <row r="1951" spans="2:58" x14ac:dyDescent="0.25">
      <c r="B1951" s="1">
        <v>2530</v>
      </c>
      <c r="C1951" s="1" t="str">
        <f t="shared" si="1256"/>
        <v>GALAD4185S7/CY1</v>
      </c>
      <c r="E1951" s="1" t="str">
        <f>"39"</f>
        <v>39</v>
      </c>
      <c r="F1951" s="1" t="str">
        <f t="shared" si="1235"/>
        <v>BONIS SPA</v>
      </c>
      <c r="G1951" s="1" t="str">
        <f t="shared" si="1225"/>
        <v>STOCK SCAFFALE MP</v>
      </c>
      <c r="H1951" s="1" t="str">
        <f>"WHI"</f>
        <v>WHI</v>
      </c>
      <c r="K1951" s="1">
        <v>1</v>
      </c>
      <c r="L1951" s="1" t="str">
        <f t="shared" si="1236"/>
        <v>01</v>
      </c>
      <c r="M1951" s="1" t="str">
        <f t="shared" si="1227"/>
        <v>409</v>
      </c>
      <c r="N1951" s="1" t="str">
        <f t="shared" si="1249"/>
        <v>004</v>
      </c>
      <c r="O1951" s="1" t="str">
        <f t="shared" si="1237"/>
        <v>00</v>
      </c>
      <c r="P1951" s="1" t="str">
        <f t="shared" si="1238"/>
        <v>S</v>
      </c>
      <c r="Q1951" s="1" t="str">
        <f t="shared" si="1239"/>
        <v>P</v>
      </c>
      <c r="R1951" s="1" t="str">
        <f t="shared" si="1240"/>
        <v>01</v>
      </c>
      <c r="S1951" s="1" t="str">
        <f t="shared" si="1226"/>
        <v>04</v>
      </c>
      <c r="T1951" s="1" t="str">
        <f t="shared" si="1241"/>
        <v>False</v>
      </c>
      <c r="U1951" s="1" t="str">
        <f t="shared" si="1242"/>
        <v>True</v>
      </c>
      <c r="V1951" s="1" t="str">
        <f>"U0028114"</f>
        <v>U0028114</v>
      </c>
      <c r="W1951" s="1">
        <v>1</v>
      </c>
      <c r="Y1951" s="1">
        <v>0</v>
      </c>
      <c r="Z1951" s="1">
        <v>0</v>
      </c>
      <c r="AB1951" s="1" t="str">
        <f t="shared" si="1228"/>
        <v>SMU</v>
      </c>
      <c r="AI1951" s="1" t="str">
        <f t="shared" si="1252"/>
        <v>P11</v>
      </c>
      <c r="AJ1951" s="1" t="str">
        <f t="shared" si="1253"/>
        <v>WOMAN</v>
      </c>
      <c r="AK1951" s="1" t="str">
        <f t="shared" si="1243"/>
        <v>PA</v>
      </c>
      <c r="AP1951" s="1" t="str">
        <f t="shared" si="1244"/>
        <v>False</v>
      </c>
      <c r="AR1951" s="1" t="str">
        <f t="shared" si="1254"/>
        <v>GALAD</v>
      </c>
      <c r="AY1951" s="1" t="str">
        <f t="shared" si="1245"/>
        <v>PF</v>
      </c>
      <c r="AZ1951" s="1">
        <v>0</v>
      </c>
      <c r="BA1951" s="1">
        <v>0</v>
      </c>
      <c r="BB1951" s="1">
        <v>0</v>
      </c>
      <c r="BC1951" s="1">
        <v>0</v>
      </c>
      <c r="BD1951" s="1">
        <v>0</v>
      </c>
      <c r="BE1951" s="1" t="str">
        <f t="shared" si="1255"/>
        <v>D GOMMA D.H.TWILL CANVAS+SINT.</v>
      </c>
      <c r="BF1951" s="1" t="str">
        <f t="shared" si="1246"/>
        <v>Bonis SpA</v>
      </c>
    </row>
    <row r="1952" spans="2:58" x14ac:dyDescent="0.25">
      <c r="B1952" s="1">
        <v>2530</v>
      </c>
      <c r="C1952" s="1" t="str">
        <f t="shared" si="1256"/>
        <v>GALAD4185S7/CY1</v>
      </c>
      <c r="E1952" s="1" t="str">
        <f>"38"</f>
        <v>38</v>
      </c>
      <c r="F1952" s="1" t="str">
        <f t="shared" si="1235"/>
        <v>BONIS SPA</v>
      </c>
      <c r="G1952" s="1" t="str">
        <f t="shared" si="1225"/>
        <v>STOCK SCAFFALE MP</v>
      </c>
      <c r="H1952" s="1" t="str">
        <f>"WHI"</f>
        <v>WHI</v>
      </c>
      <c r="K1952" s="1">
        <v>1</v>
      </c>
      <c r="L1952" s="1" t="str">
        <f t="shared" si="1236"/>
        <v>01</v>
      </c>
      <c r="M1952" s="1" t="str">
        <f t="shared" si="1227"/>
        <v>409</v>
      </c>
      <c r="N1952" s="1" t="str">
        <f t="shared" si="1249"/>
        <v>004</v>
      </c>
      <c r="O1952" s="1" t="str">
        <f t="shared" si="1237"/>
        <v>00</v>
      </c>
      <c r="P1952" s="1" t="str">
        <f t="shared" si="1238"/>
        <v>S</v>
      </c>
      <c r="Q1952" s="1" t="str">
        <f t="shared" si="1239"/>
        <v>P</v>
      </c>
      <c r="R1952" s="1" t="str">
        <f t="shared" si="1240"/>
        <v>01</v>
      </c>
      <c r="S1952" s="1" t="str">
        <f t="shared" si="1226"/>
        <v>04</v>
      </c>
      <c r="T1952" s="1" t="str">
        <f t="shared" si="1241"/>
        <v>False</v>
      </c>
      <c r="U1952" s="1" t="str">
        <f t="shared" si="1242"/>
        <v>True</v>
      </c>
      <c r="V1952" s="1" t="str">
        <f>"U0028114"</f>
        <v>U0028114</v>
      </c>
      <c r="W1952" s="1">
        <v>1</v>
      </c>
      <c r="Y1952" s="1">
        <v>0</v>
      </c>
      <c r="Z1952" s="1">
        <v>0</v>
      </c>
      <c r="AB1952" s="1" t="str">
        <f t="shared" si="1228"/>
        <v>SMU</v>
      </c>
      <c r="AI1952" s="1" t="str">
        <f t="shared" si="1252"/>
        <v>P11</v>
      </c>
      <c r="AJ1952" s="1" t="str">
        <f t="shared" si="1253"/>
        <v>WOMAN</v>
      </c>
      <c r="AK1952" s="1" t="str">
        <f t="shared" si="1243"/>
        <v>PA</v>
      </c>
      <c r="AP1952" s="1" t="str">
        <f t="shared" si="1244"/>
        <v>False</v>
      </c>
      <c r="AR1952" s="1" t="str">
        <f t="shared" si="1254"/>
        <v>GALAD</v>
      </c>
      <c r="AY1952" s="1" t="str">
        <f t="shared" si="1245"/>
        <v>PF</v>
      </c>
      <c r="AZ1952" s="1">
        <v>0</v>
      </c>
      <c r="BA1952" s="1">
        <v>0</v>
      </c>
      <c r="BB1952" s="1">
        <v>0</v>
      </c>
      <c r="BC1952" s="1">
        <v>0</v>
      </c>
      <c r="BD1952" s="1">
        <v>0</v>
      </c>
      <c r="BE1952" s="1" t="str">
        <f t="shared" si="1255"/>
        <v>D GOMMA D.H.TWILL CANVAS+SINT.</v>
      </c>
      <c r="BF1952" s="1" t="str">
        <f t="shared" si="1246"/>
        <v>Bonis SpA</v>
      </c>
    </row>
    <row r="1953" spans="2:58" x14ac:dyDescent="0.25">
      <c r="B1953" s="1">
        <v>2530</v>
      </c>
      <c r="C1953" s="1" t="str">
        <f t="shared" si="1256"/>
        <v>GALAD4185S7/CY1</v>
      </c>
      <c r="E1953" s="1" t="str">
        <f>"37"</f>
        <v>37</v>
      </c>
      <c r="F1953" s="1" t="str">
        <f t="shared" si="1235"/>
        <v>BONIS SPA</v>
      </c>
      <c r="G1953" s="1" t="str">
        <f t="shared" si="1225"/>
        <v>STOCK SCAFFALE MP</v>
      </c>
      <c r="H1953" s="1" t="str">
        <f>"BLUE"</f>
        <v>BLUE</v>
      </c>
      <c r="K1953" s="1">
        <v>7</v>
      </c>
      <c r="L1953" s="1" t="str">
        <f t="shared" si="1236"/>
        <v>01</v>
      </c>
      <c r="M1953" s="1" t="str">
        <f t="shared" si="1227"/>
        <v>409</v>
      </c>
      <c r="N1953" s="1" t="str">
        <f t="shared" si="1249"/>
        <v>004</v>
      </c>
      <c r="O1953" s="1" t="str">
        <f t="shared" si="1237"/>
        <v>00</v>
      </c>
      <c r="P1953" s="1" t="str">
        <f t="shared" si="1238"/>
        <v>S</v>
      </c>
      <c r="Q1953" s="1" t="str">
        <f t="shared" si="1239"/>
        <v>P</v>
      </c>
      <c r="R1953" s="1" t="str">
        <f t="shared" si="1240"/>
        <v>01</v>
      </c>
      <c r="S1953" s="1" t="str">
        <f t="shared" si="1226"/>
        <v>04</v>
      </c>
      <c r="T1953" s="1" t="str">
        <f t="shared" si="1241"/>
        <v>False</v>
      </c>
      <c r="U1953" s="1" t="str">
        <f t="shared" si="1242"/>
        <v>True</v>
      </c>
      <c r="V1953" s="1" t="str">
        <f>"U0032595"</f>
        <v>U0032595</v>
      </c>
      <c r="W1953" s="1">
        <v>1</v>
      </c>
      <c r="Y1953" s="1">
        <v>0</v>
      </c>
      <c r="Z1953" s="1">
        <v>0</v>
      </c>
      <c r="AB1953" s="1" t="str">
        <f t="shared" si="1228"/>
        <v>SMU</v>
      </c>
      <c r="AI1953" s="1" t="str">
        <f t="shared" si="1252"/>
        <v>P11</v>
      </c>
      <c r="AJ1953" s="1" t="str">
        <f t="shared" si="1253"/>
        <v>WOMAN</v>
      </c>
      <c r="AK1953" s="1" t="str">
        <f t="shared" si="1243"/>
        <v>PA</v>
      </c>
      <c r="AP1953" s="1" t="str">
        <f t="shared" si="1244"/>
        <v>False</v>
      </c>
      <c r="AR1953" s="1" t="str">
        <f t="shared" si="1254"/>
        <v>GALAD</v>
      </c>
      <c r="AY1953" s="1" t="str">
        <f t="shared" si="1245"/>
        <v>PF</v>
      </c>
      <c r="AZ1953" s="1">
        <v>0</v>
      </c>
      <c r="BA1953" s="1">
        <v>0</v>
      </c>
      <c r="BB1953" s="1">
        <v>0</v>
      </c>
      <c r="BC1953" s="1">
        <v>0</v>
      </c>
      <c r="BD1953" s="1">
        <v>0</v>
      </c>
      <c r="BE1953" s="1" t="str">
        <f t="shared" si="1255"/>
        <v>D GOMMA D.H.TWILL CANVAS+SINT.</v>
      </c>
      <c r="BF1953" s="1" t="str">
        <f t="shared" si="1246"/>
        <v>Bonis SpA</v>
      </c>
    </row>
    <row r="1954" spans="2:58" x14ac:dyDescent="0.25">
      <c r="B1954" s="1">
        <v>2530</v>
      </c>
      <c r="C1954" s="1" t="str">
        <f t="shared" si="1256"/>
        <v>GALAD4185S7/CY1</v>
      </c>
      <c r="E1954" s="1" t="str">
        <f>"38"</f>
        <v>38</v>
      </c>
      <c r="F1954" s="1" t="str">
        <f t="shared" si="1235"/>
        <v>BONIS SPA</v>
      </c>
      <c r="G1954" s="1" t="str">
        <f t="shared" si="1225"/>
        <v>STOCK SCAFFALE MP</v>
      </c>
      <c r="H1954" s="1" t="str">
        <f>"BLUE"</f>
        <v>BLUE</v>
      </c>
      <c r="K1954" s="1">
        <v>2</v>
      </c>
      <c r="L1954" s="1" t="str">
        <f t="shared" si="1236"/>
        <v>01</v>
      </c>
      <c r="M1954" s="1" t="str">
        <f t="shared" si="1227"/>
        <v>409</v>
      </c>
      <c r="N1954" s="1" t="str">
        <f t="shared" si="1249"/>
        <v>004</v>
      </c>
      <c r="O1954" s="1" t="str">
        <f t="shared" si="1237"/>
        <v>00</v>
      </c>
      <c r="P1954" s="1" t="str">
        <f t="shared" si="1238"/>
        <v>S</v>
      </c>
      <c r="Q1954" s="1" t="str">
        <f t="shared" si="1239"/>
        <v>P</v>
      </c>
      <c r="R1954" s="1" t="str">
        <f t="shared" si="1240"/>
        <v>01</v>
      </c>
      <c r="S1954" s="1" t="str">
        <f t="shared" si="1226"/>
        <v>04</v>
      </c>
      <c r="T1954" s="1" t="str">
        <f t="shared" si="1241"/>
        <v>False</v>
      </c>
      <c r="U1954" s="1" t="str">
        <f t="shared" si="1242"/>
        <v>True</v>
      </c>
      <c r="V1954" s="1" t="str">
        <f>"U0032595"</f>
        <v>U0032595</v>
      </c>
      <c r="W1954" s="1">
        <v>1</v>
      </c>
      <c r="Y1954" s="1">
        <v>0</v>
      </c>
      <c r="Z1954" s="1">
        <v>0</v>
      </c>
      <c r="AB1954" s="1" t="str">
        <f t="shared" si="1228"/>
        <v>SMU</v>
      </c>
      <c r="AI1954" s="1" t="str">
        <f t="shared" si="1252"/>
        <v>P11</v>
      </c>
      <c r="AJ1954" s="1" t="str">
        <f t="shared" si="1253"/>
        <v>WOMAN</v>
      </c>
      <c r="AK1954" s="1" t="str">
        <f t="shared" si="1243"/>
        <v>PA</v>
      </c>
      <c r="AP1954" s="1" t="str">
        <f t="shared" si="1244"/>
        <v>False</v>
      </c>
      <c r="AR1954" s="1" t="str">
        <f t="shared" si="1254"/>
        <v>GALAD</v>
      </c>
      <c r="AY1954" s="1" t="str">
        <f t="shared" si="1245"/>
        <v>PF</v>
      </c>
      <c r="AZ1954" s="1">
        <v>0</v>
      </c>
      <c r="BA1954" s="1">
        <v>0</v>
      </c>
      <c r="BB1954" s="1">
        <v>0</v>
      </c>
      <c r="BC1954" s="1">
        <v>0</v>
      </c>
      <c r="BD1954" s="1">
        <v>0</v>
      </c>
      <c r="BE1954" s="1" t="str">
        <f t="shared" si="1255"/>
        <v>D GOMMA D.H.TWILL CANVAS+SINT.</v>
      </c>
      <c r="BF1954" s="1" t="str">
        <f t="shared" si="1246"/>
        <v>Bonis SpA</v>
      </c>
    </row>
    <row r="1955" spans="2:58" x14ac:dyDescent="0.25">
      <c r="B1955" s="1">
        <v>2530</v>
      </c>
      <c r="C1955" s="1" t="str">
        <f t="shared" si="1256"/>
        <v>GALAD4185S7/CY1</v>
      </c>
      <c r="E1955" s="1" t="str">
        <f>"36"</f>
        <v>36</v>
      </c>
      <c r="F1955" s="1" t="str">
        <f t="shared" si="1235"/>
        <v>BONIS SPA</v>
      </c>
      <c r="G1955" s="1" t="str">
        <f t="shared" si="1225"/>
        <v>STOCK SCAFFALE MP</v>
      </c>
      <c r="H1955" s="1" t="str">
        <f>"BLUE"</f>
        <v>BLUE</v>
      </c>
      <c r="K1955" s="1">
        <v>2</v>
      </c>
      <c r="L1955" s="1" t="str">
        <f t="shared" si="1236"/>
        <v>01</v>
      </c>
      <c r="M1955" s="1" t="str">
        <f t="shared" si="1227"/>
        <v>409</v>
      </c>
      <c r="N1955" s="1" t="str">
        <f t="shared" si="1249"/>
        <v>004</v>
      </c>
      <c r="O1955" s="1" t="str">
        <f t="shared" si="1237"/>
        <v>00</v>
      </c>
      <c r="P1955" s="1" t="str">
        <f t="shared" si="1238"/>
        <v>S</v>
      </c>
      <c r="Q1955" s="1" t="str">
        <f t="shared" si="1239"/>
        <v>P</v>
      </c>
      <c r="R1955" s="1" t="str">
        <f t="shared" si="1240"/>
        <v>01</v>
      </c>
      <c r="S1955" s="1" t="str">
        <f t="shared" si="1226"/>
        <v>04</v>
      </c>
      <c r="T1955" s="1" t="str">
        <f t="shared" si="1241"/>
        <v>False</v>
      </c>
      <c r="U1955" s="1" t="str">
        <f t="shared" si="1242"/>
        <v>True</v>
      </c>
      <c r="V1955" s="1" t="str">
        <f>"U0032595"</f>
        <v>U0032595</v>
      </c>
      <c r="W1955" s="1">
        <v>1</v>
      </c>
      <c r="Y1955" s="1">
        <v>0</v>
      </c>
      <c r="Z1955" s="1">
        <v>0</v>
      </c>
      <c r="AB1955" s="1" t="str">
        <f t="shared" si="1228"/>
        <v>SMU</v>
      </c>
      <c r="AI1955" s="1" t="str">
        <f t="shared" si="1252"/>
        <v>P11</v>
      </c>
      <c r="AJ1955" s="1" t="str">
        <f t="shared" si="1253"/>
        <v>WOMAN</v>
      </c>
      <c r="AK1955" s="1" t="str">
        <f t="shared" si="1243"/>
        <v>PA</v>
      </c>
      <c r="AP1955" s="1" t="str">
        <f t="shared" si="1244"/>
        <v>False</v>
      </c>
      <c r="AR1955" s="1" t="str">
        <f t="shared" si="1254"/>
        <v>GALAD</v>
      </c>
      <c r="AY1955" s="1" t="str">
        <f t="shared" si="1245"/>
        <v>PF</v>
      </c>
      <c r="AZ1955" s="1">
        <v>0</v>
      </c>
      <c r="BA1955" s="1">
        <v>0</v>
      </c>
      <c r="BB1955" s="1">
        <v>0</v>
      </c>
      <c r="BC1955" s="1">
        <v>0</v>
      </c>
      <c r="BD1955" s="1">
        <v>0</v>
      </c>
      <c r="BE1955" s="1" t="str">
        <f t="shared" si="1255"/>
        <v>D GOMMA D.H.TWILL CANVAS+SINT.</v>
      </c>
      <c r="BF1955" s="1" t="str">
        <f t="shared" si="1246"/>
        <v>Bonis SpA</v>
      </c>
    </row>
    <row r="1956" spans="2:58" x14ac:dyDescent="0.25">
      <c r="B1956" s="1">
        <v>2530</v>
      </c>
      <c r="C1956" s="1" t="str">
        <f t="shared" si="1256"/>
        <v>GALAD4185S7/CY1</v>
      </c>
      <c r="E1956" s="1" t="str">
        <f>"39"</f>
        <v>39</v>
      </c>
      <c r="F1956" s="1" t="str">
        <f t="shared" si="1235"/>
        <v>BONIS SPA</v>
      </c>
      <c r="G1956" s="1" t="str">
        <f t="shared" si="1225"/>
        <v>STOCK SCAFFALE MP</v>
      </c>
      <c r="H1956" s="1" t="str">
        <f>"BLK"</f>
        <v>BLK</v>
      </c>
      <c r="K1956" s="1">
        <v>3</v>
      </c>
      <c r="L1956" s="1" t="str">
        <f t="shared" si="1236"/>
        <v>01</v>
      </c>
      <c r="M1956" s="1" t="str">
        <f t="shared" si="1227"/>
        <v>409</v>
      </c>
      <c r="N1956" s="1" t="str">
        <f t="shared" si="1249"/>
        <v>004</v>
      </c>
      <c r="O1956" s="1" t="str">
        <f t="shared" si="1237"/>
        <v>00</v>
      </c>
      <c r="P1956" s="1" t="str">
        <f t="shared" si="1238"/>
        <v>S</v>
      </c>
      <c r="Q1956" s="1" t="str">
        <f t="shared" si="1239"/>
        <v>P</v>
      </c>
      <c r="R1956" s="1" t="str">
        <f t="shared" si="1240"/>
        <v>01</v>
      </c>
      <c r="S1956" s="1" t="str">
        <f t="shared" si="1226"/>
        <v>04</v>
      </c>
      <c r="T1956" s="1" t="str">
        <f t="shared" si="1241"/>
        <v>False</v>
      </c>
      <c r="U1956" s="1" t="str">
        <f t="shared" si="1242"/>
        <v>True</v>
      </c>
      <c r="V1956" s="1" t="str">
        <f>"U0023754"</f>
        <v>U0023754</v>
      </c>
      <c r="W1956" s="1">
        <v>1</v>
      </c>
      <c r="Y1956" s="1">
        <v>0</v>
      </c>
      <c r="Z1956" s="1">
        <v>0</v>
      </c>
      <c r="AB1956" s="1" t="str">
        <f t="shared" si="1228"/>
        <v>SMU</v>
      </c>
      <c r="AI1956" s="1" t="str">
        <f>"106"</f>
        <v>106</v>
      </c>
      <c r="AJ1956" s="1" t="str">
        <f t="shared" si="1253"/>
        <v>WOMAN</v>
      </c>
      <c r="AK1956" s="1" t="str">
        <f t="shared" si="1243"/>
        <v>PA</v>
      </c>
      <c r="AP1956" s="1" t="str">
        <f t="shared" si="1244"/>
        <v>False</v>
      </c>
      <c r="AR1956" s="1" t="str">
        <f t="shared" si="1254"/>
        <v>GALAD</v>
      </c>
      <c r="AY1956" s="1" t="str">
        <f t="shared" si="1245"/>
        <v>PF</v>
      </c>
      <c r="AZ1956" s="1">
        <v>0</v>
      </c>
      <c r="BA1956" s="1">
        <v>0</v>
      </c>
      <c r="BB1956" s="1">
        <v>0</v>
      </c>
      <c r="BC1956" s="1">
        <v>0</v>
      </c>
      <c r="BD1956" s="1">
        <v>0</v>
      </c>
      <c r="BE1956" s="1" t="str">
        <f t="shared" si="1255"/>
        <v>D GOMMA D.H.TWILL CANVAS+SINT.</v>
      </c>
      <c r="BF1956" s="1" t="str">
        <f t="shared" si="1246"/>
        <v>Bonis SpA</v>
      </c>
    </row>
    <row r="1957" spans="2:58" x14ac:dyDescent="0.25">
      <c r="B1957" s="1">
        <v>2530</v>
      </c>
      <c r="C1957" s="1" t="str">
        <f t="shared" si="1256"/>
        <v>GALAD4185S7/CY1</v>
      </c>
      <c r="E1957" s="1" t="str">
        <f>"39"</f>
        <v>39</v>
      </c>
      <c r="F1957" s="1" t="str">
        <f t="shared" si="1235"/>
        <v>BONIS SPA</v>
      </c>
      <c r="G1957" s="1" t="str">
        <f t="shared" si="1225"/>
        <v>STOCK SCAFFALE MP</v>
      </c>
      <c r="H1957" s="1" t="str">
        <f>"BLK"</f>
        <v>BLK</v>
      </c>
      <c r="K1957" s="1">
        <v>1</v>
      </c>
      <c r="L1957" s="1" t="str">
        <f t="shared" si="1236"/>
        <v>01</v>
      </c>
      <c r="M1957" s="1" t="str">
        <f t="shared" si="1227"/>
        <v>409</v>
      </c>
      <c r="N1957" s="1" t="str">
        <f t="shared" si="1249"/>
        <v>004</v>
      </c>
      <c r="O1957" s="1" t="str">
        <f t="shared" si="1237"/>
        <v>00</v>
      </c>
      <c r="P1957" s="1" t="str">
        <f t="shared" si="1238"/>
        <v>S</v>
      </c>
      <c r="Q1957" s="1" t="str">
        <f t="shared" si="1239"/>
        <v>P</v>
      </c>
      <c r="R1957" s="1" t="str">
        <f t="shared" si="1240"/>
        <v>01</v>
      </c>
      <c r="S1957" s="1" t="str">
        <f t="shared" si="1226"/>
        <v>04</v>
      </c>
      <c r="T1957" s="1" t="str">
        <f t="shared" si="1241"/>
        <v>False</v>
      </c>
      <c r="U1957" s="1" t="str">
        <f t="shared" si="1242"/>
        <v>True</v>
      </c>
      <c r="V1957" s="1" t="str">
        <f>"U0032595"</f>
        <v>U0032595</v>
      </c>
      <c r="W1957" s="1">
        <v>1</v>
      </c>
      <c r="Y1957" s="1">
        <v>0</v>
      </c>
      <c r="Z1957" s="1">
        <v>0</v>
      </c>
      <c r="AB1957" s="1" t="str">
        <f t="shared" si="1228"/>
        <v>SMU</v>
      </c>
      <c r="AI1957" s="1" t="str">
        <f>"106"</f>
        <v>106</v>
      </c>
      <c r="AJ1957" s="1" t="str">
        <f t="shared" si="1253"/>
        <v>WOMAN</v>
      </c>
      <c r="AK1957" s="1" t="str">
        <f t="shared" si="1243"/>
        <v>PA</v>
      </c>
      <c r="AP1957" s="1" t="str">
        <f t="shared" si="1244"/>
        <v>False</v>
      </c>
      <c r="AR1957" s="1" t="str">
        <f t="shared" si="1254"/>
        <v>GALAD</v>
      </c>
      <c r="AY1957" s="1" t="str">
        <f t="shared" si="1245"/>
        <v>PF</v>
      </c>
      <c r="AZ1957" s="1">
        <v>0</v>
      </c>
      <c r="BA1957" s="1">
        <v>0</v>
      </c>
      <c r="BB1957" s="1">
        <v>0</v>
      </c>
      <c r="BC1957" s="1">
        <v>0</v>
      </c>
      <c r="BD1957" s="1">
        <v>0</v>
      </c>
      <c r="BE1957" s="1" t="str">
        <f t="shared" si="1255"/>
        <v>D GOMMA D.H.TWILL CANVAS+SINT.</v>
      </c>
      <c r="BF1957" s="1" t="str">
        <f t="shared" si="1246"/>
        <v>Bonis SpA</v>
      </c>
    </row>
    <row r="1958" spans="2:58" x14ac:dyDescent="0.25">
      <c r="B1958" s="1">
        <v>2530</v>
      </c>
      <c r="C1958" s="1" t="str">
        <f t="shared" si="1256"/>
        <v>GALAD4185S7/CY1</v>
      </c>
      <c r="E1958" s="1" t="str">
        <f>"39"</f>
        <v>39</v>
      </c>
      <c r="F1958" s="1" t="str">
        <f t="shared" si="1235"/>
        <v>BONIS SPA</v>
      </c>
      <c r="G1958" s="1" t="str">
        <f t="shared" si="1225"/>
        <v>STOCK SCAFFALE MP</v>
      </c>
      <c r="H1958" s="1" t="str">
        <f>"BLK"</f>
        <v>BLK</v>
      </c>
      <c r="K1958" s="1">
        <v>1</v>
      </c>
      <c r="L1958" s="1" t="str">
        <f t="shared" si="1236"/>
        <v>01</v>
      </c>
      <c r="M1958" s="1" t="str">
        <f t="shared" si="1227"/>
        <v>409</v>
      </c>
      <c r="N1958" s="1" t="str">
        <f t="shared" si="1249"/>
        <v>004</v>
      </c>
      <c r="O1958" s="1" t="str">
        <f t="shared" si="1237"/>
        <v>00</v>
      </c>
      <c r="P1958" s="1" t="str">
        <f t="shared" si="1238"/>
        <v>S</v>
      </c>
      <c r="Q1958" s="1" t="str">
        <f t="shared" si="1239"/>
        <v>P</v>
      </c>
      <c r="R1958" s="1" t="str">
        <f t="shared" si="1240"/>
        <v>01</v>
      </c>
      <c r="S1958" s="1" t="str">
        <f t="shared" si="1226"/>
        <v>04</v>
      </c>
      <c r="T1958" s="1" t="str">
        <f t="shared" si="1241"/>
        <v>False</v>
      </c>
      <c r="U1958" s="1" t="str">
        <f t="shared" si="1242"/>
        <v>True</v>
      </c>
      <c r="V1958" s="1" t="str">
        <f>"U0028112"</f>
        <v>U0028112</v>
      </c>
      <c r="W1958" s="1">
        <v>1</v>
      </c>
      <c r="Y1958" s="1">
        <v>0</v>
      </c>
      <c r="Z1958" s="1">
        <v>0</v>
      </c>
      <c r="AB1958" s="1" t="str">
        <f t="shared" si="1228"/>
        <v>SMU</v>
      </c>
      <c r="AI1958" s="1" t="str">
        <f>"106"</f>
        <v>106</v>
      </c>
      <c r="AJ1958" s="1" t="str">
        <f t="shared" si="1253"/>
        <v>WOMAN</v>
      </c>
      <c r="AK1958" s="1" t="str">
        <f t="shared" si="1243"/>
        <v>PA</v>
      </c>
      <c r="AP1958" s="1" t="str">
        <f t="shared" si="1244"/>
        <v>False</v>
      </c>
      <c r="AR1958" s="1" t="str">
        <f t="shared" si="1254"/>
        <v>GALAD</v>
      </c>
      <c r="AY1958" s="1" t="str">
        <f t="shared" si="1245"/>
        <v>PF</v>
      </c>
      <c r="AZ1958" s="1">
        <v>0</v>
      </c>
      <c r="BA1958" s="1">
        <v>0</v>
      </c>
      <c r="BB1958" s="1">
        <v>0</v>
      </c>
      <c r="BC1958" s="1">
        <v>0</v>
      </c>
      <c r="BD1958" s="1">
        <v>0</v>
      </c>
      <c r="BE1958" s="1" t="str">
        <f t="shared" si="1255"/>
        <v>D GOMMA D.H.TWILL CANVAS+SINT.</v>
      </c>
      <c r="BF1958" s="1" t="str">
        <f t="shared" si="1246"/>
        <v>Bonis SpA</v>
      </c>
    </row>
    <row r="1959" spans="2:58" x14ac:dyDescent="0.25">
      <c r="B1959" s="1">
        <v>2530</v>
      </c>
      <c r="C1959" s="1" t="str">
        <f t="shared" si="1256"/>
        <v>GALAD4185S7/CY1</v>
      </c>
      <c r="E1959" s="1" t="str">
        <f>"41"</f>
        <v>41</v>
      </c>
      <c r="F1959" s="1" t="str">
        <f t="shared" si="1235"/>
        <v>BONIS SPA</v>
      </c>
      <c r="G1959" s="1" t="str">
        <f t="shared" si="1225"/>
        <v>STOCK SCAFFALE MP</v>
      </c>
      <c r="H1959" s="1" t="str">
        <f>"WHI"</f>
        <v>WHI</v>
      </c>
      <c r="K1959" s="1">
        <v>6</v>
      </c>
      <c r="L1959" s="1" t="str">
        <f t="shared" si="1236"/>
        <v>01</v>
      </c>
      <c r="M1959" s="1" t="str">
        <f t="shared" si="1227"/>
        <v>409</v>
      </c>
      <c r="N1959" s="1" t="str">
        <f t="shared" si="1249"/>
        <v>004</v>
      </c>
      <c r="O1959" s="1" t="str">
        <f t="shared" si="1237"/>
        <v>00</v>
      </c>
      <c r="P1959" s="1" t="str">
        <f t="shared" si="1238"/>
        <v>S</v>
      </c>
      <c r="Q1959" s="1" t="str">
        <f t="shared" si="1239"/>
        <v>P</v>
      </c>
      <c r="R1959" s="1" t="str">
        <f t="shared" si="1240"/>
        <v>01</v>
      </c>
      <c r="S1959" s="1" t="str">
        <f t="shared" si="1226"/>
        <v>04</v>
      </c>
      <c r="T1959" s="1" t="str">
        <f t="shared" si="1241"/>
        <v>False</v>
      </c>
      <c r="U1959" s="1" t="str">
        <f t="shared" si="1242"/>
        <v>True</v>
      </c>
      <c r="V1959" s="1" t="str">
        <f>"U0028105"</f>
        <v>U0028105</v>
      </c>
      <c r="W1959" s="1">
        <v>1</v>
      </c>
      <c r="Y1959" s="1">
        <v>0</v>
      </c>
      <c r="Z1959" s="1">
        <v>0</v>
      </c>
      <c r="AB1959" s="1" t="str">
        <f t="shared" si="1228"/>
        <v>SMU</v>
      </c>
      <c r="AI1959" s="1" t="str">
        <f>"P11"</f>
        <v>P11</v>
      </c>
      <c r="AJ1959" s="1" t="str">
        <f t="shared" si="1253"/>
        <v>WOMAN</v>
      </c>
      <c r="AK1959" s="1" t="str">
        <f t="shared" si="1243"/>
        <v>PA</v>
      </c>
      <c r="AP1959" s="1" t="str">
        <f t="shared" si="1244"/>
        <v>False</v>
      </c>
      <c r="AR1959" s="1" t="str">
        <f t="shared" si="1254"/>
        <v>GALAD</v>
      </c>
      <c r="AY1959" s="1" t="str">
        <f t="shared" si="1245"/>
        <v>PF</v>
      </c>
      <c r="AZ1959" s="1">
        <v>0</v>
      </c>
      <c r="BA1959" s="1">
        <v>0</v>
      </c>
      <c r="BB1959" s="1">
        <v>0</v>
      </c>
      <c r="BC1959" s="1">
        <v>0</v>
      </c>
      <c r="BD1959" s="1">
        <v>0</v>
      </c>
      <c r="BE1959" s="1" t="str">
        <f t="shared" si="1255"/>
        <v>D GOMMA D.H.TWILL CANVAS+SINT.</v>
      </c>
      <c r="BF1959" s="1" t="str">
        <f t="shared" si="1246"/>
        <v>Bonis SpA</v>
      </c>
    </row>
    <row r="1960" spans="2:58" x14ac:dyDescent="0.25">
      <c r="B1960" s="1">
        <v>2530</v>
      </c>
      <c r="C1960" s="1" t="str">
        <f t="shared" si="1256"/>
        <v>GALAD4185S7/CY1</v>
      </c>
      <c r="E1960" s="1" t="str">
        <f>"40"</f>
        <v>40</v>
      </c>
      <c r="F1960" s="1" t="str">
        <f t="shared" si="1235"/>
        <v>BONIS SPA</v>
      </c>
      <c r="G1960" s="1" t="str">
        <f t="shared" si="1225"/>
        <v>STOCK SCAFFALE MP</v>
      </c>
      <c r="H1960" s="1" t="str">
        <f>"WHI"</f>
        <v>WHI</v>
      </c>
      <c r="K1960" s="1">
        <v>1</v>
      </c>
      <c r="L1960" s="1" t="str">
        <f t="shared" si="1236"/>
        <v>01</v>
      </c>
      <c r="M1960" s="1" t="str">
        <f t="shared" si="1227"/>
        <v>409</v>
      </c>
      <c r="N1960" s="1" t="str">
        <f t="shared" si="1249"/>
        <v>004</v>
      </c>
      <c r="O1960" s="1" t="str">
        <f t="shared" si="1237"/>
        <v>00</v>
      </c>
      <c r="P1960" s="1" t="str">
        <f t="shared" si="1238"/>
        <v>S</v>
      </c>
      <c r="Q1960" s="1" t="str">
        <f t="shared" si="1239"/>
        <v>P</v>
      </c>
      <c r="R1960" s="1" t="str">
        <f t="shared" si="1240"/>
        <v>01</v>
      </c>
      <c r="S1960" s="1" t="str">
        <f t="shared" si="1226"/>
        <v>04</v>
      </c>
      <c r="T1960" s="1" t="str">
        <f t="shared" si="1241"/>
        <v>False</v>
      </c>
      <c r="U1960" s="1" t="str">
        <f t="shared" si="1242"/>
        <v>True</v>
      </c>
      <c r="V1960" s="1" t="str">
        <f>"U0028105"</f>
        <v>U0028105</v>
      </c>
      <c r="W1960" s="1">
        <v>1</v>
      </c>
      <c r="Y1960" s="1">
        <v>0</v>
      </c>
      <c r="Z1960" s="1">
        <v>0</v>
      </c>
      <c r="AB1960" s="1" t="str">
        <f t="shared" si="1228"/>
        <v>SMU</v>
      </c>
      <c r="AI1960" s="1" t="str">
        <f>"P11"</f>
        <v>P11</v>
      </c>
      <c r="AJ1960" s="1" t="str">
        <f t="shared" si="1253"/>
        <v>WOMAN</v>
      </c>
      <c r="AK1960" s="1" t="str">
        <f t="shared" si="1243"/>
        <v>PA</v>
      </c>
      <c r="AP1960" s="1" t="str">
        <f t="shared" si="1244"/>
        <v>False</v>
      </c>
      <c r="AR1960" s="1" t="str">
        <f t="shared" si="1254"/>
        <v>GALAD</v>
      </c>
      <c r="AY1960" s="1" t="str">
        <f t="shared" si="1245"/>
        <v>PF</v>
      </c>
      <c r="AZ1960" s="1">
        <v>0</v>
      </c>
      <c r="BA1960" s="1">
        <v>0</v>
      </c>
      <c r="BB1960" s="1">
        <v>0</v>
      </c>
      <c r="BC1960" s="1">
        <v>0</v>
      </c>
      <c r="BD1960" s="1">
        <v>0</v>
      </c>
      <c r="BE1960" s="1" t="str">
        <f t="shared" si="1255"/>
        <v>D GOMMA D.H.TWILL CANVAS+SINT.</v>
      </c>
      <c r="BF1960" s="1" t="str">
        <f t="shared" si="1246"/>
        <v>Bonis SpA</v>
      </c>
    </row>
    <row r="1961" spans="2:58" x14ac:dyDescent="0.25">
      <c r="B1961" s="1">
        <v>2530</v>
      </c>
      <c r="C1961" s="1" t="str">
        <f t="shared" si="1256"/>
        <v>GALAD4185S7/CY1</v>
      </c>
      <c r="E1961" s="1" t="str">
        <f>"39"</f>
        <v>39</v>
      </c>
      <c r="F1961" s="1" t="str">
        <f t="shared" si="1235"/>
        <v>BONIS SPA</v>
      </c>
      <c r="G1961" s="1" t="str">
        <f t="shared" si="1225"/>
        <v>STOCK SCAFFALE MP</v>
      </c>
      <c r="H1961" s="1" t="str">
        <f>"WHI"</f>
        <v>WHI</v>
      </c>
      <c r="K1961" s="1">
        <v>2</v>
      </c>
      <c r="L1961" s="1" t="str">
        <f t="shared" si="1236"/>
        <v>01</v>
      </c>
      <c r="M1961" s="1" t="str">
        <f t="shared" si="1227"/>
        <v>409</v>
      </c>
      <c r="N1961" s="1" t="str">
        <f t="shared" si="1249"/>
        <v>004</v>
      </c>
      <c r="O1961" s="1" t="str">
        <f t="shared" si="1237"/>
        <v>00</v>
      </c>
      <c r="P1961" s="1" t="str">
        <f t="shared" si="1238"/>
        <v>S</v>
      </c>
      <c r="Q1961" s="1" t="str">
        <f t="shared" si="1239"/>
        <v>P</v>
      </c>
      <c r="R1961" s="1" t="str">
        <f t="shared" si="1240"/>
        <v>01</v>
      </c>
      <c r="S1961" s="1" t="str">
        <f t="shared" si="1226"/>
        <v>04</v>
      </c>
      <c r="T1961" s="1" t="str">
        <f t="shared" si="1241"/>
        <v>False</v>
      </c>
      <c r="U1961" s="1" t="str">
        <f t="shared" si="1242"/>
        <v>True</v>
      </c>
      <c r="V1961" s="1" t="str">
        <f>"U0028105"</f>
        <v>U0028105</v>
      </c>
      <c r="W1961" s="1">
        <v>1</v>
      </c>
      <c r="Y1961" s="1">
        <v>0</v>
      </c>
      <c r="Z1961" s="1">
        <v>0</v>
      </c>
      <c r="AB1961" s="1" t="str">
        <f t="shared" si="1228"/>
        <v>SMU</v>
      </c>
      <c r="AI1961" s="1" t="str">
        <f>"F06"</f>
        <v>F06</v>
      </c>
      <c r="AJ1961" s="1" t="str">
        <f t="shared" si="1253"/>
        <v>WOMAN</v>
      </c>
      <c r="AK1961" s="1" t="str">
        <f t="shared" si="1243"/>
        <v>PA</v>
      </c>
      <c r="AP1961" s="1" t="str">
        <f t="shared" si="1244"/>
        <v>False</v>
      </c>
      <c r="AR1961" s="1" t="str">
        <f t="shared" si="1254"/>
        <v>GALAD</v>
      </c>
      <c r="AY1961" s="1" t="str">
        <f t="shared" si="1245"/>
        <v>PF</v>
      </c>
      <c r="AZ1961" s="1">
        <v>0</v>
      </c>
      <c r="BA1961" s="1">
        <v>0</v>
      </c>
      <c r="BB1961" s="1">
        <v>0</v>
      </c>
      <c r="BC1961" s="1">
        <v>0</v>
      </c>
      <c r="BD1961" s="1">
        <v>0</v>
      </c>
      <c r="BE1961" s="1" t="str">
        <f t="shared" si="1255"/>
        <v>D GOMMA D.H.TWILL CANVAS+SINT.</v>
      </c>
      <c r="BF1961" s="1" t="str">
        <f t="shared" si="1246"/>
        <v>Bonis SpA</v>
      </c>
    </row>
    <row r="1962" spans="2:58" x14ac:dyDescent="0.25">
      <c r="B1962" s="1">
        <v>2530</v>
      </c>
      <c r="C1962" s="1" t="str">
        <f t="shared" si="1256"/>
        <v>GALAD4185S7/CY1</v>
      </c>
      <c r="E1962" s="1" t="str">
        <f>"36"</f>
        <v>36</v>
      </c>
      <c r="F1962" s="1" t="str">
        <f t="shared" si="1235"/>
        <v>BONIS SPA</v>
      </c>
      <c r="G1962" s="1" t="str">
        <f t="shared" si="1225"/>
        <v>STOCK SCAFFALE MP</v>
      </c>
      <c r="H1962" s="1" t="str">
        <f>"BLK"</f>
        <v>BLK</v>
      </c>
      <c r="K1962" s="1">
        <v>5</v>
      </c>
      <c r="L1962" s="1" t="str">
        <f t="shared" si="1236"/>
        <v>01</v>
      </c>
      <c r="M1962" s="1" t="str">
        <f t="shared" si="1227"/>
        <v>409</v>
      </c>
      <c r="N1962" s="1" t="str">
        <f t="shared" si="1249"/>
        <v>004</v>
      </c>
      <c r="O1962" s="1" t="str">
        <f t="shared" si="1237"/>
        <v>00</v>
      </c>
      <c r="P1962" s="1" t="str">
        <f t="shared" si="1238"/>
        <v>S</v>
      </c>
      <c r="Q1962" s="1" t="str">
        <f t="shared" si="1239"/>
        <v>P</v>
      </c>
      <c r="R1962" s="1" t="str">
        <f t="shared" si="1240"/>
        <v>01</v>
      </c>
      <c r="S1962" s="1" t="str">
        <f t="shared" si="1226"/>
        <v>04</v>
      </c>
      <c r="T1962" s="1" t="str">
        <f t="shared" si="1241"/>
        <v>False</v>
      </c>
      <c r="U1962" s="1" t="str">
        <f t="shared" si="1242"/>
        <v>True</v>
      </c>
      <c r="V1962" s="1" t="str">
        <f>"U0023754"</f>
        <v>U0023754</v>
      </c>
      <c r="W1962" s="1">
        <v>1</v>
      </c>
      <c r="Y1962" s="1">
        <v>0</v>
      </c>
      <c r="Z1962" s="1">
        <v>0</v>
      </c>
      <c r="AB1962" s="1" t="str">
        <f t="shared" si="1228"/>
        <v>SMU</v>
      </c>
      <c r="AI1962" s="1" t="str">
        <f t="shared" ref="AI1962:AI1967" si="1257">"P11"</f>
        <v>P11</v>
      </c>
      <c r="AJ1962" s="1" t="str">
        <f t="shared" si="1253"/>
        <v>WOMAN</v>
      </c>
      <c r="AK1962" s="1" t="str">
        <f t="shared" si="1243"/>
        <v>PA</v>
      </c>
      <c r="AP1962" s="1" t="str">
        <f t="shared" si="1244"/>
        <v>False</v>
      </c>
      <c r="AR1962" s="1" t="str">
        <f t="shared" si="1254"/>
        <v>GALAD</v>
      </c>
      <c r="AY1962" s="1" t="str">
        <f t="shared" si="1245"/>
        <v>PF</v>
      </c>
      <c r="AZ1962" s="1">
        <v>0</v>
      </c>
      <c r="BA1962" s="1">
        <v>0</v>
      </c>
      <c r="BB1962" s="1">
        <v>0</v>
      </c>
      <c r="BC1962" s="1">
        <v>0</v>
      </c>
      <c r="BD1962" s="1">
        <v>0</v>
      </c>
      <c r="BE1962" s="1" t="str">
        <f t="shared" si="1255"/>
        <v>D GOMMA D.H.TWILL CANVAS+SINT.</v>
      </c>
      <c r="BF1962" s="1" t="str">
        <f t="shared" si="1246"/>
        <v>Bonis SpA</v>
      </c>
    </row>
    <row r="1963" spans="2:58" x14ac:dyDescent="0.25">
      <c r="B1963" s="1">
        <v>2530</v>
      </c>
      <c r="C1963" s="1" t="str">
        <f t="shared" si="1256"/>
        <v>GALAD4185S7/CY1</v>
      </c>
      <c r="E1963" s="1" t="str">
        <f>"38"</f>
        <v>38</v>
      </c>
      <c r="F1963" s="1" t="str">
        <f t="shared" si="1235"/>
        <v>BONIS SPA</v>
      </c>
      <c r="G1963" s="1" t="str">
        <f t="shared" si="1225"/>
        <v>STOCK SCAFFALE MP</v>
      </c>
      <c r="H1963" s="1" t="str">
        <f>"BLK"</f>
        <v>BLK</v>
      </c>
      <c r="K1963" s="1">
        <v>1</v>
      </c>
      <c r="L1963" s="1" t="str">
        <f t="shared" si="1236"/>
        <v>01</v>
      </c>
      <c r="M1963" s="1" t="str">
        <f t="shared" si="1227"/>
        <v>409</v>
      </c>
      <c r="N1963" s="1" t="str">
        <f t="shared" si="1249"/>
        <v>004</v>
      </c>
      <c r="O1963" s="1" t="str">
        <f t="shared" si="1237"/>
        <v>00</v>
      </c>
      <c r="P1963" s="1" t="str">
        <f t="shared" si="1238"/>
        <v>S</v>
      </c>
      <c r="Q1963" s="1" t="str">
        <f t="shared" si="1239"/>
        <v>P</v>
      </c>
      <c r="R1963" s="1" t="str">
        <f t="shared" si="1240"/>
        <v>01</v>
      </c>
      <c r="S1963" s="1" t="str">
        <f t="shared" si="1226"/>
        <v>04</v>
      </c>
      <c r="T1963" s="1" t="str">
        <f t="shared" si="1241"/>
        <v>False</v>
      </c>
      <c r="U1963" s="1" t="str">
        <f t="shared" si="1242"/>
        <v>True</v>
      </c>
      <c r="V1963" s="1" t="str">
        <f>"U0023754"</f>
        <v>U0023754</v>
      </c>
      <c r="W1963" s="1">
        <v>1</v>
      </c>
      <c r="Y1963" s="1">
        <v>0</v>
      </c>
      <c r="Z1963" s="1">
        <v>0</v>
      </c>
      <c r="AB1963" s="1" t="str">
        <f t="shared" si="1228"/>
        <v>SMU</v>
      </c>
      <c r="AI1963" s="1" t="str">
        <f t="shared" si="1257"/>
        <v>P11</v>
      </c>
      <c r="AJ1963" s="1" t="str">
        <f t="shared" si="1253"/>
        <v>WOMAN</v>
      </c>
      <c r="AK1963" s="1" t="str">
        <f t="shared" si="1243"/>
        <v>PA</v>
      </c>
      <c r="AP1963" s="1" t="str">
        <f t="shared" si="1244"/>
        <v>False</v>
      </c>
      <c r="AR1963" s="1" t="str">
        <f t="shared" si="1254"/>
        <v>GALAD</v>
      </c>
      <c r="AY1963" s="1" t="str">
        <f t="shared" si="1245"/>
        <v>PF</v>
      </c>
      <c r="AZ1963" s="1">
        <v>0</v>
      </c>
      <c r="BA1963" s="1">
        <v>0</v>
      </c>
      <c r="BB1963" s="1">
        <v>0</v>
      </c>
      <c r="BC1963" s="1">
        <v>0</v>
      </c>
      <c r="BD1963" s="1">
        <v>0</v>
      </c>
      <c r="BE1963" s="1" t="str">
        <f t="shared" si="1255"/>
        <v>D GOMMA D.H.TWILL CANVAS+SINT.</v>
      </c>
      <c r="BF1963" s="1" t="str">
        <f t="shared" si="1246"/>
        <v>Bonis SpA</v>
      </c>
    </row>
    <row r="1964" spans="2:58" x14ac:dyDescent="0.25">
      <c r="B1964" s="1">
        <v>2530</v>
      </c>
      <c r="C1964" s="1" t="str">
        <f t="shared" si="1256"/>
        <v>GALAD4185S7/CY1</v>
      </c>
      <c r="E1964" s="1" t="str">
        <f>"39"</f>
        <v>39</v>
      </c>
      <c r="F1964" s="1" t="str">
        <f t="shared" si="1235"/>
        <v>BONIS SPA</v>
      </c>
      <c r="G1964" s="1" t="str">
        <f t="shared" si="1225"/>
        <v>STOCK SCAFFALE MP</v>
      </c>
      <c r="H1964" s="1" t="str">
        <f>"WHI"</f>
        <v>WHI</v>
      </c>
      <c r="K1964" s="1">
        <v>9</v>
      </c>
      <c r="L1964" s="1" t="str">
        <f t="shared" si="1236"/>
        <v>01</v>
      </c>
      <c r="M1964" s="1" t="str">
        <f t="shared" si="1227"/>
        <v>409</v>
      </c>
      <c r="N1964" s="1" t="str">
        <f t="shared" si="1249"/>
        <v>004</v>
      </c>
      <c r="O1964" s="1" t="str">
        <f t="shared" si="1237"/>
        <v>00</v>
      </c>
      <c r="P1964" s="1" t="str">
        <f t="shared" si="1238"/>
        <v>S</v>
      </c>
      <c r="Q1964" s="1" t="str">
        <f t="shared" si="1239"/>
        <v>P</v>
      </c>
      <c r="R1964" s="1" t="str">
        <f t="shared" si="1240"/>
        <v>01</v>
      </c>
      <c r="S1964" s="1" t="str">
        <f t="shared" si="1226"/>
        <v>04</v>
      </c>
      <c r="T1964" s="1" t="str">
        <f t="shared" si="1241"/>
        <v>False</v>
      </c>
      <c r="U1964" s="1" t="str">
        <f t="shared" si="1242"/>
        <v>True</v>
      </c>
      <c r="V1964" s="1" t="str">
        <f>"U0028113"</f>
        <v>U0028113</v>
      </c>
      <c r="W1964" s="1">
        <v>1</v>
      </c>
      <c r="Y1964" s="1">
        <v>0</v>
      </c>
      <c r="Z1964" s="1">
        <v>0</v>
      </c>
      <c r="AB1964" s="1" t="str">
        <f t="shared" si="1228"/>
        <v>SMU</v>
      </c>
      <c r="AI1964" s="1" t="str">
        <f t="shared" si="1257"/>
        <v>P11</v>
      </c>
      <c r="AJ1964" s="1" t="str">
        <f t="shared" si="1253"/>
        <v>WOMAN</v>
      </c>
      <c r="AK1964" s="1" t="str">
        <f t="shared" si="1243"/>
        <v>PA</v>
      </c>
      <c r="AP1964" s="1" t="str">
        <f t="shared" si="1244"/>
        <v>False</v>
      </c>
      <c r="AR1964" s="1" t="str">
        <f t="shared" si="1254"/>
        <v>GALAD</v>
      </c>
      <c r="AY1964" s="1" t="str">
        <f t="shared" si="1245"/>
        <v>PF</v>
      </c>
      <c r="AZ1964" s="1">
        <v>0</v>
      </c>
      <c r="BA1964" s="1">
        <v>0</v>
      </c>
      <c r="BB1964" s="1">
        <v>0</v>
      </c>
      <c r="BC1964" s="1">
        <v>0</v>
      </c>
      <c r="BD1964" s="1">
        <v>0</v>
      </c>
      <c r="BE1964" s="1" t="str">
        <f t="shared" si="1255"/>
        <v>D GOMMA D.H.TWILL CANVAS+SINT.</v>
      </c>
      <c r="BF1964" s="1" t="str">
        <f t="shared" si="1246"/>
        <v>Bonis SpA</v>
      </c>
    </row>
    <row r="1965" spans="2:58" x14ac:dyDescent="0.25">
      <c r="B1965" s="1">
        <v>2530</v>
      </c>
      <c r="C1965" s="1" t="str">
        <f t="shared" si="1256"/>
        <v>GALAD4185S7/CY1</v>
      </c>
      <c r="E1965" s="1" t="str">
        <f>"39"</f>
        <v>39</v>
      </c>
      <c r="F1965" s="1" t="str">
        <f t="shared" si="1235"/>
        <v>BONIS SPA</v>
      </c>
      <c r="G1965" s="1" t="str">
        <f t="shared" si="1225"/>
        <v>STOCK SCAFFALE MP</v>
      </c>
      <c r="H1965" s="1" t="str">
        <f>"BLK"</f>
        <v>BLK</v>
      </c>
      <c r="K1965" s="1">
        <v>1</v>
      </c>
      <c r="L1965" s="1" t="str">
        <f t="shared" si="1236"/>
        <v>01</v>
      </c>
      <c r="M1965" s="1" t="str">
        <f t="shared" si="1227"/>
        <v>409</v>
      </c>
      <c r="N1965" s="1" t="str">
        <f t="shared" si="1249"/>
        <v>004</v>
      </c>
      <c r="O1965" s="1" t="str">
        <f t="shared" si="1237"/>
        <v>00</v>
      </c>
      <c r="P1965" s="1" t="str">
        <f t="shared" si="1238"/>
        <v>S</v>
      </c>
      <c r="Q1965" s="1" t="str">
        <f t="shared" si="1239"/>
        <v>P</v>
      </c>
      <c r="R1965" s="1" t="str">
        <f t="shared" si="1240"/>
        <v>01</v>
      </c>
      <c r="S1965" s="1" t="str">
        <f t="shared" si="1226"/>
        <v>04</v>
      </c>
      <c r="T1965" s="1" t="str">
        <f t="shared" si="1241"/>
        <v>False</v>
      </c>
      <c r="U1965" s="1" t="str">
        <f t="shared" si="1242"/>
        <v>True</v>
      </c>
      <c r="V1965" s="1" t="str">
        <f>"U0032594"</f>
        <v>U0032594</v>
      </c>
      <c r="W1965" s="1">
        <v>1</v>
      </c>
      <c r="Y1965" s="1">
        <v>0</v>
      </c>
      <c r="Z1965" s="1">
        <v>0</v>
      </c>
      <c r="AB1965" s="1" t="str">
        <f t="shared" si="1228"/>
        <v>SMU</v>
      </c>
      <c r="AI1965" s="1" t="str">
        <f t="shared" si="1257"/>
        <v>P11</v>
      </c>
      <c r="AJ1965" s="1" t="str">
        <f t="shared" si="1253"/>
        <v>WOMAN</v>
      </c>
      <c r="AK1965" s="1" t="str">
        <f t="shared" si="1243"/>
        <v>PA</v>
      </c>
      <c r="AP1965" s="1" t="str">
        <f t="shared" si="1244"/>
        <v>False</v>
      </c>
      <c r="AR1965" s="1" t="str">
        <f t="shared" si="1254"/>
        <v>GALAD</v>
      </c>
      <c r="AY1965" s="1" t="str">
        <f t="shared" si="1245"/>
        <v>PF</v>
      </c>
      <c r="AZ1965" s="1">
        <v>0</v>
      </c>
      <c r="BA1965" s="1">
        <v>0</v>
      </c>
      <c r="BB1965" s="1">
        <v>0</v>
      </c>
      <c r="BC1965" s="1">
        <v>0</v>
      </c>
      <c r="BD1965" s="1">
        <v>0</v>
      </c>
      <c r="BE1965" s="1" t="str">
        <f t="shared" si="1255"/>
        <v>D GOMMA D.H.TWILL CANVAS+SINT.</v>
      </c>
      <c r="BF1965" s="1" t="str">
        <f t="shared" si="1246"/>
        <v>Bonis SpA</v>
      </c>
    </row>
    <row r="1966" spans="2:58" x14ac:dyDescent="0.25">
      <c r="B1966" s="1">
        <v>2530</v>
      </c>
      <c r="C1966" s="1" t="str">
        <f t="shared" si="1256"/>
        <v>GALAD4185S7/CY1</v>
      </c>
      <c r="E1966" s="1" t="str">
        <f>"40"</f>
        <v>40</v>
      </c>
      <c r="F1966" s="1" t="str">
        <f t="shared" si="1235"/>
        <v>BONIS SPA</v>
      </c>
      <c r="G1966" s="1" t="str">
        <f t="shared" si="1225"/>
        <v>STOCK SCAFFALE MP</v>
      </c>
      <c r="H1966" s="1" t="str">
        <f>"BLK"</f>
        <v>BLK</v>
      </c>
      <c r="K1966" s="1">
        <v>3</v>
      </c>
      <c r="L1966" s="1" t="str">
        <f t="shared" si="1236"/>
        <v>01</v>
      </c>
      <c r="M1966" s="1" t="str">
        <f t="shared" si="1227"/>
        <v>409</v>
      </c>
      <c r="N1966" s="1" t="str">
        <f t="shared" si="1249"/>
        <v>004</v>
      </c>
      <c r="O1966" s="1" t="str">
        <f t="shared" si="1237"/>
        <v>00</v>
      </c>
      <c r="P1966" s="1" t="str">
        <f t="shared" si="1238"/>
        <v>S</v>
      </c>
      <c r="Q1966" s="1" t="str">
        <f t="shared" si="1239"/>
        <v>P</v>
      </c>
      <c r="R1966" s="1" t="str">
        <f t="shared" si="1240"/>
        <v>01</v>
      </c>
      <c r="S1966" s="1" t="str">
        <f t="shared" si="1226"/>
        <v>04</v>
      </c>
      <c r="T1966" s="1" t="str">
        <f t="shared" si="1241"/>
        <v>False</v>
      </c>
      <c r="U1966" s="1" t="str">
        <f t="shared" si="1242"/>
        <v>True</v>
      </c>
      <c r="V1966" s="1" t="str">
        <f>"U0032594"</f>
        <v>U0032594</v>
      </c>
      <c r="W1966" s="1">
        <v>1</v>
      </c>
      <c r="Y1966" s="1">
        <v>0</v>
      </c>
      <c r="Z1966" s="1">
        <v>0</v>
      </c>
      <c r="AB1966" s="1" t="str">
        <f t="shared" si="1228"/>
        <v>SMU</v>
      </c>
      <c r="AI1966" s="1" t="str">
        <f t="shared" si="1257"/>
        <v>P11</v>
      </c>
      <c r="AJ1966" s="1" t="str">
        <f t="shared" si="1253"/>
        <v>WOMAN</v>
      </c>
      <c r="AK1966" s="1" t="str">
        <f t="shared" si="1243"/>
        <v>PA</v>
      </c>
      <c r="AP1966" s="1" t="str">
        <f t="shared" si="1244"/>
        <v>False</v>
      </c>
      <c r="AR1966" s="1" t="str">
        <f t="shared" si="1254"/>
        <v>GALAD</v>
      </c>
      <c r="AY1966" s="1" t="str">
        <f t="shared" si="1245"/>
        <v>PF</v>
      </c>
      <c r="AZ1966" s="1">
        <v>0</v>
      </c>
      <c r="BA1966" s="1">
        <v>0</v>
      </c>
      <c r="BB1966" s="1">
        <v>0</v>
      </c>
      <c r="BC1966" s="1">
        <v>0</v>
      </c>
      <c r="BD1966" s="1">
        <v>0</v>
      </c>
      <c r="BE1966" s="1" t="str">
        <f t="shared" si="1255"/>
        <v>D GOMMA D.H.TWILL CANVAS+SINT.</v>
      </c>
      <c r="BF1966" s="1" t="str">
        <f t="shared" si="1246"/>
        <v>Bonis SpA</v>
      </c>
    </row>
    <row r="1967" spans="2:58" x14ac:dyDescent="0.25">
      <c r="B1967" s="1">
        <v>2530</v>
      </c>
      <c r="C1967" s="1" t="str">
        <f t="shared" si="1256"/>
        <v>GALAD4185S7/CY1</v>
      </c>
      <c r="E1967" s="1" t="str">
        <f>"38"</f>
        <v>38</v>
      </c>
      <c r="F1967" s="1" t="str">
        <f t="shared" si="1235"/>
        <v>BONIS SPA</v>
      </c>
      <c r="G1967" s="1" t="str">
        <f t="shared" si="1225"/>
        <v>STOCK SCAFFALE MP</v>
      </c>
      <c r="H1967" s="1" t="str">
        <f>"BLK"</f>
        <v>BLK</v>
      </c>
      <c r="K1967" s="1">
        <v>8</v>
      </c>
      <c r="L1967" s="1" t="str">
        <f t="shared" si="1236"/>
        <v>01</v>
      </c>
      <c r="M1967" s="1" t="str">
        <f t="shared" si="1227"/>
        <v>409</v>
      </c>
      <c r="N1967" s="1" t="str">
        <f t="shared" si="1249"/>
        <v>004</v>
      </c>
      <c r="O1967" s="1" t="str">
        <f t="shared" si="1237"/>
        <v>00</v>
      </c>
      <c r="P1967" s="1" t="str">
        <f t="shared" si="1238"/>
        <v>S</v>
      </c>
      <c r="Q1967" s="1" t="str">
        <f t="shared" si="1239"/>
        <v>P</v>
      </c>
      <c r="R1967" s="1" t="str">
        <f t="shared" si="1240"/>
        <v>01</v>
      </c>
      <c r="S1967" s="1" t="str">
        <f t="shared" si="1226"/>
        <v>04</v>
      </c>
      <c r="T1967" s="1" t="str">
        <f t="shared" si="1241"/>
        <v>False</v>
      </c>
      <c r="U1967" s="1" t="str">
        <f t="shared" si="1242"/>
        <v>True</v>
      </c>
      <c r="V1967" s="1" t="str">
        <f>"U0032594"</f>
        <v>U0032594</v>
      </c>
      <c r="W1967" s="1">
        <v>1</v>
      </c>
      <c r="Y1967" s="1">
        <v>0</v>
      </c>
      <c r="Z1967" s="1">
        <v>0</v>
      </c>
      <c r="AB1967" s="1" t="str">
        <f t="shared" si="1228"/>
        <v>SMU</v>
      </c>
      <c r="AI1967" s="1" t="str">
        <f t="shared" si="1257"/>
        <v>P11</v>
      </c>
      <c r="AJ1967" s="1" t="str">
        <f t="shared" si="1253"/>
        <v>WOMAN</v>
      </c>
      <c r="AK1967" s="1" t="str">
        <f t="shared" si="1243"/>
        <v>PA</v>
      </c>
      <c r="AP1967" s="1" t="str">
        <f t="shared" si="1244"/>
        <v>False</v>
      </c>
      <c r="AR1967" s="1" t="str">
        <f t="shared" si="1254"/>
        <v>GALAD</v>
      </c>
      <c r="AY1967" s="1" t="str">
        <f t="shared" si="1245"/>
        <v>PF</v>
      </c>
      <c r="AZ1967" s="1">
        <v>0</v>
      </c>
      <c r="BA1967" s="1">
        <v>0</v>
      </c>
      <c r="BB1967" s="1">
        <v>0</v>
      </c>
      <c r="BC1967" s="1">
        <v>0</v>
      </c>
      <c r="BD1967" s="1">
        <v>0</v>
      </c>
      <c r="BE1967" s="1" t="str">
        <f t="shared" si="1255"/>
        <v>D GOMMA D.H.TWILL CANVAS+SINT.</v>
      </c>
      <c r="BF1967" s="1" t="str">
        <f t="shared" si="1246"/>
        <v>Bonis SpA</v>
      </c>
    </row>
    <row r="1968" spans="2:58" x14ac:dyDescent="0.25">
      <c r="B1968" s="1">
        <v>2530</v>
      </c>
      <c r="C1968" s="1" t="str">
        <f>"GALAD4184S7/CY1"</f>
        <v>GALAD4184S7/CY1</v>
      </c>
      <c r="E1968" s="1" t="str">
        <f>"40"</f>
        <v>40</v>
      </c>
      <c r="F1968" s="1" t="str">
        <f t="shared" si="1235"/>
        <v>BONIS SPA</v>
      </c>
      <c r="G1968" s="1" t="str">
        <f t="shared" ref="G1968:G2031" si="1258">"STOCK SCAFFALE MP"</f>
        <v>STOCK SCAFFALE MP</v>
      </c>
      <c r="H1968" s="1" t="str">
        <f>"BLK"</f>
        <v>BLK</v>
      </c>
      <c r="K1968" s="1">
        <v>3</v>
      </c>
      <c r="L1968" s="1" t="str">
        <f t="shared" si="1236"/>
        <v>01</v>
      </c>
      <c r="M1968" s="1" t="str">
        <f t="shared" si="1227"/>
        <v>409</v>
      </c>
      <c r="N1968" s="1" t="str">
        <f t="shared" si="1249"/>
        <v>004</v>
      </c>
      <c r="O1968" s="1" t="str">
        <f t="shared" si="1237"/>
        <v>00</v>
      </c>
      <c r="P1968" s="1" t="str">
        <f t="shared" si="1238"/>
        <v>S</v>
      </c>
      <c r="Q1968" s="1" t="str">
        <f t="shared" si="1239"/>
        <v>P</v>
      </c>
      <c r="R1968" s="1" t="str">
        <f t="shared" si="1240"/>
        <v>01</v>
      </c>
      <c r="S1968" s="1" t="str">
        <f t="shared" ref="S1968:S2031" si="1259">"04"</f>
        <v>04</v>
      </c>
      <c r="T1968" s="1" t="str">
        <f t="shared" si="1241"/>
        <v>False</v>
      </c>
      <c r="U1968" s="1" t="str">
        <f t="shared" si="1242"/>
        <v>True</v>
      </c>
      <c r="V1968" s="1" t="str">
        <f>"U0028113"</f>
        <v>U0028113</v>
      </c>
      <c r="W1968" s="1">
        <v>1</v>
      </c>
      <c r="Y1968" s="1">
        <v>0</v>
      </c>
      <c r="Z1968" s="1">
        <v>0</v>
      </c>
      <c r="AB1968" s="1" t="str">
        <f t="shared" si="1228"/>
        <v>SMU</v>
      </c>
      <c r="AI1968" s="1" t="str">
        <f>"106"</f>
        <v>106</v>
      </c>
      <c r="AJ1968" s="1" t="str">
        <f t="shared" si="1253"/>
        <v>WOMAN</v>
      </c>
      <c r="AK1968" s="1" t="str">
        <f t="shared" si="1243"/>
        <v>PA</v>
      </c>
      <c r="AP1968" s="1" t="str">
        <f t="shared" si="1244"/>
        <v>False</v>
      </c>
      <c r="AR1968" s="1" t="str">
        <f t="shared" si="1254"/>
        <v>GALAD</v>
      </c>
      <c r="AY1968" s="1" t="str">
        <f t="shared" si="1245"/>
        <v>PF</v>
      </c>
      <c r="AZ1968" s="1">
        <v>0</v>
      </c>
      <c r="BA1968" s="1">
        <v>0</v>
      </c>
      <c r="BB1968" s="1">
        <v>0</v>
      </c>
      <c r="BC1968" s="1">
        <v>0</v>
      </c>
      <c r="BD1968" s="1">
        <v>0</v>
      </c>
      <c r="BE1968" s="1" t="str">
        <f t="shared" si="1255"/>
        <v>D GOMMA D.H.TWILL CANVAS+SINT.</v>
      </c>
      <c r="BF1968" s="1" t="str">
        <f t="shared" si="1246"/>
        <v>Bonis SpA</v>
      </c>
    </row>
    <row r="1969" spans="2:58" x14ac:dyDescent="0.25">
      <c r="B1969" s="1">
        <v>2530</v>
      </c>
      <c r="C1969" s="1" t="str">
        <f>"GALAD4184S7/CY1"</f>
        <v>GALAD4184S7/CY1</v>
      </c>
      <c r="E1969" s="1" t="str">
        <f>"40"</f>
        <v>40</v>
      </c>
      <c r="F1969" s="1" t="str">
        <f t="shared" si="1235"/>
        <v>BONIS SPA</v>
      </c>
      <c r="G1969" s="1" t="str">
        <f t="shared" si="1258"/>
        <v>STOCK SCAFFALE MP</v>
      </c>
      <c r="H1969" s="1" t="str">
        <f>"BLK"</f>
        <v>BLK</v>
      </c>
      <c r="K1969" s="1">
        <v>1</v>
      </c>
      <c r="L1969" s="1" t="str">
        <f t="shared" si="1236"/>
        <v>01</v>
      </c>
      <c r="M1969" s="1" t="str">
        <f t="shared" si="1227"/>
        <v>409</v>
      </c>
      <c r="N1969" s="1" t="str">
        <f t="shared" si="1249"/>
        <v>004</v>
      </c>
      <c r="O1969" s="1" t="str">
        <f t="shared" si="1237"/>
        <v>00</v>
      </c>
      <c r="P1969" s="1" t="str">
        <f t="shared" si="1238"/>
        <v>S</v>
      </c>
      <c r="Q1969" s="1" t="str">
        <f t="shared" si="1239"/>
        <v>P</v>
      </c>
      <c r="R1969" s="1" t="str">
        <f t="shared" si="1240"/>
        <v>01</v>
      </c>
      <c r="S1969" s="1" t="str">
        <f t="shared" si="1259"/>
        <v>04</v>
      </c>
      <c r="T1969" s="1" t="str">
        <f t="shared" si="1241"/>
        <v>False</v>
      </c>
      <c r="U1969" s="1" t="str">
        <f t="shared" si="1242"/>
        <v>True</v>
      </c>
      <c r="V1969" s="1" t="str">
        <f>"U0028105"</f>
        <v>U0028105</v>
      </c>
      <c r="W1969" s="1">
        <v>1</v>
      </c>
      <c r="Y1969" s="1">
        <v>0</v>
      </c>
      <c r="Z1969" s="1">
        <v>0</v>
      </c>
      <c r="AB1969" s="1" t="str">
        <f t="shared" si="1228"/>
        <v>SMU</v>
      </c>
      <c r="AI1969" s="1" t="str">
        <f>"106"</f>
        <v>106</v>
      </c>
      <c r="AJ1969" s="1" t="str">
        <f t="shared" si="1253"/>
        <v>WOMAN</v>
      </c>
      <c r="AK1969" s="1" t="str">
        <f t="shared" si="1243"/>
        <v>PA</v>
      </c>
      <c r="AP1969" s="1" t="str">
        <f t="shared" si="1244"/>
        <v>False</v>
      </c>
      <c r="AR1969" s="1" t="str">
        <f t="shared" si="1254"/>
        <v>GALAD</v>
      </c>
      <c r="AY1969" s="1" t="str">
        <f t="shared" si="1245"/>
        <v>PF</v>
      </c>
      <c r="AZ1969" s="1">
        <v>0</v>
      </c>
      <c r="BA1969" s="1">
        <v>0</v>
      </c>
      <c r="BB1969" s="1">
        <v>0</v>
      </c>
      <c r="BC1969" s="1">
        <v>0</v>
      </c>
      <c r="BD1969" s="1">
        <v>0</v>
      </c>
      <c r="BE1969" s="1" t="str">
        <f t="shared" si="1255"/>
        <v>D GOMMA D.H.TWILL CANVAS+SINT.</v>
      </c>
      <c r="BF1969" s="1" t="str">
        <f t="shared" si="1246"/>
        <v>Bonis SpA</v>
      </c>
    </row>
    <row r="1970" spans="2:58" x14ac:dyDescent="0.25">
      <c r="B1970" s="1">
        <v>2530</v>
      </c>
      <c r="C1970" s="1" t="str">
        <f t="shared" ref="C1970:C1980" si="1260">"GALAD4185S7/CY1"</f>
        <v>GALAD4185S7/CY1</v>
      </c>
      <c r="E1970" s="1" t="str">
        <f>"36"</f>
        <v>36</v>
      </c>
      <c r="F1970" s="1" t="str">
        <f t="shared" si="1235"/>
        <v>BONIS SPA</v>
      </c>
      <c r="G1970" s="1" t="str">
        <f t="shared" si="1258"/>
        <v>STOCK SCAFFALE MP</v>
      </c>
      <c r="H1970" s="1" t="str">
        <f t="shared" ref="H1970:H1980" si="1261">"RED"</f>
        <v>RED</v>
      </c>
      <c r="K1970" s="1">
        <v>4</v>
      </c>
      <c r="L1970" s="1" t="str">
        <f t="shared" si="1236"/>
        <v>01</v>
      </c>
      <c r="M1970" s="1" t="str">
        <f t="shared" si="1227"/>
        <v>409</v>
      </c>
      <c r="N1970" s="1" t="str">
        <f t="shared" si="1249"/>
        <v>004</v>
      </c>
      <c r="O1970" s="1" t="str">
        <f t="shared" si="1237"/>
        <v>00</v>
      </c>
      <c r="P1970" s="1" t="str">
        <f t="shared" si="1238"/>
        <v>S</v>
      </c>
      <c r="Q1970" s="1" t="str">
        <f t="shared" si="1239"/>
        <v>P</v>
      </c>
      <c r="R1970" s="1" t="str">
        <f t="shared" si="1240"/>
        <v>01</v>
      </c>
      <c r="S1970" s="1" t="str">
        <f t="shared" si="1259"/>
        <v>04</v>
      </c>
      <c r="T1970" s="1" t="str">
        <f t="shared" si="1241"/>
        <v>False</v>
      </c>
      <c r="U1970" s="1" t="str">
        <f t="shared" si="1242"/>
        <v>True</v>
      </c>
      <c r="V1970" s="1" t="str">
        <f>"U0023755"</f>
        <v>U0023755</v>
      </c>
      <c r="W1970" s="1">
        <v>1</v>
      </c>
      <c r="Y1970" s="1">
        <v>0</v>
      </c>
      <c r="Z1970" s="1">
        <v>0</v>
      </c>
      <c r="AB1970" s="1" t="str">
        <f t="shared" si="1228"/>
        <v>SMU</v>
      </c>
      <c r="AI1970" s="1" t="str">
        <f t="shared" ref="AI1970:AI1988" si="1262">"P11"</f>
        <v>P11</v>
      </c>
      <c r="AJ1970" s="1" t="str">
        <f t="shared" si="1253"/>
        <v>WOMAN</v>
      </c>
      <c r="AK1970" s="1" t="str">
        <f t="shared" si="1243"/>
        <v>PA</v>
      </c>
      <c r="AP1970" s="1" t="str">
        <f t="shared" si="1244"/>
        <v>False</v>
      </c>
      <c r="AR1970" s="1" t="str">
        <f t="shared" si="1254"/>
        <v>GALAD</v>
      </c>
      <c r="AY1970" s="1" t="str">
        <f t="shared" si="1245"/>
        <v>PF</v>
      </c>
      <c r="AZ1970" s="1">
        <v>0</v>
      </c>
      <c r="BA1970" s="1">
        <v>0</v>
      </c>
      <c r="BB1970" s="1">
        <v>0</v>
      </c>
      <c r="BC1970" s="1">
        <v>0</v>
      </c>
      <c r="BD1970" s="1">
        <v>0</v>
      </c>
      <c r="BE1970" s="1" t="str">
        <f t="shared" si="1255"/>
        <v>D GOMMA D.H.TWILL CANVAS+SINT.</v>
      </c>
      <c r="BF1970" s="1" t="str">
        <f t="shared" si="1246"/>
        <v>Bonis SpA</v>
      </c>
    </row>
    <row r="1971" spans="2:58" x14ac:dyDescent="0.25">
      <c r="B1971" s="1">
        <v>2530</v>
      </c>
      <c r="C1971" s="1" t="str">
        <f t="shared" si="1260"/>
        <v>GALAD4185S7/CY1</v>
      </c>
      <c r="E1971" s="1" t="str">
        <f>"37"</f>
        <v>37</v>
      </c>
      <c r="F1971" s="1" t="str">
        <f t="shared" si="1235"/>
        <v>BONIS SPA</v>
      </c>
      <c r="G1971" s="1" t="str">
        <f t="shared" si="1258"/>
        <v>STOCK SCAFFALE MP</v>
      </c>
      <c r="H1971" s="1" t="str">
        <f t="shared" si="1261"/>
        <v>RED</v>
      </c>
      <c r="K1971" s="1">
        <v>2</v>
      </c>
      <c r="L1971" s="1" t="str">
        <f t="shared" si="1236"/>
        <v>01</v>
      </c>
      <c r="M1971" s="1" t="str">
        <f t="shared" si="1227"/>
        <v>409</v>
      </c>
      <c r="N1971" s="1" t="str">
        <f t="shared" si="1249"/>
        <v>004</v>
      </c>
      <c r="O1971" s="1" t="str">
        <f t="shared" si="1237"/>
        <v>00</v>
      </c>
      <c r="P1971" s="1" t="str">
        <f t="shared" si="1238"/>
        <v>S</v>
      </c>
      <c r="Q1971" s="1" t="str">
        <f t="shared" si="1239"/>
        <v>P</v>
      </c>
      <c r="R1971" s="1" t="str">
        <f t="shared" si="1240"/>
        <v>01</v>
      </c>
      <c r="S1971" s="1" t="str">
        <f t="shared" si="1259"/>
        <v>04</v>
      </c>
      <c r="T1971" s="1" t="str">
        <f t="shared" si="1241"/>
        <v>False</v>
      </c>
      <c r="U1971" s="1" t="str">
        <f t="shared" si="1242"/>
        <v>True</v>
      </c>
      <c r="V1971" s="1" t="str">
        <f>"U0023755"</f>
        <v>U0023755</v>
      </c>
      <c r="W1971" s="1">
        <v>1</v>
      </c>
      <c r="Y1971" s="1">
        <v>0</v>
      </c>
      <c r="Z1971" s="1">
        <v>0</v>
      </c>
      <c r="AB1971" s="1" t="str">
        <f t="shared" si="1228"/>
        <v>SMU</v>
      </c>
      <c r="AI1971" s="1" t="str">
        <f t="shared" si="1262"/>
        <v>P11</v>
      </c>
      <c r="AJ1971" s="1" t="str">
        <f t="shared" si="1253"/>
        <v>WOMAN</v>
      </c>
      <c r="AK1971" s="1" t="str">
        <f t="shared" si="1243"/>
        <v>PA</v>
      </c>
      <c r="AP1971" s="1" t="str">
        <f t="shared" si="1244"/>
        <v>False</v>
      </c>
      <c r="AR1971" s="1" t="str">
        <f t="shared" si="1254"/>
        <v>GALAD</v>
      </c>
      <c r="AY1971" s="1" t="str">
        <f t="shared" si="1245"/>
        <v>PF</v>
      </c>
      <c r="AZ1971" s="1">
        <v>0</v>
      </c>
      <c r="BA1971" s="1">
        <v>0</v>
      </c>
      <c r="BB1971" s="1">
        <v>0</v>
      </c>
      <c r="BC1971" s="1">
        <v>0</v>
      </c>
      <c r="BD1971" s="1">
        <v>0</v>
      </c>
      <c r="BE1971" s="1" t="str">
        <f t="shared" si="1255"/>
        <v>D GOMMA D.H.TWILL CANVAS+SINT.</v>
      </c>
      <c r="BF1971" s="1" t="str">
        <f t="shared" si="1246"/>
        <v>Bonis SpA</v>
      </c>
    </row>
    <row r="1972" spans="2:58" x14ac:dyDescent="0.25">
      <c r="B1972" s="1">
        <v>2530</v>
      </c>
      <c r="C1972" s="1" t="str">
        <f t="shared" si="1260"/>
        <v>GALAD4185S7/CY1</v>
      </c>
      <c r="E1972" s="1" t="str">
        <f>"38"</f>
        <v>38</v>
      </c>
      <c r="F1972" s="1" t="str">
        <f t="shared" si="1235"/>
        <v>BONIS SPA</v>
      </c>
      <c r="G1972" s="1" t="str">
        <f t="shared" si="1258"/>
        <v>STOCK SCAFFALE MP</v>
      </c>
      <c r="H1972" s="1" t="str">
        <f t="shared" si="1261"/>
        <v>RED</v>
      </c>
      <c r="K1972" s="1">
        <v>6</v>
      </c>
      <c r="L1972" s="1" t="str">
        <f t="shared" si="1236"/>
        <v>01</v>
      </c>
      <c r="M1972" s="1" t="str">
        <f t="shared" si="1227"/>
        <v>409</v>
      </c>
      <c r="N1972" s="1" t="str">
        <f t="shared" si="1249"/>
        <v>004</v>
      </c>
      <c r="O1972" s="1" t="str">
        <f t="shared" si="1237"/>
        <v>00</v>
      </c>
      <c r="P1972" s="1" t="str">
        <f t="shared" si="1238"/>
        <v>S</v>
      </c>
      <c r="Q1972" s="1" t="str">
        <f t="shared" si="1239"/>
        <v>P</v>
      </c>
      <c r="R1972" s="1" t="str">
        <f t="shared" si="1240"/>
        <v>01</v>
      </c>
      <c r="S1972" s="1" t="str">
        <f t="shared" si="1259"/>
        <v>04</v>
      </c>
      <c r="T1972" s="1" t="str">
        <f t="shared" si="1241"/>
        <v>False</v>
      </c>
      <c r="U1972" s="1" t="str">
        <f t="shared" si="1242"/>
        <v>True</v>
      </c>
      <c r="V1972" s="1" t="str">
        <f>"U0023755"</f>
        <v>U0023755</v>
      </c>
      <c r="W1972" s="1">
        <v>1</v>
      </c>
      <c r="Y1972" s="1">
        <v>0</v>
      </c>
      <c r="Z1972" s="1">
        <v>0</v>
      </c>
      <c r="AB1972" s="1" t="str">
        <f t="shared" si="1228"/>
        <v>SMU</v>
      </c>
      <c r="AI1972" s="1" t="str">
        <f t="shared" si="1262"/>
        <v>P11</v>
      </c>
      <c r="AJ1972" s="1" t="str">
        <f t="shared" si="1253"/>
        <v>WOMAN</v>
      </c>
      <c r="AK1972" s="1" t="str">
        <f t="shared" si="1243"/>
        <v>PA</v>
      </c>
      <c r="AP1972" s="1" t="str">
        <f t="shared" si="1244"/>
        <v>False</v>
      </c>
      <c r="AR1972" s="1" t="str">
        <f t="shared" si="1254"/>
        <v>GALAD</v>
      </c>
      <c r="AY1972" s="1" t="str">
        <f t="shared" si="1245"/>
        <v>PF</v>
      </c>
      <c r="AZ1972" s="1">
        <v>0</v>
      </c>
      <c r="BA1972" s="1">
        <v>0</v>
      </c>
      <c r="BB1972" s="1">
        <v>0</v>
      </c>
      <c r="BC1972" s="1">
        <v>0</v>
      </c>
      <c r="BD1972" s="1">
        <v>0</v>
      </c>
      <c r="BE1972" s="1" t="str">
        <f t="shared" si="1255"/>
        <v>D GOMMA D.H.TWILL CANVAS+SINT.</v>
      </c>
      <c r="BF1972" s="1" t="str">
        <f t="shared" si="1246"/>
        <v>Bonis SpA</v>
      </c>
    </row>
    <row r="1973" spans="2:58" x14ac:dyDescent="0.25">
      <c r="B1973" s="1">
        <v>2530</v>
      </c>
      <c r="C1973" s="1" t="str">
        <f t="shared" si="1260"/>
        <v>GALAD4185S7/CY1</v>
      </c>
      <c r="E1973" s="1" t="str">
        <f>"39"</f>
        <v>39</v>
      </c>
      <c r="F1973" s="1" t="str">
        <f t="shared" si="1235"/>
        <v>BONIS SPA</v>
      </c>
      <c r="G1973" s="1" t="str">
        <f t="shared" si="1258"/>
        <v>STOCK SCAFFALE MP</v>
      </c>
      <c r="H1973" s="1" t="str">
        <f t="shared" si="1261"/>
        <v>RED</v>
      </c>
      <c r="K1973" s="1">
        <v>6</v>
      </c>
      <c r="L1973" s="1" t="str">
        <f t="shared" si="1236"/>
        <v>01</v>
      </c>
      <c r="M1973" s="1" t="str">
        <f t="shared" si="1227"/>
        <v>409</v>
      </c>
      <c r="N1973" s="1" t="str">
        <f t="shared" si="1249"/>
        <v>004</v>
      </c>
      <c r="O1973" s="1" t="str">
        <f t="shared" si="1237"/>
        <v>00</v>
      </c>
      <c r="P1973" s="1" t="str">
        <f t="shared" si="1238"/>
        <v>S</v>
      </c>
      <c r="Q1973" s="1" t="str">
        <f t="shared" si="1239"/>
        <v>P</v>
      </c>
      <c r="R1973" s="1" t="str">
        <f t="shared" si="1240"/>
        <v>01</v>
      </c>
      <c r="S1973" s="1" t="str">
        <f t="shared" si="1259"/>
        <v>04</v>
      </c>
      <c r="T1973" s="1" t="str">
        <f t="shared" si="1241"/>
        <v>False</v>
      </c>
      <c r="U1973" s="1" t="str">
        <f t="shared" si="1242"/>
        <v>True</v>
      </c>
      <c r="V1973" s="1" t="str">
        <f>"U0028117"</f>
        <v>U0028117</v>
      </c>
      <c r="W1973" s="1">
        <v>1</v>
      </c>
      <c r="Y1973" s="1">
        <v>0</v>
      </c>
      <c r="Z1973" s="1">
        <v>0</v>
      </c>
      <c r="AB1973" s="1" t="str">
        <f t="shared" si="1228"/>
        <v>SMU</v>
      </c>
      <c r="AI1973" s="1" t="str">
        <f t="shared" si="1262"/>
        <v>P11</v>
      </c>
      <c r="AJ1973" s="1" t="str">
        <f t="shared" si="1253"/>
        <v>WOMAN</v>
      </c>
      <c r="AK1973" s="1" t="str">
        <f t="shared" si="1243"/>
        <v>PA</v>
      </c>
      <c r="AP1973" s="1" t="str">
        <f t="shared" si="1244"/>
        <v>False</v>
      </c>
      <c r="AR1973" s="1" t="str">
        <f t="shared" si="1254"/>
        <v>GALAD</v>
      </c>
      <c r="AY1973" s="1" t="str">
        <f t="shared" si="1245"/>
        <v>PF</v>
      </c>
      <c r="AZ1973" s="1">
        <v>0</v>
      </c>
      <c r="BA1973" s="1">
        <v>0</v>
      </c>
      <c r="BB1973" s="1">
        <v>0</v>
      </c>
      <c r="BC1973" s="1">
        <v>0</v>
      </c>
      <c r="BD1973" s="1">
        <v>0</v>
      </c>
      <c r="BE1973" s="1" t="str">
        <f t="shared" si="1255"/>
        <v>D GOMMA D.H.TWILL CANVAS+SINT.</v>
      </c>
      <c r="BF1973" s="1" t="str">
        <f t="shared" si="1246"/>
        <v>Bonis SpA</v>
      </c>
    </row>
    <row r="1974" spans="2:58" x14ac:dyDescent="0.25">
      <c r="B1974" s="1">
        <v>2530</v>
      </c>
      <c r="C1974" s="1" t="str">
        <f t="shared" si="1260"/>
        <v>GALAD4185S7/CY1</v>
      </c>
      <c r="E1974" s="1" t="str">
        <f>"38"</f>
        <v>38</v>
      </c>
      <c r="F1974" s="1" t="str">
        <f t="shared" si="1235"/>
        <v>BONIS SPA</v>
      </c>
      <c r="G1974" s="1" t="str">
        <f t="shared" si="1258"/>
        <v>STOCK SCAFFALE MP</v>
      </c>
      <c r="H1974" s="1" t="str">
        <f t="shared" si="1261"/>
        <v>RED</v>
      </c>
      <c r="K1974" s="1">
        <v>6</v>
      </c>
      <c r="L1974" s="1" t="str">
        <f t="shared" si="1236"/>
        <v>01</v>
      </c>
      <c r="M1974" s="1" t="str">
        <f t="shared" ref="M1974:M2037" si="1263">"409"</f>
        <v>409</v>
      </c>
      <c r="N1974" s="1" t="str">
        <f t="shared" si="1249"/>
        <v>004</v>
      </c>
      <c r="O1974" s="1" t="str">
        <f t="shared" si="1237"/>
        <v>00</v>
      </c>
      <c r="P1974" s="1" t="str">
        <f t="shared" si="1238"/>
        <v>S</v>
      </c>
      <c r="Q1974" s="1" t="str">
        <f t="shared" si="1239"/>
        <v>P</v>
      </c>
      <c r="R1974" s="1" t="str">
        <f t="shared" si="1240"/>
        <v>01</v>
      </c>
      <c r="S1974" s="1" t="str">
        <f t="shared" si="1259"/>
        <v>04</v>
      </c>
      <c r="T1974" s="1" t="str">
        <f t="shared" si="1241"/>
        <v>False</v>
      </c>
      <c r="U1974" s="1" t="str">
        <f t="shared" si="1242"/>
        <v>True</v>
      </c>
      <c r="V1974" s="1" t="str">
        <f>"U0028117"</f>
        <v>U0028117</v>
      </c>
      <c r="W1974" s="1">
        <v>1</v>
      </c>
      <c r="Y1974" s="1">
        <v>0</v>
      </c>
      <c r="Z1974" s="1">
        <v>0</v>
      </c>
      <c r="AB1974" s="1" t="str">
        <f t="shared" ref="AB1974:AB2037" si="1264">"SMU"</f>
        <v>SMU</v>
      </c>
      <c r="AI1974" s="1" t="str">
        <f t="shared" si="1262"/>
        <v>P11</v>
      </c>
      <c r="AJ1974" s="1" t="str">
        <f t="shared" si="1253"/>
        <v>WOMAN</v>
      </c>
      <c r="AK1974" s="1" t="str">
        <f t="shared" si="1243"/>
        <v>PA</v>
      </c>
      <c r="AP1974" s="1" t="str">
        <f t="shared" si="1244"/>
        <v>False</v>
      </c>
      <c r="AR1974" s="1" t="str">
        <f t="shared" si="1254"/>
        <v>GALAD</v>
      </c>
      <c r="AY1974" s="1" t="str">
        <f t="shared" si="1245"/>
        <v>PF</v>
      </c>
      <c r="AZ1974" s="1">
        <v>0</v>
      </c>
      <c r="BA1974" s="1">
        <v>0</v>
      </c>
      <c r="BB1974" s="1">
        <v>0</v>
      </c>
      <c r="BC1974" s="1">
        <v>0</v>
      </c>
      <c r="BD1974" s="1">
        <v>0</v>
      </c>
      <c r="BE1974" s="1" t="str">
        <f t="shared" si="1255"/>
        <v>D GOMMA D.H.TWILL CANVAS+SINT.</v>
      </c>
      <c r="BF1974" s="1" t="str">
        <f t="shared" si="1246"/>
        <v>Bonis SpA</v>
      </c>
    </row>
    <row r="1975" spans="2:58" x14ac:dyDescent="0.25">
      <c r="B1975" s="1">
        <v>2530</v>
      </c>
      <c r="C1975" s="1" t="str">
        <f t="shared" si="1260"/>
        <v>GALAD4185S7/CY1</v>
      </c>
      <c r="E1975" s="1" t="str">
        <f>"40"</f>
        <v>40</v>
      </c>
      <c r="F1975" s="1" t="str">
        <f t="shared" si="1235"/>
        <v>BONIS SPA</v>
      </c>
      <c r="G1975" s="1" t="str">
        <f t="shared" si="1258"/>
        <v>STOCK SCAFFALE MP</v>
      </c>
      <c r="H1975" s="1" t="str">
        <f t="shared" si="1261"/>
        <v>RED</v>
      </c>
      <c r="K1975" s="1">
        <v>7</v>
      </c>
      <c r="L1975" s="1" t="str">
        <f t="shared" si="1236"/>
        <v>01</v>
      </c>
      <c r="M1975" s="1" t="str">
        <f t="shared" si="1263"/>
        <v>409</v>
      </c>
      <c r="N1975" s="1" t="str">
        <f t="shared" si="1249"/>
        <v>004</v>
      </c>
      <c r="O1975" s="1" t="str">
        <f t="shared" si="1237"/>
        <v>00</v>
      </c>
      <c r="P1975" s="1" t="str">
        <f t="shared" si="1238"/>
        <v>S</v>
      </c>
      <c r="Q1975" s="1" t="str">
        <f t="shared" si="1239"/>
        <v>P</v>
      </c>
      <c r="R1975" s="1" t="str">
        <f t="shared" si="1240"/>
        <v>01</v>
      </c>
      <c r="S1975" s="1" t="str">
        <f t="shared" si="1259"/>
        <v>04</v>
      </c>
      <c r="T1975" s="1" t="str">
        <f t="shared" si="1241"/>
        <v>False</v>
      </c>
      <c r="U1975" s="1" t="str">
        <f t="shared" si="1242"/>
        <v>True</v>
      </c>
      <c r="V1975" s="1" t="str">
        <f>"U0028125"</f>
        <v>U0028125</v>
      </c>
      <c r="W1975" s="1">
        <v>1</v>
      </c>
      <c r="Y1975" s="1">
        <v>0</v>
      </c>
      <c r="Z1975" s="1">
        <v>0</v>
      </c>
      <c r="AB1975" s="1" t="str">
        <f t="shared" si="1264"/>
        <v>SMU</v>
      </c>
      <c r="AI1975" s="1" t="str">
        <f t="shared" si="1262"/>
        <v>P11</v>
      </c>
      <c r="AJ1975" s="1" t="str">
        <f t="shared" si="1253"/>
        <v>WOMAN</v>
      </c>
      <c r="AK1975" s="1" t="str">
        <f t="shared" si="1243"/>
        <v>PA</v>
      </c>
      <c r="AP1975" s="1" t="str">
        <f t="shared" si="1244"/>
        <v>False</v>
      </c>
      <c r="AR1975" s="1" t="str">
        <f t="shared" si="1254"/>
        <v>GALAD</v>
      </c>
      <c r="AY1975" s="1" t="str">
        <f t="shared" si="1245"/>
        <v>PF</v>
      </c>
      <c r="AZ1975" s="1">
        <v>0</v>
      </c>
      <c r="BA1975" s="1">
        <v>0</v>
      </c>
      <c r="BB1975" s="1">
        <v>0</v>
      </c>
      <c r="BC1975" s="1">
        <v>0</v>
      </c>
      <c r="BD1975" s="1">
        <v>0</v>
      </c>
      <c r="BE1975" s="1" t="str">
        <f t="shared" si="1255"/>
        <v>D GOMMA D.H.TWILL CANVAS+SINT.</v>
      </c>
      <c r="BF1975" s="1" t="str">
        <f t="shared" si="1246"/>
        <v>Bonis SpA</v>
      </c>
    </row>
    <row r="1976" spans="2:58" x14ac:dyDescent="0.25">
      <c r="B1976" s="1">
        <v>2530</v>
      </c>
      <c r="C1976" s="1" t="str">
        <f t="shared" si="1260"/>
        <v>GALAD4185S7/CY1</v>
      </c>
      <c r="E1976" s="1" t="str">
        <f>"37"</f>
        <v>37</v>
      </c>
      <c r="F1976" s="1" t="str">
        <f t="shared" si="1235"/>
        <v>BONIS SPA</v>
      </c>
      <c r="G1976" s="1" t="str">
        <f t="shared" si="1258"/>
        <v>STOCK SCAFFALE MP</v>
      </c>
      <c r="H1976" s="1" t="str">
        <f t="shared" si="1261"/>
        <v>RED</v>
      </c>
      <c r="K1976" s="1">
        <v>1</v>
      </c>
      <c r="L1976" s="1" t="str">
        <f t="shared" si="1236"/>
        <v>01</v>
      </c>
      <c r="M1976" s="1" t="str">
        <f t="shared" si="1263"/>
        <v>409</v>
      </c>
      <c r="N1976" s="1" t="str">
        <f t="shared" si="1249"/>
        <v>004</v>
      </c>
      <c r="O1976" s="1" t="str">
        <f t="shared" si="1237"/>
        <v>00</v>
      </c>
      <c r="P1976" s="1" t="str">
        <f t="shared" si="1238"/>
        <v>S</v>
      </c>
      <c r="Q1976" s="1" t="str">
        <f t="shared" si="1239"/>
        <v>P</v>
      </c>
      <c r="R1976" s="1" t="str">
        <f t="shared" si="1240"/>
        <v>01</v>
      </c>
      <c r="S1976" s="1" t="str">
        <f t="shared" si="1259"/>
        <v>04</v>
      </c>
      <c r="T1976" s="1" t="str">
        <f t="shared" si="1241"/>
        <v>False</v>
      </c>
      <c r="U1976" s="1" t="str">
        <f t="shared" si="1242"/>
        <v>True</v>
      </c>
      <c r="V1976" s="1" t="str">
        <f>"U0028125"</f>
        <v>U0028125</v>
      </c>
      <c r="W1976" s="1">
        <v>1</v>
      </c>
      <c r="Y1976" s="1">
        <v>0</v>
      </c>
      <c r="Z1976" s="1">
        <v>0</v>
      </c>
      <c r="AB1976" s="1" t="str">
        <f t="shared" si="1264"/>
        <v>SMU</v>
      </c>
      <c r="AI1976" s="1" t="str">
        <f t="shared" si="1262"/>
        <v>P11</v>
      </c>
      <c r="AJ1976" s="1" t="str">
        <f t="shared" si="1253"/>
        <v>WOMAN</v>
      </c>
      <c r="AK1976" s="1" t="str">
        <f t="shared" si="1243"/>
        <v>PA</v>
      </c>
      <c r="AP1976" s="1" t="str">
        <f t="shared" si="1244"/>
        <v>False</v>
      </c>
      <c r="AR1976" s="1" t="str">
        <f t="shared" si="1254"/>
        <v>GALAD</v>
      </c>
      <c r="AY1976" s="1" t="str">
        <f t="shared" si="1245"/>
        <v>PF</v>
      </c>
      <c r="AZ1976" s="1">
        <v>0</v>
      </c>
      <c r="BA1976" s="1">
        <v>0</v>
      </c>
      <c r="BB1976" s="1">
        <v>0</v>
      </c>
      <c r="BC1976" s="1">
        <v>0</v>
      </c>
      <c r="BD1976" s="1">
        <v>0</v>
      </c>
      <c r="BE1976" s="1" t="str">
        <f t="shared" si="1255"/>
        <v>D GOMMA D.H.TWILL CANVAS+SINT.</v>
      </c>
      <c r="BF1976" s="1" t="str">
        <f t="shared" si="1246"/>
        <v>Bonis SpA</v>
      </c>
    </row>
    <row r="1977" spans="2:58" x14ac:dyDescent="0.25">
      <c r="B1977" s="1">
        <v>2530</v>
      </c>
      <c r="C1977" s="1" t="str">
        <f t="shared" si="1260"/>
        <v>GALAD4185S7/CY1</v>
      </c>
      <c r="E1977" s="1" t="str">
        <f>"38"</f>
        <v>38</v>
      </c>
      <c r="F1977" s="1" t="str">
        <f t="shared" si="1235"/>
        <v>BONIS SPA</v>
      </c>
      <c r="G1977" s="1" t="str">
        <f t="shared" si="1258"/>
        <v>STOCK SCAFFALE MP</v>
      </c>
      <c r="H1977" s="1" t="str">
        <f t="shared" si="1261"/>
        <v>RED</v>
      </c>
      <c r="K1977" s="1">
        <v>2</v>
      </c>
      <c r="L1977" s="1" t="str">
        <f t="shared" si="1236"/>
        <v>01</v>
      </c>
      <c r="M1977" s="1" t="str">
        <f t="shared" si="1263"/>
        <v>409</v>
      </c>
      <c r="N1977" s="1" t="str">
        <f t="shared" si="1249"/>
        <v>004</v>
      </c>
      <c r="O1977" s="1" t="str">
        <f t="shared" si="1237"/>
        <v>00</v>
      </c>
      <c r="P1977" s="1" t="str">
        <f t="shared" si="1238"/>
        <v>S</v>
      </c>
      <c r="Q1977" s="1" t="str">
        <f t="shared" si="1239"/>
        <v>P</v>
      </c>
      <c r="R1977" s="1" t="str">
        <f t="shared" si="1240"/>
        <v>01</v>
      </c>
      <c r="S1977" s="1" t="str">
        <f t="shared" si="1259"/>
        <v>04</v>
      </c>
      <c r="T1977" s="1" t="str">
        <f t="shared" si="1241"/>
        <v>False</v>
      </c>
      <c r="U1977" s="1" t="str">
        <f t="shared" si="1242"/>
        <v>True</v>
      </c>
      <c r="V1977" s="1" t="str">
        <f>"U0028125"</f>
        <v>U0028125</v>
      </c>
      <c r="W1977" s="1">
        <v>1</v>
      </c>
      <c r="Y1977" s="1">
        <v>0</v>
      </c>
      <c r="Z1977" s="1">
        <v>0</v>
      </c>
      <c r="AB1977" s="1" t="str">
        <f t="shared" si="1264"/>
        <v>SMU</v>
      </c>
      <c r="AI1977" s="1" t="str">
        <f t="shared" si="1262"/>
        <v>P11</v>
      </c>
      <c r="AJ1977" s="1" t="str">
        <f t="shared" si="1253"/>
        <v>WOMAN</v>
      </c>
      <c r="AK1977" s="1" t="str">
        <f t="shared" si="1243"/>
        <v>PA</v>
      </c>
      <c r="AP1977" s="1" t="str">
        <f t="shared" si="1244"/>
        <v>False</v>
      </c>
      <c r="AR1977" s="1" t="str">
        <f t="shared" si="1254"/>
        <v>GALAD</v>
      </c>
      <c r="AY1977" s="1" t="str">
        <f t="shared" si="1245"/>
        <v>PF</v>
      </c>
      <c r="AZ1977" s="1">
        <v>0</v>
      </c>
      <c r="BA1977" s="1">
        <v>0</v>
      </c>
      <c r="BB1977" s="1">
        <v>0</v>
      </c>
      <c r="BC1977" s="1">
        <v>0</v>
      </c>
      <c r="BD1977" s="1">
        <v>0</v>
      </c>
      <c r="BE1977" s="1" t="str">
        <f t="shared" si="1255"/>
        <v>D GOMMA D.H.TWILL CANVAS+SINT.</v>
      </c>
      <c r="BF1977" s="1" t="str">
        <f t="shared" si="1246"/>
        <v>Bonis SpA</v>
      </c>
    </row>
    <row r="1978" spans="2:58" x14ac:dyDescent="0.25">
      <c r="B1978" s="1">
        <v>2530</v>
      </c>
      <c r="C1978" s="1" t="str">
        <f t="shared" si="1260"/>
        <v>GALAD4185S7/CY1</v>
      </c>
      <c r="E1978" s="1" t="str">
        <f>"39"</f>
        <v>39</v>
      </c>
      <c r="F1978" s="1" t="str">
        <f t="shared" si="1235"/>
        <v>BONIS SPA</v>
      </c>
      <c r="G1978" s="1" t="str">
        <f t="shared" si="1258"/>
        <v>STOCK SCAFFALE MP</v>
      </c>
      <c r="H1978" s="1" t="str">
        <f t="shared" si="1261"/>
        <v>RED</v>
      </c>
      <c r="K1978" s="1">
        <v>2</v>
      </c>
      <c r="L1978" s="1" t="str">
        <f t="shared" si="1236"/>
        <v>01</v>
      </c>
      <c r="M1978" s="1" t="str">
        <f t="shared" si="1263"/>
        <v>409</v>
      </c>
      <c r="N1978" s="1" t="str">
        <f t="shared" si="1249"/>
        <v>004</v>
      </c>
      <c r="O1978" s="1" t="str">
        <f t="shared" si="1237"/>
        <v>00</v>
      </c>
      <c r="P1978" s="1" t="str">
        <f t="shared" si="1238"/>
        <v>S</v>
      </c>
      <c r="Q1978" s="1" t="str">
        <f t="shared" si="1239"/>
        <v>P</v>
      </c>
      <c r="R1978" s="1" t="str">
        <f t="shared" si="1240"/>
        <v>01</v>
      </c>
      <c r="S1978" s="1" t="str">
        <f t="shared" si="1259"/>
        <v>04</v>
      </c>
      <c r="T1978" s="1" t="str">
        <f t="shared" si="1241"/>
        <v>False</v>
      </c>
      <c r="U1978" s="1" t="str">
        <f t="shared" si="1242"/>
        <v>True</v>
      </c>
      <c r="V1978" s="1" t="str">
        <f>"U0028125"</f>
        <v>U0028125</v>
      </c>
      <c r="W1978" s="1">
        <v>1</v>
      </c>
      <c r="Y1978" s="1">
        <v>0</v>
      </c>
      <c r="Z1978" s="1">
        <v>0</v>
      </c>
      <c r="AB1978" s="1" t="str">
        <f t="shared" si="1264"/>
        <v>SMU</v>
      </c>
      <c r="AI1978" s="1" t="str">
        <f t="shared" si="1262"/>
        <v>P11</v>
      </c>
      <c r="AJ1978" s="1" t="str">
        <f t="shared" si="1253"/>
        <v>WOMAN</v>
      </c>
      <c r="AK1978" s="1" t="str">
        <f t="shared" si="1243"/>
        <v>PA</v>
      </c>
      <c r="AP1978" s="1" t="str">
        <f t="shared" si="1244"/>
        <v>False</v>
      </c>
      <c r="AR1978" s="1" t="str">
        <f t="shared" si="1254"/>
        <v>GALAD</v>
      </c>
      <c r="AY1978" s="1" t="str">
        <f t="shared" si="1245"/>
        <v>PF</v>
      </c>
      <c r="AZ1978" s="1">
        <v>0</v>
      </c>
      <c r="BA1978" s="1">
        <v>0</v>
      </c>
      <c r="BB1978" s="1">
        <v>0</v>
      </c>
      <c r="BC1978" s="1">
        <v>0</v>
      </c>
      <c r="BD1978" s="1">
        <v>0</v>
      </c>
      <c r="BE1978" s="1" t="str">
        <f t="shared" si="1255"/>
        <v>D GOMMA D.H.TWILL CANVAS+SINT.</v>
      </c>
      <c r="BF1978" s="1" t="str">
        <f t="shared" si="1246"/>
        <v>Bonis SpA</v>
      </c>
    </row>
    <row r="1979" spans="2:58" x14ac:dyDescent="0.25">
      <c r="B1979" s="1">
        <v>2530</v>
      </c>
      <c r="C1979" s="1" t="str">
        <f t="shared" si="1260"/>
        <v>GALAD4185S7/CY1</v>
      </c>
      <c r="E1979" s="1" t="str">
        <f>"37"</f>
        <v>37</v>
      </c>
      <c r="F1979" s="1" t="str">
        <f t="shared" si="1235"/>
        <v>BONIS SPA</v>
      </c>
      <c r="G1979" s="1" t="str">
        <f t="shared" si="1258"/>
        <v>STOCK SCAFFALE MP</v>
      </c>
      <c r="H1979" s="1" t="str">
        <f t="shared" si="1261"/>
        <v>RED</v>
      </c>
      <c r="K1979" s="1">
        <v>3</v>
      </c>
      <c r="L1979" s="1" t="str">
        <f t="shared" si="1236"/>
        <v>01</v>
      </c>
      <c r="M1979" s="1" t="str">
        <f t="shared" si="1263"/>
        <v>409</v>
      </c>
      <c r="N1979" s="1" t="str">
        <f t="shared" si="1249"/>
        <v>004</v>
      </c>
      <c r="O1979" s="1" t="str">
        <f t="shared" si="1237"/>
        <v>00</v>
      </c>
      <c r="P1979" s="1" t="str">
        <f t="shared" si="1238"/>
        <v>S</v>
      </c>
      <c r="Q1979" s="1" t="str">
        <f t="shared" si="1239"/>
        <v>P</v>
      </c>
      <c r="R1979" s="1" t="str">
        <f t="shared" si="1240"/>
        <v>01</v>
      </c>
      <c r="S1979" s="1" t="str">
        <f t="shared" si="1259"/>
        <v>04</v>
      </c>
      <c r="T1979" s="1" t="str">
        <f t="shared" si="1241"/>
        <v>False</v>
      </c>
      <c r="U1979" s="1" t="str">
        <f t="shared" si="1242"/>
        <v>True</v>
      </c>
      <c r="V1979" s="1" t="str">
        <f>"U0028112"</f>
        <v>U0028112</v>
      </c>
      <c r="W1979" s="1">
        <v>1</v>
      </c>
      <c r="Y1979" s="1">
        <v>0</v>
      </c>
      <c r="Z1979" s="1">
        <v>0</v>
      </c>
      <c r="AB1979" s="1" t="str">
        <f t="shared" si="1264"/>
        <v>SMU</v>
      </c>
      <c r="AI1979" s="1" t="str">
        <f t="shared" si="1262"/>
        <v>P11</v>
      </c>
      <c r="AJ1979" s="1" t="str">
        <f t="shared" si="1253"/>
        <v>WOMAN</v>
      </c>
      <c r="AK1979" s="1" t="str">
        <f t="shared" si="1243"/>
        <v>PA</v>
      </c>
      <c r="AP1979" s="1" t="str">
        <f t="shared" si="1244"/>
        <v>False</v>
      </c>
      <c r="AR1979" s="1" t="str">
        <f t="shared" si="1254"/>
        <v>GALAD</v>
      </c>
      <c r="AY1979" s="1" t="str">
        <f t="shared" si="1245"/>
        <v>PF</v>
      </c>
      <c r="AZ1979" s="1">
        <v>0</v>
      </c>
      <c r="BA1979" s="1">
        <v>0</v>
      </c>
      <c r="BB1979" s="1">
        <v>0</v>
      </c>
      <c r="BC1979" s="1">
        <v>0</v>
      </c>
      <c r="BD1979" s="1">
        <v>0</v>
      </c>
      <c r="BE1979" s="1" t="str">
        <f t="shared" si="1255"/>
        <v>D GOMMA D.H.TWILL CANVAS+SINT.</v>
      </c>
      <c r="BF1979" s="1" t="str">
        <f t="shared" si="1246"/>
        <v>Bonis SpA</v>
      </c>
    </row>
    <row r="1980" spans="2:58" x14ac:dyDescent="0.25">
      <c r="B1980" s="1">
        <v>2530</v>
      </c>
      <c r="C1980" s="1" t="str">
        <f t="shared" si="1260"/>
        <v>GALAD4185S7/CY1</v>
      </c>
      <c r="E1980" s="1" t="str">
        <f>"39"</f>
        <v>39</v>
      </c>
      <c r="F1980" s="1" t="str">
        <f t="shared" si="1235"/>
        <v>BONIS SPA</v>
      </c>
      <c r="G1980" s="1" t="str">
        <f t="shared" si="1258"/>
        <v>STOCK SCAFFALE MP</v>
      </c>
      <c r="H1980" s="1" t="str">
        <f t="shared" si="1261"/>
        <v>RED</v>
      </c>
      <c r="K1980" s="1">
        <v>3</v>
      </c>
      <c r="L1980" s="1" t="str">
        <f t="shared" si="1236"/>
        <v>01</v>
      </c>
      <c r="M1980" s="1" t="str">
        <f t="shared" si="1263"/>
        <v>409</v>
      </c>
      <c r="N1980" s="1" t="str">
        <f t="shared" si="1249"/>
        <v>004</v>
      </c>
      <c r="O1980" s="1" t="str">
        <f t="shared" si="1237"/>
        <v>00</v>
      </c>
      <c r="P1980" s="1" t="str">
        <f t="shared" si="1238"/>
        <v>S</v>
      </c>
      <c r="Q1980" s="1" t="str">
        <f t="shared" si="1239"/>
        <v>P</v>
      </c>
      <c r="R1980" s="1" t="str">
        <f t="shared" si="1240"/>
        <v>01</v>
      </c>
      <c r="S1980" s="1" t="str">
        <f t="shared" si="1259"/>
        <v>04</v>
      </c>
      <c r="T1980" s="1" t="str">
        <f t="shared" si="1241"/>
        <v>False</v>
      </c>
      <c r="U1980" s="1" t="str">
        <f t="shared" si="1242"/>
        <v>True</v>
      </c>
      <c r="V1980" s="1" t="str">
        <f>"U0028112"</f>
        <v>U0028112</v>
      </c>
      <c r="W1980" s="1">
        <v>1</v>
      </c>
      <c r="Y1980" s="1">
        <v>0</v>
      </c>
      <c r="Z1980" s="1">
        <v>0</v>
      </c>
      <c r="AB1980" s="1" t="str">
        <f t="shared" si="1264"/>
        <v>SMU</v>
      </c>
      <c r="AI1980" s="1" t="str">
        <f t="shared" si="1262"/>
        <v>P11</v>
      </c>
      <c r="AJ1980" s="1" t="str">
        <f t="shared" si="1253"/>
        <v>WOMAN</v>
      </c>
      <c r="AK1980" s="1" t="str">
        <f t="shared" si="1243"/>
        <v>PA</v>
      </c>
      <c r="AP1980" s="1" t="str">
        <f t="shared" si="1244"/>
        <v>False</v>
      </c>
      <c r="AR1980" s="1" t="str">
        <f t="shared" si="1254"/>
        <v>GALAD</v>
      </c>
      <c r="AY1980" s="1" t="str">
        <f t="shared" si="1245"/>
        <v>PF</v>
      </c>
      <c r="AZ1980" s="1">
        <v>0</v>
      </c>
      <c r="BA1980" s="1">
        <v>0</v>
      </c>
      <c r="BB1980" s="1">
        <v>0</v>
      </c>
      <c r="BC1980" s="1">
        <v>0</v>
      </c>
      <c r="BD1980" s="1">
        <v>0</v>
      </c>
      <c r="BE1980" s="1" t="str">
        <f t="shared" si="1255"/>
        <v>D GOMMA D.H.TWILL CANVAS+SINT.</v>
      </c>
      <c r="BF1980" s="1" t="str">
        <f t="shared" si="1246"/>
        <v>Bonis SpA</v>
      </c>
    </row>
    <row r="1981" spans="2:58" x14ac:dyDescent="0.25">
      <c r="B1981" s="1">
        <v>2521</v>
      </c>
      <c r="C1981" s="1" t="str">
        <f t="shared" ref="C1981:C1996" si="1265">"NOBIW4193S7/CH1"</f>
        <v>NOBIW4193S7/CH1</v>
      </c>
      <c r="E1981" s="1" t="str">
        <f>"38"</f>
        <v>38</v>
      </c>
      <c r="F1981" s="1" t="str">
        <f t="shared" si="1235"/>
        <v>BONIS SPA</v>
      </c>
      <c r="G1981" s="1" t="str">
        <f t="shared" si="1258"/>
        <v>STOCK SCAFFALE MP</v>
      </c>
      <c r="H1981" s="1" t="str">
        <f>"AVIO"</f>
        <v>AVIO</v>
      </c>
      <c r="K1981" s="1">
        <v>5</v>
      </c>
      <c r="L1981" s="1" t="str">
        <f t="shared" si="1236"/>
        <v>01</v>
      </c>
      <c r="M1981" s="1" t="str">
        <f t="shared" si="1263"/>
        <v>409</v>
      </c>
      <c r="N1981" s="1" t="str">
        <f t="shared" ref="N1981:N2001" si="1266">"001"</f>
        <v>001</v>
      </c>
      <c r="O1981" s="1" t="str">
        <f t="shared" si="1237"/>
        <v>00</v>
      </c>
      <c r="P1981" s="1" t="str">
        <f t="shared" si="1238"/>
        <v>S</v>
      </c>
      <c r="Q1981" s="1" t="str">
        <f t="shared" si="1239"/>
        <v>P</v>
      </c>
      <c r="R1981" s="1" t="str">
        <f t="shared" si="1240"/>
        <v>01</v>
      </c>
      <c r="S1981" s="1" t="str">
        <f t="shared" si="1259"/>
        <v>04</v>
      </c>
      <c r="T1981" s="1" t="str">
        <f t="shared" si="1241"/>
        <v>False</v>
      </c>
      <c r="U1981" s="1" t="str">
        <f t="shared" si="1242"/>
        <v>True</v>
      </c>
      <c r="V1981" s="1" t="str">
        <f>"U0028158"</f>
        <v>U0028158</v>
      </c>
      <c r="W1981" s="1">
        <v>1</v>
      </c>
      <c r="Y1981" s="1">
        <v>0</v>
      </c>
      <c r="Z1981" s="1">
        <v>0</v>
      </c>
      <c r="AB1981" s="1" t="str">
        <f t="shared" si="1264"/>
        <v>SMU</v>
      </c>
      <c r="AI1981" s="1" t="str">
        <f t="shared" si="1262"/>
        <v>P11</v>
      </c>
      <c r="AJ1981" s="1" t="str">
        <f t="shared" ref="AJ1981:AJ1998" si="1267">"WOMAN"</f>
        <v>WOMAN</v>
      </c>
      <c r="AK1981" s="1" t="str">
        <f t="shared" si="1243"/>
        <v>PA</v>
      </c>
      <c r="AP1981" s="1" t="str">
        <f t="shared" si="1244"/>
        <v>False</v>
      </c>
      <c r="AR1981" s="1" t="str">
        <f t="shared" ref="AR1981:AR1996" si="1268">"NOBIW"</f>
        <v>NOBIW</v>
      </c>
      <c r="AY1981" s="1" t="str">
        <f t="shared" si="1245"/>
        <v>PF</v>
      </c>
      <c r="AZ1981" s="1">
        <v>0</v>
      </c>
      <c r="BA1981" s="1">
        <v>0</v>
      </c>
      <c r="BB1981" s="1">
        <v>0</v>
      </c>
      <c r="BC1981" s="1">
        <v>0</v>
      </c>
      <c r="BD1981" s="1">
        <v>0</v>
      </c>
      <c r="BE1981" s="1" t="str">
        <f t="shared" ref="BE1981:BE1996" si="1269">"UBBER FLAT MOL.CANVAS+MICROSUE"</f>
        <v>UBBER FLAT MOL.CANVAS+MICROSUE</v>
      </c>
      <c r="BF1981" s="1" t="str">
        <f t="shared" si="1246"/>
        <v>Bonis SpA</v>
      </c>
    </row>
    <row r="1982" spans="2:58" x14ac:dyDescent="0.25">
      <c r="B1982" s="1">
        <v>2521</v>
      </c>
      <c r="C1982" s="1" t="str">
        <f t="shared" si="1265"/>
        <v>NOBIW4193S7/CH1</v>
      </c>
      <c r="E1982" s="1" t="str">
        <f>"40"</f>
        <v>40</v>
      </c>
      <c r="F1982" s="1" t="str">
        <f t="shared" si="1235"/>
        <v>BONIS SPA</v>
      </c>
      <c r="G1982" s="1" t="str">
        <f t="shared" si="1258"/>
        <v>STOCK SCAFFALE MP</v>
      </c>
      <c r="H1982" s="1" t="str">
        <f t="shared" ref="H1982:H1987" si="1270">"FUX"</f>
        <v>FUX</v>
      </c>
      <c r="K1982" s="1">
        <v>6</v>
      </c>
      <c r="L1982" s="1" t="str">
        <f t="shared" si="1236"/>
        <v>01</v>
      </c>
      <c r="M1982" s="1" t="str">
        <f t="shared" si="1263"/>
        <v>409</v>
      </c>
      <c r="N1982" s="1" t="str">
        <f t="shared" si="1266"/>
        <v>001</v>
      </c>
      <c r="O1982" s="1" t="str">
        <f t="shared" si="1237"/>
        <v>00</v>
      </c>
      <c r="P1982" s="1" t="str">
        <f t="shared" si="1238"/>
        <v>S</v>
      </c>
      <c r="Q1982" s="1" t="str">
        <f t="shared" si="1239"/>
        <v>P</v>
      </c>
      <c r="R1982" s="1" t="str">
        <f t="shared" si="1240"/>
        <v>01</v>
      </c>
      <c r="S1982" s="1" t="str">
        <f t="shared" si="1259"/>
        <v>04</v>
      </c>
      <c r="T1982" s="1" t="str">
        <f t="shared" si="1241"/>
        <v>False</v>
      </c>
      <c r="U1982" s="1" t="str">
        <f t="shared" si="1242"/>
        <v>True</v>
      </c>
      <c r="V1982" s="1" t="str">
        <f>"U0028158"</f>
        <v>U0028158</v>
      </c>
      <c r="W1982" s="1">
        <v>1</v>
      </c>
      <c r="Y1982" s="1">
        <v>0</v>
      </c>
      <c r="Z1982" s="1">
        <v>0</v>
      </c>
      <c r="AB1982" s="1" t="str">
        <f t="shared" si="1264"/>
        <v>SMU</v>
      </c>
      <c r="AI1982" s="1" t="str">
        <f t="shared" si="1262"/>
        <v>P11</v>
      </c>
      <c r="AJ1982" s="1" t="str">
        <f t="shared" si="1267"/>
        <v>WOMAN</v>
      </c>
      <c r="AK1982" s="1" t="str">
        <f t="shared" si="1243"/>
        <v>PA</v>
      </c>
      <c r="AP1982" s="1" t="str">
        <f t="shared" si="1244"/>
        <v>False</v>
      </c>
      <c r="AR1982" s="1" t="str">
        <f t="shared" si="1268"/>
        <v>NOBIW</v>
      </c>
      <c r="AY1982" s="1" t="str">
        <f t="shared" si="1245"/>
        <v>PF</v>
      </c>
      <c r="AZ1982" s="1">
        <v>0</v>
      </c>
      <c r="BA1982" s="1">
        <v>0</v>
      </c>
      <c r="BB1982" s="1">
        <v>0</v>
      </c>
      <c r="BC1982" s="1">
        <v>0</v>
      </c>
      <c r="BD1982" s="1">
        <v>0</v>
      </c>
      <c r="BE1982" s="1" t="str">
        <f t="shared" si="1269"/>
        <v>UBBER FLAT MOL.CANVAS+MICROSUE</v>
      </c>
      <c r="BF1982" s="1" t="str">
        <f t="shared" si="1246"/>
        <v>Bonis SpA</v>
      </c>
    </row>
    <row r="1983" spans="2:58" x14ac:dyDescent="0.25">
      <c r="B1983" s="1">
        <v>2521</v>
      </c>
      <c r="C1983" s="1" t="str">
        <f t="shared" si="1265"/>
        <v>NOBIW4193S7/CH1</v>
      </c>
      <c r="E1983" s="1" t="str">
        <f>"36"</f>
        <v>36</v>
      </c>
      <c r="F1983" s="1" t="str">
        <f t="shared" si="1235"/>
        <v>BONIS SPA</v>
      </c>
      <c r="G1983" s="1" t="str">
        <f t="shared" si="1258"/>
        <v>STOCK SCAFFALE MP</v>
      </c>
      <c r="H1983" s="1" t="str">
        <f t="shared" si="1270"/>
        <v>FUX</v>
      </c>
      <c r="K1983" s="1">
        <v>1</v>
      </c>
      <c r="L1983" s="1" t="str">
        <f t="shared" si="1236"/>
        <v>01</v>
      </c>
      <c r="M1983" s="1" t="str">
        <f t="shared" si="1263"/>
        <v>409</v>
      </c>
      <c r="N1983" s="1" t="str">
        <f t="shared" si="1266"/>
        <v>001</v>
      </c>
      <c r="O1983" s="1" t="str">
        <f t="shared" si="1237"/>
        <v>00</v>
      </c>
      <c r="P1983" s="1" t="str">
        <f t="shared" si="1238"/>
        <v>S</v>
      </c>
      <c r="Q1983" s="1" t="str">
        <f t="shared" si="1239"/>
        <v>P</v>
      </c>
      <c r="R1983" s="1" t="str">
        <f t="shared" si="1240"/>
        <v>01</v>
      </c>
      <c r="S1983" s="1" t="str">
        <f t="shared" si="1259"/>
        <v>04</v>
      </c>
      <c r="T1983" s="1" t="str">
        <f t="shared" si="1241"/>
        <v>False</v>
      </c>
      <c r="U1983" s="1" t="str">
        <f t="shared" si="1242"/>
        <v>True</v>
      </c>
      <c r="V1983" s="1" t="str">
        <f>"U0032593"</f>
        <v>U0032593</v>
      </c>
      <c r="W1983" s="1">
        <v>1</v>
      </c>
      <c r="Y1983" s="1">
        <v>0</v>
      </c>
      <c r="Z1983" s="1">
        <v>0</v>
      </c>
      <c r="AB1983" s="1" t="str">
        <f t="shared" si="1264"/>
        <v>SMU</v>
      </c>
      <c r="AI1983" s="1" t="str">
        <f t="shared" si="1262"/>
        <v>P11</v>
      </c>
      <c r="AJ1983" s="1" t="str">
        <f t="shared" si="1267"/>
        <v>WOMAN</v>
      </c>
      <c r="AK1983" s="1" t="str">
        <f t="shared" si="1243"/>
        <v>PA</v>
      </c>
      <c r="AP1983" s="1" t="str">
        <f t="shared" si="1244"/>
        <v>False</v>
      </c>
      <c r="AR1983" s="1" t="str">
        <f t="shared" si="1268"/>
        <v>NOBIW</v>
      </c>
      <c r="AY1983" s="1" t="str">
        <f t="shared" si="1245"/>
        <v>PF</v>
      </c>
      <c r="AZ1983" s="1">
        <v>0</v>
      </c>
      <c r="BA1983" s="1">
        <v>0</v>
      </c>
      <c r="BB1983" s="1">
        <v>0</v>
      </c>
      <c r="BC1983" s="1">
        <v>0</v>
      </c>
      <c r="BD1983" s="1">
        <v>0</v>
      </c>
      <c r="BE1983" s="1" t="str">
        <f t="shared" si="1269"/>
        <v>UBBER FLAT MOL.CANVAS+MICROSUE</v>
      </c>
      <c r="BF1983" s="1" t="str">
        <f t="shared" si="1246"/>
        <v>Bonis SpA</v>
      </c>
    </row>
    <row r="1984" spans="2:58" x14ac:dyDescent="0.25">
      <c r="B1984" s="1">
        <v>2521</v>
      </c>
      <c r="C1984" s="1" t="str">
        <f t="shared" si="1265"/>
        <v>NOBIW4193S7/CH1</v>
      </c>
      <c r="E1984" s="1" t="str">
        <f>"37"</f>
        <v>37</v>
      </c>
      <c r="F1984" s="1" t="str">
        <f t="shared" si="1235"/>
        <v>BONIS SPA</v>
      </c>
      <c r="G1984" s="1" t="str">
        <f t="shared" si="1258"/>
        <v>STOCK SCAFFALE MP</v>
      </c>
      <c r="H1984" s="1" t="str">
        <f t="shared" si="1270"/>
        <v>FUX</v>
      </c>
      <c r="K1984" s="1">
        <v>2</v>
      </c>
      <c r="L1984" s="1" t="str">
        <f t="shared" si="1236"/>
        <v>01</v>
      </c>
      <c r="M1984" s="1" t="str">
        <f t="shared" si="1263"/>
        <v>409</v>
      </c>
      <c r="N1984" s="1" t="str">
        <f t="shared" si="1266"/>
        <v>001</v>
      </c>
      <c r="O1984" s="1" t="str">
        <f t="shared" si="1237"/>
        <v>00</v>
      </c>
      <c r="P1984" s="1" t="str">
        <f t="shared" si="1238"/>
        <v>S</v>
      </c>
      <c r="Q1984" s="1" t="str">
        <f t="shared" si="1239"/>
        <v>P</v>
      </c>
      <c r="R1984" s="1" t="str">
        <f t="shared" si="1240"/>
        <v>01</v>
      </c>
      <c r="S1984" s="1" t="str">
        <f t="shared" si="1259"/>
        <v>04</v>
      </c>
      <c r="T1984" s="1" t="str">
        <f t="shared" si="1241"/>
        <v>False</v>
      </c>
      <c r="U1984" s="1" t="str">
        <f t="shared" si="1242"/>
        <v>True</v>
      </c>
      <c r="V1984" s="1" t="str">
        <f>"U0032593"</f>
        <v>U0032593</v>
      </c>
      <c r="W1984" s="1">
        <v>1</v>
      </c>
      <c r="Y1984" s="1">
        <v>0</v>
      </c>
      <c r="Z1984" s="1">
        <v>0</v>
      </c>
      <c r="AB1984" s="1" t="str">
        <f t="shared" si="1264"/>
        <v>SMU</v>
      </c>
      <c r="AI1984" s="1" t="str">
        <f t="shared" si="1262"/>
        <v>P11</v>
      </c>
      <c r="AJ1984" s="1" t="str">
        <f t="shared" si="1267"/>
        <v>WOMAN</v>
      </c>
      <c r="AK1984" s="1" t="str">
        <f t="shared" si="1243"/>
        <v>PA</v>
      </c>
      <c r="AP1984" s="1" t="str">
        <f t="shared" si="1244"/>
        <v>False</v>
      </c>
      <c r="AR1984" s="1" t="str">
        <f t="shared" si="1268"/>
        <v>NOBIW</v>
      </c>
      <c r="AY1984" s="1" t="str">
        <f t="shared" si="1245"/>
        <v>PF</v>
      </c>
      <c r="AZ1984" s="1">
        <v>0</v>
      </c>
      <c r="BA1984" s="1">
        <v>0</v>
      </c>
      <c r="BB1984" s="1">
        <v>0</v>
      </c>
      <c r="BC1984" s="1">
        <v>0</v>
      </c>
      <c r="BD1984" s="1">
        <v>0</v>
      </c>
      <c r="BE1984" s="1" t="str">
        <f t="shared" si="1269"/>
        <v>UBBER FLAT MOL.CANVAS+MICROSUE</v>
      </c>
      <c r="BF1984" s="1" t="str">
        <f t="shared" si="1246"/>
        <v>Bonis SpA</v>
      </c>
    </row>
    <row r="1985" spans="2:58" x14ac:dyDescent="0.25">
      <c r="B1985" s="1">
        <v>2521</v>
      </c>
      <c r="C1985" s="1" t="str">
        <f t="shared" si="1265"/>
        <v>NOBIW4193S7/CH1</v>
      </c>
      <c r="E1985" s="1" t="str">
        <f>"38"</f>
        <v>38</v>
      </c>
      <c r="F1985" s="1" t="str">
        <f t="shared" si="1235"/>
        <v>BONIS SPA</v>
      </c>
      <c r="G1985" s="1" t="str">
        <f t="shared" si="1258"/>
        <v>STOCK SCAFFALE MP</v>
      </c>
      <c r="H1985" s="1" t="str">
        <f t="shared" si="1270"/>
        <v>FUX</v>
      </c>
      <c r="K1985" s="1">
        <v>3</v>
      </c>
      <c r="L1985" s="1" t="str">
        <f t="shared" si="1236"/>
        <v>01</v>
      </c>
      <c r="M1985" s="1" t="str">
        <f t="shared" si="1263"/>
        <v>409</v>
      </c>
      <c r="N1985" s="1" t="str">
        <f t="shared" si="1266"/>
        <v>001</v>
      </c>
      <c r="O1985" s="1" t="str">
        <f t="shared" si="1237"/>
        <v>00</v>
      </c>
      <c r="P1985" s="1" t="str">
        <f t="shared" si="1238"/>
        <v>S</v>
      </c>
      <c r="Q1985" s="1" t="str">
        <f t="shared" si="1239"/>
        <v>P</v>
      </c>
      <c r="R1985" s="1" t="str">
        <f t="shared" si="1240"/>
        <v>01</v>
      </c>
      <c r="S1985" s="1" t="str">
        <f t="shared" si="1259"/>
        <v>04</v>
      </c>
      <c r="T1985" s="1" t="str">
        <f t="shared" si="1241"/>
        <v>False</v>
      </c>
      <c r="U1985" s="1" t="str">
        <f t="shared" si="1242"/>
        <v>True</v>
      </c>
      <c r="V1985" s="1" t="str">
        <f>"U0032593"</f>
        <v>U0032593</v>
      </c>
      <c r="W1985" s="1">
        <v>1</v>
      </c>
      <c r="Y1985" s="1">
        <v>0</v>
      </c>
      <c r="Z1985" s="1">
        <v>0</v>
      </c>
      <c r="AB1985" s="1" t="str">
        <f t="shared" si="1264"/>
        <v>SMU</v>
      </c>
      <c r="AI1985" s="1" t="str">
        <f t="shared" si="1262"/>
        <v>P11</v>
      </c>
      <c r="AJ1985" s="1" t="str">
        <f t="shared" si="1267"/>
        <v>WOMAN</v>
      </c>
      <c r="AK1985" s="1" t="str">
        <f t="shared" si="1243"/>
        <v>PA</v>
      </c>
      <c r="AP1985" s="1" t="str">
        <f t="shared" si="1244"/>
        <v>False</v>
      </c>
      <c r="AR1985" s="1" t="str">
        <f t="shared" si="1268"/>
        <v>NOBIW</v>
      </c>
      <c r="AY1985" s="1" t="str">
        <f t="shared" si="1245"/>
        <v>PF</v>
      </c>
      <c r="AZ1985" s="1">
        <v>0</v>
      </c>
      <c r="BA1985" s="1">
        <v>0</v>
      </c>
      <c r="BB1985" s="1">
        <v>0</v>
      </c>
      <c r="BC1985" s="1">
        <v>0</v>
      </c>
      <c r="BD1985" s="1">
        <v>0</v>
      </c>
      <c r="BE1985" s="1" t="str">
        <f t="shared" si="1269"/>
        <v>UBBER FLAT MOL.CANVAS+MICROSUE</v>
      </c>
      <c r="BF1985" s="1" t="str">
        <f t="shared" si="1246"/>
        <v>Bonis SpA</v>
      </c>
    </row>
    <row r="1986" spans="2:58" x14ac:dyDescent="0.25">
      <c r="B1986" s="1">
        <v>2521</v>
      </c>
      <c r="C1986" s="1" t="str">
        <f t="shared" si="1265"/>
        <v>NOBIW4193S7/CH1</v>
      </c>
      <c r="E1986" s="1" t="str">
        <f>"39"</f>
        <v>39</v>
      </c>
      <c r="F1986" s="1" t="str">
        <f t="shared" ref="F1986:F2049" si="1271">"BONIS SPA"</f>
        <v>BONIS SPA</v>
      </c>
      <c r="G1986" s="1" t="str">
        <f t="shared" si="1258"/>
        <v>STOCK SCAFFALE MP</v>
      </c>
      <c r="H1986" s="1" t="str">
        <f t="shared" si="1270"/>
        <v>FUX</v>
      </c>
      <c r="K1986" s="1">
        <v>3</v>
      </c>
      <c r="L1986" s="1" t="str">
        <f t="shared" ref="L1986:L2049" si="1272">"01"</f>
        <v>01</v>
      </c>
      <c r="M1986" s="1" t="str">
        <f t="shared" si="1263"/>
        <v>409</v>
      </c>
      <c r="N1986" s="1" t="str">
        <f t="shared" si="1266"/>
        <v>001</v>
      </c>
      <c r="O1986" s="1" t="str">
        <f t="shared" ref="O1986:O2049" si="1273">"00"</f>
        <v>00</v>
      </c>
      <c r="P1986" s="1" t="str">
        <f t="shared" ref="P1986:P2049" si="1274">"S"</f>
        <v>S</v>
      </c>
      <c r="Q1986" s="1" t="str">
        <f t="shared" ref="Q1986:Q2049" si="1275">"P"</f>
        <v>P</v>
      </c>
      <c r="R1986" s="1" t="str">
        <f t="shared" ref="R1986:R2049" si="1276">"01"</f>
        <v>01</v>
      </c>
      <c r="S1986" s="1" t="str">
        <f t="shared" si="1259"/>
        <v>04</v>
      </c>
      <c r="T1986" s="1" t="str">
        <f t="shared" ref="T1986:T2049" si="1277">"False"</f>
        <v>False</v>
      </c>
      <c r="U1986" s="1" t="str">
        <f t="shared" ref="U1986:U2049" si="1278">"True"</f>
        <v>True</v>
      </c>
      <c r="V1986" s="1" t="str">
        <f>"U0032593"</f>
        <v>U0032593</v>
      </c>
      <c r="W1986" s="1">
        <v>1</v>
      </c>
      <c r="Y1986" s="1">
        <v>0</v>
      </c>
      <c r="Z1986" s="1">
        <v>0</v>
      </c>
      <c r="AB1986" s="1" t="str">
        <f t="shared" si="1264"/>
        <v>SMU</v>
      </c>
      <c r="AI1986" s="1" t="str">
        <f t="shared" si="1262"/>
        <v>P11</v>
      </c>
      <c r="AJ1986" s="1" t="str">
        <f t="shared" si="1267"/>
        <v>WOMAN</v>
      </c>
      <c r="AK1986" s="1" t="str">
        <f t="shared" ref="AK1986:AK2049" si="1279">"PA"</f>
        <v>PA</v>
      </c>
      <c r="AP1986" s="1" t="str">
        <f t="shared" ref="AP1986:AP2049" si="1280">"False"</f>
        <v>False</v>
      </c>
      <c r="AR1986" s="1" t="str">
        <f t="shared" si="1268"/>
        <v>NOBIW</v>
      </c>
      <c r="AY1986" s="1" t="str">
        <f t="shared" ref="AY1986:AY2049" si="1281">"PF"</f>
        <v>PF</v>
      </c>
      <c r="AZ1986" s="1">
        <v>0</v>
      </c>
      <c r="BA1986" s="1">
        <v>0</v>
      </c>
      <c r="BB1986" s="1">
        <v>0</v>
      </c>
      <c r="BC1986" s="1">
        <v>0</v>
      </c>
      <c r="BD1986" s="1">
        <v>0</v>
      </c>
      <c r="BE1986" s="1" t="str">
        <f t="shared" si="1269"/>
        <v>UBBER FLAT MOL.CANVAS+MICROSUE</v>
      </c>
      <c r="BF1986" s="1" t="str">
        <f t="shared" ref="BF1986:BF2049" si="1282">"Bonis SpA"</f>
        <v>Bonis SpA</v>
      </c>
    </row>
    <row r="1987" spans="2:58" x14ac:dyDescent="0.25">
      <c r="B1987" s="1">
        <v>2521</v>
      </c>
      <c r="C1987" s="1" t="str">
        <f t="shared" si="1265"/>
        <v>NOBIW4193S7/CH1</v>
      </c>
      <c r="E1987" s="1" t="str">
        <f>"40"</f>
        <v>40</v>
      </c>
      <c r="F1987" s="1" t="str">
        <f t="shared" si="1271"/>
        <v>BONIS SPA</v>
      </c>
      <c r="G1987" s="1" t="str">
        <f t="shared" si="1258"/>
        <v>STOCK SCAFFALE MP</v>
      </c>
      <c r="H1987" s="1" t="str">
        <f t="shared" si="1270"/>
        <v>FUX</v>
      </c>
      <c r="K1987" s="1">
        <v>2</v>
      </c>
      <c r="L1987" s="1" t="str">
        <f t="shared" si="1272"/>
        <v>01</v>
      </c>
      <c r="M1987" s="1" t="str">
        <f t="shared" si="1263"/>
        <v>409</v>
      </c>
      <c r="N1987" s="1" t="str">
        <f t="shared" si="1266"/>
        <v>001</v>
      </c>
      <c r="O1987" s="1" t="str">
        <f t="shared" si="1273"/>
        <v>00</v>
      </c>
      <c r="P1987" s="1" t="str">
        <f t="shared" si="1274"/>
        <v>S</v>
      </c>
      <c r="Q1987" s="1" t="str">
        <f t="shared" si="1275"/>
        <v>P</v>
      </c>
      <c r="R1987" s="1" t="str">
        <f t="shared" si="1276"/>
        <v>01</v>
      </c>
      <c r="S1987" s="1" t="str">
        <f t="shared" si="1259"/>
        <v>04</v>
      </c>
      <c r="T1987" s="1" t="str">
        <f t="shared" si="1277"/>
        <v>False</v>
      </c>
      <c r="U1987" s="1" t="str">
        <f t="shared" si="1278"/>
        <v>True</v>
      </c>
      <c r="V1987" s="1" t="str">
        <f>"U0032593"</f>
        <v>U0032593</v>
      </c>
      <c r="W1987" s="1">
        <v>1</v>
      </c>
      <c r="Y1987" s="1">
        <v>0</v>
      </c>
      <c r="Z1987" s="1">
        <v>0</v>
      </c>
      <c r="AB1987" s="1" t="str">
        <f t="shared" si="1264"/>
        <v>SMU</v>
      </c>
      <c r="AI1987" s="1" t="str">
        <f t="shared" si="1262"/>
        <v>P11</v>
      </c>
      <c r="AJ1987" s="1" t="str">
        <f t="shared" si="1267"/>
        <v>WOMAN</v>
      </c>
      <c r="AK1987" s="1" t="str">
        <f t="shared" si="1279"/>
        <v>PA</v>
      </c>
      <c r="AP1987" s="1" t="str">
        <f t="shared" si="1280"/>
        <v>False</v>
      </c>
      <c r="AR1987" s="1" t="str">
        <f t="shared" si="1268"/>
        <v>NOBIW</v>
      </c>
      <c r="AY1987" s="1" t="str">
        <f t="shared" si="1281"/>
        <v>PF</v>
      </c>
      <c r="AZ1987" s="1">
        <v>0</v>
      </c>
      <c r="BA1987" s="1">
        <v>0</v>
      </c>
      <c r="BB1987" s="1">
        <v>0</v>
      </c>
      <c r="BC1987" s="1">
        <v>0</v>
      </c>
      <c r="BD1987" s="1">
        <v>0</v>
      </c>
      <c r="BE1987" s="1" t="str">
        <f t="shared" si="1269"/>
        <v>UBBER FLAT MOL.CANVAS+MICROSUE</v>
      </c>
      <c r="BF1987" s="1" t="str">
        <f t="shared" si="1282"/>
        <v>Bonis SpA</v>
      </c>
    </row>
    <row r="1988" spans="2:58" x14ac:dyDescent="0.25">
      <c r="B1988" s="1">
        <v>2521</v>
      </c>
      <c r="C1988" s="1" t="str">
        <f t="shared" si="1265"/>
        <v>NOBIW4193S7/CH1</v>
      </c>
      <c r="E1988" s="1" t="str">
        <f>"39"</f>
        <v>39</v>
      </c>
      <c r="F1988" s="1" t="str">
        <f t="shared" si="1271"/>
        <v>BONIS SPA</v>
      </c>
      <c r="G1988" s="1" t="str">
        <f t="shared" si="1258"/>
        <v>STOCK SCAFFALE MP</v>
      </c>
      <c r="H1988" s="1" t="str">
        <f>"AVIO"</f>
        <v>AVIO</v>
      </c>
      <c r="K1988" s="1">
        <v>12</v>
      </c>
      <c r="L1988" s="1" t="str">
        <f t="shared" si="1272"/>
        <v>01</v>
      </c>
      <c r="M1988" s="1" t="str">
        <f t="shared" si="1263"/>
        <v>409</v>
      </c>
      <c r="N1988" s="1" t="str">
        <f t="shared" si="1266"/>
        <v>001</v>
      </c>
      <c r="O1988" s="1" t="str">
        <f t="shared" si="1273"/>
        <v>00</v>
      </c>
      <c r="P1988" s="1" t="str">
        <f t="shared" si="1274"/>
        <v>S</v>
      </c>
      <c r="Q1988" s="1" t="str">
        <f t="shared" si="1275"/>
        <v>P</v>
      </c>
      <c r="R1988" s="1" t="str">
        <f t="shared" si="1276"/>
        <v>01</v>
      </c>
      <c r="S1988" s="1" t="str">
        <f t="shared" si="1259"/>
        <v>04</v>
      </c>
      <c r="T1988" s="1" t="str">
        <f t="shared" si="1277"/>
        <v>False</v>
      </c>
      <c r="U1988" s="1" t="str">
        <f t="shared" si="1278"/>
        <v>True</v>
      </c>
      <c r="V1988" s="1" t="str">
        <f>"U0028157"</f>
        <v>U0028157</v>
      </c>
      <c r="W1988" s="1">
        <v>1</v>
      </c>
      <c r="Y1988" s="1">
        <v>0</v>
      </c>
      <c r="Z1988" s="1">
        <v>0</v>
      </c>
      <c r="AB1988" s="1" t="str">
        <f t="shared" si="1264"/>
        <v>SMU</v>
      </c>
      <c r="AI1988" s="1" t="str">
        <f t="shared" si="1262"/>
        <v>P11</v>
      </c>
      <c r="AJ1988" s="1" t="str">
        <f t="shared" si="1267"/>
        <v>WOMAN</v>
      </c>
      <c r="AK1988" s="1" t="str">
        <f t="shared" si="1279"/>
        <v>PA</v>
      </c>
      <c r="AP1988" s="1" t="str">
        <f t="shared" si="1280"/>
        <v>False</v>
      </c>
      <c r="AR1988" s="1" t="str">
        <f t="shared" si="1268"/>
        <v>NOBIW</v>
      </c>
      <c r="AY1988" s="1" t="str">
        <f t="shared" si="1281"/>
        <v>PF</v>
      </c>
      <c r="AZ1988" s="1">
        <v>0</v>
      </c>
      <c r="BA1988" s="1">
        <v>0</v>
      </c>
      <c r="BB1988" s="1">
        <v>0</v>
      </c>
      <c r="BC1988" s="1">
        <v>0</v>
      </c>
      <c r="BD1988" s="1">
        <v>0</v>
      </c>
      <c r="BE1988" s="1" t="str">
        <f t="shared" si="1269"/>
        <v>UBBER FLAT MOL.CANVAS+MICROSUE</v>
      </c>
      <c r="BF1988" s="1" t="str">
        <f t="shared" si="1282"/>
        <v>Bonis SpA</v>
      </c>
    </row>
    <row r="1989" spans="2:58" x14ac:dyDescent="0.25">
      <c r="B1989" s="1">
        <v>2521</v>
      </c>
      <c r="C1989" s="1" t="str">
        <f t="shared" si="1265"/>
        <v>NOBIW4193S7/CH1</v>
      </c>
      <c r="E1989" s="1" t="str">
        <f>"38"</f>
        <v>38</v>
      </c>
      <c r="F1989" s="1" t="str">
        <f t="shared" si="1271"/>
        <v>BONIS SPA</v>
      </c>
      <c r="G1989" s="1" t="str">
        <f t="shared" si="1258"/>
        <v>STOCK SCAFFALE MP</v>
      </c>
      <c r="H1989" s="1" t="str">
        <f>"AVIO"</f>
        <v>AVIO</v>
      </c>
      <c r="K1989" s="1">
        <v>3</v>
      </c>
      <c r="L1989" s="1" t="str">
        <f t="shared" si="1272"/>
        <v>01</v>
      </c>
      <c r="M1989" s="1" t="str">
        <f t="shared" si="1263"/>
        <v>409</v>
      </c>
      <c r="N1989" s="1" t="str">
        <f t="shared" si="1266"/>
        <v>001</v>
      </c>
      <c r="O1989" s="1" t="str">
        <f t="shared" si="1273"/>
        <v>00</v>
      </c>
      <c r="P1989" s="1" t="str">
        <f t="shared" si="1274"/>
        <v>S</v>
      </c>
      <c r="Q1989" s="1" t="str">
        <f t="shared" si="1275"/>
        <v>P</v>
      </c>
      <c r="R1989" s="1" t="str">
        <f t="shared" si="1276"/>
        <v>01</v>
      </c>
      <c r="S1989" s="1" t="str">
        <f t="shared" si="1259"/>
        <v>04</v>
      </c>
      <c r="T1989" s="1" t="str">
        <f t="shared" si="1277"/>
        <v>False</v>
      </c>
      <c r="U1989" s="1" t="str">
        <f t="shared" si="1278"/>
        <v>True</v>
      </c>
      <c r="V1989" s="1" t="str">
        <f>"U0032592"</f>
        <v>U0032592</v>
      </c>
      <c r="W1989" s="1">
        <v>1</v>
      </c>
      <c r="Y1989" s="1">
        <v>0</v>
      </c>
      <c r="Z1989" s="1">
        <v>0</v>
      </c>
      <c r="AB1989" s="1" t="str">
        <f t="shared" si="1264"/>
        <v>SMU</v>
      </c>
      <c r="AI1989" s="1" t="str">
        <f>"106"</f>
        <v>106</v>
      </c>
      <c r="AJ1989" s="1" t="str">
        <f t="shared" si="1267"/>
        <v>WOMAN</v>
      </c>
      <c r="AK1989" s="1" t="str">
        <f t="shared" si="1279"/>
        <v>PA</v>
      </c>
      <c r="AP1989" s="1" t="str">
        <f t="shared" si="1280"/>
        <v>False</v>
      </c>
      <c r="AR1989" s="1" t="str">
        <f t="shared" si="1268"/>
        <v>NOBIW</v>
      </c>
      <c r="AY1989" s="1" t="str">
        <f t="shared" si="1281"/>
        <v>PF</v>
      </c>
      <c r="AZ1989" s="1">
        <v>0</v>
      </c>
      <c r="BA1989" s="1">
        <v>0</v>
      </c>
      <c r="BB1989" s="1">
        <v>0</v>
      </c>
      <c r="BC1989" s="1">
        <v>0</v>
      </c>
      <c r="BD1989" s="1">
        <v>0</v>
      </c>
      <c r="BE1989" s="1" t="str">
        <f t="shared" si="1269"/>
        <v>UBBER FLAT MOL.CANVAS+MICROSUE</v>
      </c>
      <c r="BF1989" s="1" t="str">
        <f t="shared" si="1282"/>
        <v>Bonis SpA</v>
      </c>
    </row>
    <row r="1990" spans="2:58" x14ac:dyDescent="0.25">
      <c r="B1990" s="1">
        <v>2521</v>
      </c>
      <c r="C1990" s="1" t="str">
        <f t="shared" si="1265"/>
        <v>NOBIW4193S7/CH1</v>
      </c>
      <c r="E1990" s="1" t="str">
        <f>"39"</f>
        <v>39</v>
      </c>
      <c r="F1990" s="1" t="str">
        <f t="shared" si="1271"/>
        <v>BONIS SPA</v>
      </c>
      <c r="G1990" s="1" t="str">
        <f t="shared" si="1258"/>
        <v>STOCK SCAFFALE MP</v>
      </c>
      <c r="H1990" s="1" t="str">
        <f>"AVIO"</f>
        <v>AVIO</v>
      </c>
      <c r="K1990" s="1">
        <v>1</v>
      </c>
      <c r="L1990" s="1" t="str">
        <f t="shared" si="1272"/>
        <v>01</v>
      </c>
      <c r="M1990" s="1" t="str">
        <f t="shared" si="1263"/>
        <v>409</v>
      </c>
      <c r="N1990" s="1" t="str">
        <f t="shared" si="1266"/>
        <v>001</v>
      </c>
      <c r="O1990" s="1" t="str">
        <f t="shared" si="1273"/>
        <v>00</v>
      </c>
      <c r="P1990" s="1" t="str">
        <f t="shared" si="1274"/>
        <v>S</v>
      </c>
      <c r="Q1990" s="1" t="str">
        <f t="shared" si="1275"/>
        <v>P</v>
      </c>
      <c r="R1990" s="1" t="str">
        <f t="shared" si="1276"/>
        <v>01</v>
      </c>
      <c r="S1990" s="1" t="str">
        <f t="shared" si="1259"/>
        <v>04</v>
      </c>
      <c r="T1990" s="1" t="str">
        <f t="shared" si="1277"/>
        <v>False</v>
      </c>
      <c r="U1990" s="1" t="str">
        <f t="shared" si="1278"/>
        <v>True</v>
      </c>
      <c r="V1990" s="1" t="str">
        <f>"U0032592"</f>
        <v>U0032592</v>
      </c>
      <c r="W1990" s="1">
        <v>1</v>
      </c>
      <c r="Y1990" s="1">
        <v>0</v>
      </c>
      <c r="Z1990" s="1">
        <v>0</v>
      </c>
      <c r="AB1990" s="1" t="str">
        <f t="shared" si="1264"/>
        <v>SMU</v>
      </c>
      <c r="AI1990" s="1" t="str">
        <f>"106"</f>
        <v>106</v>
      </c>
      <c r="AJ1990" s="1" t="str">
        <f t="shared" si="1267"/>
        <v>WOMAN</v>
      </c>
      <c r="AK1990" s="1" t="str">
        <f t="shared" si="1279"/>
        <v>PA</v>
      </c>
      <c r="AP1990" s="1" t="str">
        <f t="shared" si="1280"/>
        <v>False</v>
      </c>
      <c r="AR1990" s="1" t="str">
        <f t="shared" si="1268"/>
        <v>NOBIW</v>
      </c>
      <c r="AY1990" s="1" t="str">
        <f t="shared" si="1281"/>
        <v>PF</v>
      </c>
      <c r="AZ1990" s="1">
        <v>0</v>
      </c>
      <c r="BA1990" s="1">
        <v>0</v>
      </c>
      <c r="BB1990" s="1">
        <v>0</v>
      </c>
      <c r="BC1990" s="1">
        <v>0</v>
      </c>
      <c r="BD1990" s="1">
        <v>0</v>
      </c>
      <c r="BE1990" s="1" t="str">
        <f t="shared" si="1269"/>
        <v>UBBER FLAT MOL.CANVAS+MICROSUE</v>
      </c>
      <c r="BF1990" s="1" t="str">
        <f t="shared" si="1282"/>
        <v>Bonis SpA</v>
      </c>
    </row>
    <row r="1991" spans="2:58" x14ac:dyDescent="0.25">
      <c r="B1991" s="1">
        <v>2521</v>
      </c>
      <c r="C1991" s="1" t="str">
        <f t="shared" si="1265"/>
        <v>NOBIW4193S7/CH1</v>
      </c>
      <c r="E1991" s="1" t="str">
        <f>"40"</f>
        <v>40</v>
      </c>
      <c r="F1991" s="1" t="str">
        <f t="shared" si="1271"/>
        <v>BONIS SPA</v>
      </c>
      <c r="G1991" s="1" t="str">
        <f t="shared" si="1258"/>
        <v>STOCK SCAFFALE MP</v>
      </c>
      <c r="H1991" s="1" t="str">
        <f>"AVIO"</f>
        <v>AVIO</v>
      </c>
      <c r="K1991" s="1">
        <v>6</v>
      </c>
      <c r="L1991" s="1" t="str">
        <f t="shared" si="1272"/>
        <v>01</v>
      </c>
      <c r="M1991" s="1" t="str">
        <f t="shared" si="1263"/>
        <v>409</v>
      </c>
      <c r="N1991" s="1" t="str">
        <f t="shared" si="1266"/>
        <v>001</v>
      </c>
      <c r="O1991" s="1" t="str">
        <f t="shared" si="1273"/>
        <v>00</v>
      </c>
      <c r="P1991" s="1" t="str">
        <f t="shared" si="1274"/>
        <v>S</v>
      </c>
      <c r="Q1991" s="1" t="str">
        <f t="shared" si="1275"/>
        <v>P</v>
      </c>
      <c r="R1991" s="1" t="str">
        <f t="shared" si="1276"/>
        <v>01</v>
      </c>
      <c r="S1991" s="1" t="str">
        <f t="shared" si="1259"/>
        <v>04</v>
      </c>
      <c r="T1991" s="1" t="str">
        <f t="shared" si="1277"/>
        <v>False</v>
      </c>
      <c r="U1991" s="1" t="str">
        <f t="shared" si="1278"/>
        <v>True</v>
      </c>
      <c r="V1991" s="1" t="str">
        <f>"U0028162"</f>
        <v>U0028162</v>
      </c>
      <c r="W1991" s="1">
        <v>1</v>
      </c>
      <c r="Y1991" s="1">
        <v>0</v>
      </c>
      <c r="Z1991" s="1">
        <v>0</v>
      </c>
      <c r="AB1991" s="1" t="str">
        <f t="shared" si="1264"/>
        <v>SMU</v>
      </c>
      <c r="AI1991" s="1" t="str">
        <f>"P11"</f>
        <v>P11</v>
      </c>
      <c r="AJ1991" s="1" t="str">
        <f t="shared" si="1267"/>
        <v>WOMAN</v>
      </c>
      <c r="AK1991" s="1" t="str">
        <f t="shared" si="1279"/>
        <v>PA</v>
      </c>
      <c r="AP1991" s="1" t="str">
        <f t="shared" si="1280"/>
        <v>False</v>
      </c>
      <c r="AR1991" s="1" t="str">
        <f t="shared" si="1268"/>
        <v>NOBIW</v>
      </c>
      <c r="AY1991" s="1" t="str">
        <f t="shared" si="1281"/>
        <v>PF</v>
      </c>
      <c r="AZ1991" s="1">
        <v>0</v>
      </c>
      <c r="BA1991" s="1">
        <v>0</v>
      </c>
      <c r="BB1991" s="1">
        <v>0</v>
      </c>
      <c r="BC1991" s="1">
        <v>0</v>
      </c>
      <c r="BD1991" s="1">
        <v>0</v>
      </c>
      <c r="BE1991" s="1" t="str">
        <f t="shared" si="1269"/>
        <v>UBBER FLAT MOL.CANVAS+MICROSUE</v>
      </c>
      <c r="BF1991" s="1" t="str">
        <f t="shared" si="1282"/>
        <v>Bonis SpA</v>
      </c>
    </row>
    <row r="1992" spans="2:58" x14ac:dyDescent="0.25">
      <c r="B1992" s="1">
        <v>2521</v>
      </c>
      <c r="C1992" s="1" t="str">
        <f t="shared" si="1265"/>
        <v>NOBIW4193S7/CH1</v>
      </c>
      <c r="E1992" s="1" t="str">
        <f>"38"</f>
        <v>38</v>
      </c>
      <c r="F1992" s="1" t="str">
        <f t="shared" si="1271"/>
        <v>BONIS SPA</v>
      </c>
      <c r="G1992" s="1" t="str">
        <f t="shared" si="1258"/>
        <v>STOCK SCAFFALE MP</v>
      </c>
      <c r="H1992" s="1" t="str">
        <f>"FUX"</f>
        <v>FUX</v>
      </c>
      <c r="K1992" s="1">
        <v>5</v>
      </c>
      <c r="L1992" s="1" t="str">
        <f t="shared" si="1272"/>
        <v>01</v>
      </c>
      <c r="M1992" s="1" t="str">
        <f t="shared" si="1263"/>
        <v>409</v>
      </c>
      <c r="N1992" s="1" t="str">
        <f t="shared" si="1266"/>
        <v>001</v>
      </c>
      <c r="O1992" s="1" t="str">
        <f t="shared" si="1273"/>
        <v>00</v>
      </c>
      <c r="P1992" s="1" t="str">
        <f t="shared" si="1274"/>
        <v>S</v>
      </c>
      <c r="Q1992" s="1" t="str">
        <f t="shared" si="1275"/>
        <v>P</v>
      </c>
      <c r="R1992" s="1" t="str">
        <f t="shared" si="1276"/>
        <v>01</v>
      </c>
      <c r="S1992" s="1" t="str">
        <f t="shared" si="1259"/>
        <v>04</v>
      </c>
      <c r="T1992" s="1" t="str">
        <f t="shared" si="1277"/>
        <v>False</v>
      </c>
      <c r="U1992" s="1" t="str">
        <f t="shared" si="1278"/>
        <v>True</v>
      </c>
      <c r="V1992" s="1" t="str">
        <f>"U0032592"</f>
        <v>U0032592</v>
      </c>
      <c r="W1992" s="1">
        <v>1</v>
      </c>
      <c r="Y1992" s="1">
        <v>0</v>
      </c>
      <c r="Z1992" s="1">
        <v>0</v>
      </c>
      <c r="AB1992" s="1" t="str">
        <f t="shared" si="1264"/>
        <v>SMU</v>
      </c>
      <c r="AI1992" s="1" t="str">
        <f>"106"</f>
        <v>106</v>
      </c>
      <c r="AJ1992" s="1" t="str">
        <f t="shared" si="1267"/>
        <v>WOMAN</v>
      </c>
      <c r="AK1992" s="1" t="str">
        <f t="shared" si="1279"/>
        <v>PA</v>
      </c>
      <c r="AP1992" s="1" t="str">
        <f t="shared" si="1280"/>
        <v>False</v>
      </c>
      <c r="AR1992" s="1" t="str">
        <f t="shared" si="1268"/>
        <v>NOBIW</v>
      </c>
      <c r="AY1992" s="1" t="str">
        <f t="shared" si="1281"/>
        <v>PF</v>
      </c>
      <c r="AZ1992" s="1">
        <v>0</v>
      </c>
      <c r="BA1992" s="1">
        <v>0</v>
      </c>
      <c r="BB1992" s="1">
        <v>0</v>
      </c>
      <c r="BC1992" s="1">
        <v>0</v>
      </c>
      <c r="BD1992" s="1">
        <v>0</v>
      </c>
      <c r="BE1992" s="1" t="str">
        <f t="shared" si="1269"/>
        <v>UBBER FLAT MOL.CANVAS+MICROSUE</v>
      </c>
      <c r="BF1992" s="1" t="str">
        <f t="shared" si="1282"/>
        <v>Bonis SpA</v>
      </c>
    </row>
    <row r="1993" spans="2:58" x14ac:dyDescent="0.25">
      <c r="B1993" s="1">
        <v>2521</v>
      </c>
      <c r="C1993" s="1" t="str">
        <f t="shared" si="1265"/>
        <v>NOBIW4193S7/CH1</v>
      </c>
      <c r="E1993" s="1" t="str">
        <f>"38"</f>
        <v>38</v>
      </c>
      <c r="F1993" s="1" t="str">
        <f t="shared" si="1271"/>
        <v>BONIS SPA</v>
      </c>
      <c r="G1993" s="1" t="str">
        <f t="shared" si="1258"/>
        <v>STOCK SCAFFALE MP</v>
      </c>
      <c r="H1993" s="1" t="str">
        <f>"FUX"</f>
        <v>FUX</v>
      </c>
      <c r="K1993" s="1">
        <v>2</v>
      </c>
      <c r="L1993" s="1" t="str">
        <f t="shared" si="1272"/>
        <v>01</v>
      </c>
      <c r="M1993" s="1" t="str">
        <f t="shared" si="1263"/>
        <v>409</v>
      </c>
      <c r="N1993" s="1" t="str">
        <f t="shared" si="1266"/>
        <v>001</v>
      </c>
      <c r="O1993" s="1" t="str">
        <f t="shared" si="1273"/>
        <v>00</v>
      </c>
      <c r="P1993" s="1" t="str">
        <f t="shared" si="1274"/>
        <v>S</v>
      </c>
      <c r="Q1993" s="1" t="str">
        <f t="shared" si="1275"/>
        <v>P</v>
      </c>
      <c r="R1993" s="1" t="str">
        <f t="shared" si="1276"/>
        <v>01</v>
      </c>
      <c r="S1993" s="1" t="str">
        <f t="shared" si="1259"/>
        <v>04</v>
      </c>
      <c r="T1993" s="1" t="str">
        <f t="shared" si="1277"/>
        <v>False</v>
      </c>
      <c r="U1993" s="1" t="str">
        <f t="shared" si="1278"/>
        <v>True</v>
      </c>
      <c r="V1993" s="1" t="str">
        <f>"U0032589"</f>
        <v>U0032589</v>
      </c>
      <c r="W1993" s="1">
        <v>1</v>
      </c>
      <c r="Y1993" s="1">
        <v>0</v>
      </c>
      <c r="Z1993" s="1">
        <v>0</v>
      </c>
      <c r="AB1993" s="1" t="str">
        <f t="shared" si="1264"/>
        <v>SMU</v>
      </c>
      <c r="AI1993" s="1" t="str">
        <f>"106"</f>
        <v>106</v>
      </c>
      <c r="AJ1993" s="1" t="str">
        <f t="shared" si="1267"/>
        <v>WOMAN</v>
      </c>
      <c r="AK1993" s="1" t="str">
        <f t="shared" si="1279"/>
        <v>PA</v>
      </c>
      <c r="AP1993" s="1" t="str">
        <f t="shared" si="1280"/>
        <v>False</v>
      </c>
      <c r="AR1993" s="1" t="str">
        <f t="shared" si="1268"/>
        <v>NOBIW</v>
      </c>
      <c r="AY1993" s="1" t="str">
        <f t="shared" si="1281"/>
        <v>PF</v>
      </c>
      <c r="AZ1993" s="1">
        <v>0</v>
      </c>
      <c r="BA1993" s="1">
        <v>0</v>
      </c>
      <c r="BB1993" s="1">
        <v>0</v>
      </c>
      <c r="BC1993" s="1">
        <v>0</v>
      </c>
      <c r="BD1993" s="1">
        <v>0</v>
      </c>
      <c r="BE1993" s="1" t="str">
        <f t="shared" si="1269"/>
        <v>UBBER FLAT MOL.CANVAS+MICROSUE</v>
      </c>
      <c r="BF1993" s="1" t="str">
        <f t="shared" si="1282"/>
        <v>Bonis SpA</v>
      </c>
    </row>
    <row r="1994" spans="2:58" x14ac:dyDescent="0.25">
      <c r="B1994" s="1">
        <v>2521</v>
      </c>
      <c r="C1994" s="1" t="str">
        <f t="shared" si="1265"/>
        <v>NOBIW4193S7/CH1</v>
      </c>
      <c r="E1994" s="1" t="str">
        <f>"39"</f>
        <v>39</v>
      </c>
      <c r="F1994" s="1" t="str">
        <f t="shared" si="1271"/>
        <v>BONIS SPA</v>
      </c>
      <c r="G1994" s="1" t="str">
        <f t="shared" si="1258"/>
        <v>STOCK SCAFFALE MP</v>
      </c>
      <c r="H1994" s="1" t="str">
        <f>"FUX"</f>
        <v>FUX</v>
      </c>
      <c r="K1994" s="1">
        <v>1</v>
      </c>
      <c r="L1994" s="1" t="str">
        <f t="shared" si="1272"/>
        <v>01</v>
      </c>
      <c r="M1994" s="1" t="str">
        <f t="shared" si="1263"/>
        <v>409</v>
      </c>
      <c r="N1994" s="1" t="str">
        <f t="shared" si="1266"/>
        <v>001</v>
      </c>
      <c r="O1994" s="1" t="str">
        <f t="shared" si="1273"/>
        <v>00</v>
      </c>
      <c r="P1994" s="1" t="str">
        <f t="shared" si="1274"/>
        <v>S</v>
      </c>
      <c r="Q1994" s="1" t="str">
        <f t="shared" si="1275"/>
        <v>P</v>
      </c>
      <c r="R1994" s="1" t="str">
        <f t="shared" si="1276"/>
        <v>01</v>
      </c>
      <c r="S1994" s="1" t="str">
        <f t="shared" si="1259"/>
        <v>04</v>
      </c>
      <c r="T1994" s="1" t="str">
        <f t="shared" si="1277"/>
        <v>False</v>
      </c>
      <c r="U1994" s="1" t="str">
        <f t="shared" si="1278"/>
        <v>True</v>
      </c>
      <c r="V1994" s="1" t="str">
        <f>"U0032592"</f>
        <v>U0032592</v>
      </c>
      <c r="W1994" s="1">
        <v>1</v>
      </c>
      <c r="Y1994" s="1">
        <v>0</v>
      </c>
      <c r="Z1994" s="1">
        <v>0</v>
      </c>
      <c r="AB1994" s="1" t="str">
        <f t="shared" si="1264"/>
        <v>SMU</v>
      </c>
      <c r="AI1994" s="1" t="str">
        <f>"P11"</f>
        <v>P11</v>
      </c>
      <c r="AJ1994" s="1" t="str">
        <f t="shared" si="1267"/>
        <v>WOMAN</v>
      </c>
      <c r="AK1994" s="1" t="str">
        <f t="shared" si="1279"/>
        <v>PA</v>
      </c>
      <c r="AP1994" s="1" t="str">
        <f t="shared" si="1280"/>
        <v>False</v>
      </c>
      <c r="AR1994" s="1" t="str">
        <f t="shared" si="1268"/>
        <v>NOBIW</v>
      </c>
      <c r="AY1994" s="1" t="str">
        <f t="shared" si="1281"/>
        <v>PF</v>
      </c>
      <c r="AZ1994" s="1">
        <v>0</v>
      </c>
      <c r="BA1994" s="1">
        <v>0</v>
      </c>
      <c r="BB1994" s="1">
        <v>0</v>
      </c>
      <c r="BC1994" s="1">
        <v>0</v>
      </c>
      <c r="BD1994" s="1">
        <v>0</v>
      </c>
      <c r="BE1994" s="1" t="str">
        <f t="shared" si="1269"/>
        <v>UBBER FLAT MOL.CANVAS+MICROSUE</v>
      </c>
      <c r="BF1994" s="1" t="str">
        <f t="shared" si="1282"/>
        <v>Bonis SpA</v>
      </c>
    </row>
    <row r="1995" spans="2:58" x14ac:dyDescent="0.25">
      <c r="B1995" s="1">
        <v>2521</v>
      </c>
      <c r="C1995" s="1" t="str">
        <f t="shared" si="1265"/>
        <v>NOBIW4193S7/CH1</v>
      </c>
      <c r="E1995" s="1" t="str">
        <f>"39"</f>
        <v>39</v>
      </c>
      <c r="F1995" s="1" t="str">
        <f t="shared" si="1271"/>
        <v>BONIS SPA</v>
      </c>
      <c r="G1995" s="1" t="str">
        <f t="shared" si="1258"/>
        <v>STOCK SCAFFALE MP</v>
      </c>
      <c r="H1995" s="1" t="str">
        <f>"FUX"</f>
        <v>FUX</v>
      </c>
      <c r="K1995" s="1">
        <v>4</v>
      </c>
      <c r="L1995" s="1" t="str">
        <f t="shared" si="1272"/>
        <v>01</v>
      </c>
      <c r="M1995" s="1" t="str">
        <f t="shared" si="1263"/>
        <v>409</v>
      </c>
      <c r="N1995" s="1" t="str">
        <f t="shared" si="1266"/>
        <v>001</v>
      </c>
      <c r="O1995" s="1" t="str">
        <f t="shared" si="1273"/>
        <v>00</v>
      </c>
      <c r="P1995" s="1" t="str">
        <f t="shared" si="1274"/>
        <v>S</v>
      </c>
      <c r="Q1995" s="1" t="str">
        <f t="shared" si="1275"/>
        <v>P</v>
      </c>
      <c r="R1995" s="1" t="str">
        <f t="shared" si="1276"/>
        <v>01</v>
      </c>
      <c r="S1995" s="1" t="str">
        <f t="shared" si="1259"/>
        <v>04</v>
      </c>
      <c r="T1995" s="1" t="str">
        <f t="shared" si="1277"/>
        <v>False</v>
      </c>
      <c r="U1995" s="1" t="str">
        <f t="shared" si="1278"/>
        <v>True</v>
      </c>
      <c r="V1995" s="1" t="str">
        <f>"U0032589"</f>
        <v>U0032589</v>
      </c>
      <c r="W1995" s="1">
        <v>1</v>
      </c>
      <c r="Y1995" s="1">
        <v>0</v>
      </c>
      <c r="Z1995" s="1">
        <v>0</v>
      </c>
      <c r="AB1995" s="1" t="str">
        <f t="shared" si="1264"/>
        <v>SMU</v>
      </c>
      <c r="AI1995" s="1" t="str">
        <f>"106"</f>
        <v>106</v>
      </c>
      <c r="AJ1995" s="1" t="str">
        <f t="shared" si="1267"/>
        <v>WOMAN</v>
      </c>
      <c r="AK1995" s="1" t="str">
        <f t="shared" si="1279"/>
        <v>PA</v>
      </c>
      <c r="AP1995" s="1" t="str">
        <f t="shared" si="1280"/>
        <v>False</v>
      </c>
      <c r="AR1995" s="1" t="str">
        <f t="shared" si="1268"/>
        <v>NOBIW</v>
      </c>
      <c r="AY1995" s="1" t="str">
        <f t="shared" si="1281"/>
        <v>PF</v>
      </c>
      <c r="AZ1995" s="1">
        <v>0</v>
      </c>
      <c r="BA1995" s="1">
        <v>0</v>
      </c>
      <c r="BB1995" s="1">
        <v>0</v>
      </c>
      <c r="BC1995" s="1">
        <v>0</v>
      </c>
      <c r="BD1995" s="1">
        <v>0</v>
      </c>
      <c r="BE1995" s="1" t="str">
        <f t="shared" si="1269"/>
        <v>UBBER FLAT MOL.CANVAS+MICROSUE</v>
      </c>
      <c r="BF1995" s="1" t="str">
        <f t="shared" si="1282"/>
        <v>Bonis SpA</v>
      </c>
    </row>
    <row r="1996" spans="2:58" x14ac:dyDescent="0.25">
      <c r="B1996" s="1">
        <v>2521</v>
      </c>
      <c r="C1996" s="1" t="str">
        <f t="shared" si="1265"/>
        <v>NOBIW4193S7/CH1</v>
      </c>
      <c r="E1996" s="1" t="str">
        <f>"37"</f>
        <v>37</v>
      </c>
      <c r="F1996" s="1" t="str">
        <f t="shared" si="1271"/>
        <v>BONIS SPA</v>
      </c>
      <c r="G1996" s="1" t="str">
        <f t="shared" si="1258"/>
        <v>STOCK SCAFFALE MP</v>
      </c>
      <c r="H1996" s="1" t="str">
        <f>"FUX"</f>
        <v>FUX</v>
      </c>
      <c r="K1996" s="1">
        <v>5</v>
      </c>
      <c r="L1996" s="1" t="str">
        <f t="shared" si="1272"/>
        <v>01</v>
      </c>
      <c r="M1996" s="1" t="str">
        <f t="shared" si="1263"/>
        <v>409</v>
      </c>
      <c r="N1996" s="1" t="str">
        <f t="shared" si="1266"/>
        <v>001</v>
      </c>
      <c r="O1996" s="1" t="str">
        <f t="shared" si="1273"/>
        <v>00</v>
      </c>
      <c r="P1996" s="1" t="str">
        <f t="shared" si="1274"/>
        <v>S</v>
      </c>
      <c r="Q1996" s="1" t="str">
        <f t="shared" si="1275"/>
        <v>P</v>
      </c>
      <c r="R1996" s="1" t="str">
        <f t="shared" si="1276"/>
        <v>01</v>
      </c>
      <c r="S1996" s="1" t="str">
        <f t="shared" si="1259"/>
        <v>04</v>
      </c>
      <c r="T1996" s="1" t="str">
        <f t="shared" si="1277"/>
        <v>False</v>
      </c>
      <c r="U1996" s="1" t="str">
        <f t="shared" si="1278"/>
        <v>True</v>
      </c>
      <c r="V1996" s="1" t="str">
        <f>"U0022756"</f>
        <v>U0022756</v>
      </c>
      <c r="W1996" s="1">
        <v>1</v>
      </c>
      <c r="Y1996" s="1">
        <v>0</v>
      </c>
      <c r="Z1996" s="1">
        <v>0</v>
      </c>
      <c r="AB1996" s="1" t="str">
        <f t="shared" si="1264"/>
        <v>SMU</v>
      </c>
      <c r="AI1996" s="1" t="str">
        <f>"P11"</f>
        <v>P11</v>
      </c>
      <c r="AJ1996" s="1" t="str">
        <f t="shared" si="1267"/>
        <v>WOMAN</v>
      </c>
      <c r="AK1996" s="1" t="str">
        <f t="shared" si="1279"/>
        <v>PA</v>
      </c>
      <c r="AP1996" s="1" t="str">
        <f t="shared" si="1280"/>
        <v>False</v>
      </c>
      <c r="AR1996" s="1" t="str">
        <f t="shared" si="1268"/>
        <v>NOBIW</v>
      </c>
      <c r="AY1996" s="1" t="str">
        <f t="shared" si="1281"/>
        <v>PF</v>
      </c>
      <c r="AZ1996" s="1">
        <v>0</v>
      </c>
      <c r="BA1996" s="1">
        <v>0</v>
      </c>
      <c r="BB1996" s="1">
        <v>0</v>
      </c>
      <c r="BC1996" s="1">
        <v>0</v>
      </c>
      <c r="BD1996" s="1">
        <v>0</v>
      </c>
      <c r="BE1996" s="1" t="str">
        <f t="shared" si="1269"/>
        <v>UBBER FLAT MOL.CANVAS+MICROSUE</v>
      </c>
      <c r="BF1996" s="1" t="str">
        <f t="shared" si="1282"/>
        <v>Bonis SpA</v>
      </c>
    </row>
    <row r="1997" spans="2:58" x14ac:dyDescent="0.25">
      <c r="B1997" s="1">
        <v>2521</v>
      </c>
      <c r="C1997" s="1" t="str">
        <f>"GALAD4185S7/CY1"</f>
        <v>GALAD4185S7/CY1</v>
      </c>
      <c r="E1997" s="1" t="str">
        <f>"40"</f>
        <v>40</v>
      </c>
      <c r="F1997" s="1" t="str">
        <f t="shared" si="1271"/>
        <v>BONIS SPA</v>
      </c>
      <c r="G1997" s="1" t="str">
        <f t="shared" si="1258"/>
        <v>STOCK SCAFFALE MP</v>
      </c>
      <c r="H1997" s="1" t="str">
        <f>"BLK"</f>
        <v>BLK</v>
      </c>
      <c r="K1997" s="1">
        <v>3</v>
      </c>
      <c r="L1997" s="1" t="str">
        <f t="shared" si="1272"/>
        <v>01</v>
      </c>
      <c r="M1997" s="1" t="str">
        <f t="shared" si="1263"/>
        <v>409</v>
      </c>
      <c r="N1997" s="1" t="str">
        <f t="shared" si="1266"/>
        <v>001</v>
      </c>
      <c r="O1997" s="1" t="str">
        <f t="shared" si="1273"/>
        <v>00</v>
      </c>
      <c r="P1997" s="1" t="str">
        <f t="shared" si="1274"/>
        <v>S</v>
      </c>
      <c r="Q1997" s="1" t="str">
        <f t="shared" si="1275"/>
        <v>P</v>
      </c>
      <c r="R1997" s="1" t="str">
        <f t="shared" si="1276"/>
        <v>01</v>
      </c>
      <c r="S1997" s="1" t="str">
        <f t="shared" si="1259"/>
        <v>04</v>
      </c>
      <c r="T1997" s="1" t="str">
        <f t="shared" si="1277"/>
        <v>False</v>
      </c>
      <c r="U1997" s="1" t="str">
        <f t="shared" si="1278"/>
        <v>True</v>
      </c>
      <c r="V1997" s="1" t="str">
        <f>"U0023726"</f>
        <v>U0023726</v>
      </c>
      <c r="W1997" s="1">
        <v>1</v>
      </c>
      <c r="Y1997" s="1">
        <v>0</v>
      </c>
      <c r="Z1997" s="1">
        <v>0</v>
      </c>
      <c r="AB1997" s="1" t="str">
        <f t="shared" si="1264"/>
        <v>SMU</v>
      </c>
      <c r="AI1997" s="1" t="str">
        <f>"P11"</f>
        <v>P11</v>
      </c>
      <c r="AJ1997" s="1" t="str">
        <f t="shared" si="1267"/>
        <v>WOMAN</v>
      </c>
      <c r="AK1997" s="1" t="str">
        <f t="shared" si="1279"/>
        <v>PA</v>
      </c>
      <c r="AP1997" s="1" t="str">
        <f t="shared" si="1280"/>
        <v>False</v>
      </c>
      <c r="AR1997" s="1" t="str">
        <f>"GALAD"</f>
        <v>GALAD</v>
      </c>
      <c r="AY1997" s="1" t="str">
        <f t="shared" si="1281"/>
        <v>PF</v>
      </c>
      <c r="AZ1997" s="1">
        <v>0</v>
      </c>
      <c r="BA1997" s="1">
        <v>0</v>
      </c>
      <c r="BB1997" s="1">
        <v>0</v>
      </c>
      <c r="BC1997" s="1">
        <v>0</v>
      </c>
      <c r="BD1997" s="1">
        <v>0</v>
      </c>
      <c r="BE1997" s="1" t="str">
        <f>"D GOMMA D.H.TWILL CANVAS+SINT."</f>
        <v>D GOMMA D.H.TWILL CANVAS+SINT.</v>
      </c>
      <c r="BF1997" s="1" t="str">
        <f t="shared" si="1282"/>
        <v>Bonis SpA</v>
      </c>
    </row>
    <row r="1998" spans="2:58" x14ac:dyDescent="0.25">
      <c r="B1998" s="1">
        <v>2521</v>
      </c>
      <c r="C1998" s="1" t="str">
        <f>"GALAD4185S7/CY1"</f>
        <v>GALAD4185S7/CY1</v>
      </c>
      <c r="E1998" s="1" t="str">
        <f>"41"</f>
        <v>41</v>
      </c>
      <c r="F1998" s="1" t="str">
        <f t="shared" si="1271"/>
        <v>BONIS SPA</v>
      </c>
      <c r="G1998" s="1" t="str">
        <f t="shared" si="1258"/>
        <v>STOCK SCAFFALE MP</v>
      </c>
      <c r="H1998" s="1" t="str">
        <f>"BLK"</f>
        <v>BLK</v>
      </c>
      <c r="K1998" s="1">
        <v>5</v>
      </c>
      <c r="L1998" s="1" t="str">
        <f t="shared" si="1272"/>
        <v>01</v>
      </c>
      <c r="M1998" s="1" t="str">
        <f t="shared" si="1263"/>
        <v>409</v>
      </c>
      <c r="N1998" s="1" t="str">
        <f t="shared" si="1266"/>
        <v>001</v>
      </c>
      <c r="O1998" s="1" t="str">
        <f t="shared" si="1273"/>
        <v>00</v>
      </c>
      <c r="P1998" s="1" t="str">
        <f t="shared" si="1274"/>
        <v>S</v>
      </c>
      <c r="Q1998" s="1" t="str">
        <f t="shared" si="1275"/>
        <v>P</v>
      </c>
      <c r="R1998" s="1" t="str">
        <f t="shared" si="1276"/>
        <v>01</v>
      </c>
      <c r="S1998" s="1" t="str">
        <f t="shared" si="1259"/>
        <v>04</v>
      </c>
      <c r="T1998" s="1" t="str">
        <f t="shared" si="1277"/>
        <v>False</v>
      </c>
      <c r="U1998" s="1" t="str">
        <f t="shared" si="1278"/>
        <v>True</v>
      </c>
      <c r="V1998" s="1" t="str">
        <f>"U0023726"</f>
        <v>U0023726</v>
      </c>
      <c r="W1998" s="1">
        <v>1</v>
      </c>
      <c r="Y1998" s="1">
        <v>0</v>
      </c>
      <c r="Z1998" s="1">
        <v>0</v>
      </c>
      <c r="AB1998" s="1" t="str">
        <f t="shared" si="1264"/>
        <v>SMU</v>
      </c>
      <c r="AI1998" s="1" t="str">
        <f>"P11"</f>
        <v>P11</v>
      </c>
      <c r="AJ1998" s="1" t="str">
        <f t="shared" si="1267"/>
        <v>WOMAN</v>
      </c>
      <c r="AK1998" s="1" t="str">
        <f t="shared" si="1279"/>
        <v>PA</v>
      </c>
      <c r="AP1998" s="1" t="str">
        <f t="shared" si="1280"/>
        <v>False</v>
      </c>
      <c r="AR1998" s="1" t="str">
        <f>"GALAD"</f>
        <v>GALAD</v>
      </c>
      <c r="AY1998" s="1" t="str">
        <f t="shared" si="1281"/>
        <v>PF</v>
      </c>
      <c r="AZ1998" s="1">
        <v>0</v>
      </c>
      <c r="BA1998" s="1">
        <v>0</v>
      </c>
      <c r="BB1998" s="1">
        <v>0</v>
      </c>
      <c r="BC1998" s="1">
        <v>0</v>
      </c>
      <c r="BD1998" s="1">
        <v>0</v>
      </c>
      <c r="BE1998" s="1" t="str">
        <f>"D GOMMA D.H.TWILL CANVAS+SINT."</f>
        <v>D GOMMA D.H.TWILL CANVAS+SINT.</v>
      </c>
      <c r="BF1998" s="1" t="str">
        <f t="shared" si="1282"/>
        <v>Bonis SpA</v>
      </c>
    </row>
    <row r="1999" spans="2:58" x14ac:dyDescent="0.25">
      <c r="B1999" s="1">
        <v>2521</v>
      </c>
      <c r="C1999" s="1" t="str">
        <f>"NOBIL4192S7/CH1"</f>
        <v>NOBIL4192S7/CH1</v>
      </c>
      <c r="E1999" s="1" t="str">
        <f>"41"</f>
        <v>41</v>
      </c>
      <c r="F1999" s="1" t="str">
        <f t="shared" si="1271"/>
        <v>BONIS SPA</v>
      </c>
      <c r="G1999" s="1" t="str">
        <f t="shared" si="1258"/>
        <v>STOCK SCAFFALE MP</v>
      </c>
      <c r="H1999" s="1" t="str">
        <f>"AVIO"</f>
        <v>AVIO</v>
      </c>
      <c r="K1999" s="1">
        <v>5</v>
      </c>
      <c r="L1999" s="1" t="str">
        <f t="shared" si="1272"/>
        <v>01</v>
      </c>
      <c r="M1999" s="1" t="str">
        <f t="shared" si="1263"/>
        <v>409</v>
      </c>
      <c r="N1999" s="1" t="str">
        <f t="shared" si="1266"/>
        <v>001</v>
      </c>
      <c r="O1999" s="1" t="str">
        <f t="shared" si="1273"/>
        <v>00</v>
      </c>
      <c r="P1999" s="1" t="str">
        <f t="shared" si="1274"/>
        <v>S</v>
      </c>
      <c r="Q1999" s="1" t="str">
        <f t="shared" si="1275"/>
        <v>P</v>
      </c>
      <c r="R1999" s="1" t="str">
        <f t="shared" si="1276"/>
        <v>01</v>
      </c>
      <c r="S1999" s="1" t="str">
        <f t="shared" si="1259"/>
        <v>04</v>
      </c>
      <c r="T1999" s="1" t="str">
        <f t="shared" si="1277"/>
        <v>False</v>
      </c>
      <c r="U1999" s="1" t="str">
        <f t="shared" si="1278"/>
        <v>True</v>
      </c>
      <c r="V1999" s="1" t="str">
        <f>"U0032589"</f>
        <v>U0032589</v>
      </c>
      <c r="W1999" s="1">
        <v>1</v>
      </c>
      <c r="Y1999" s="1">
        <v>0</v>
      </c>
      <c r="Z1999" s="1">
        <v>0</v>
      </c>
      <c r="AB1999" s="1" t="str">
        <f t="shared" si="1264"/>
        <v>SMU</v>
      </c>
      <c r="AI1999" s="1" t="str">
        <f>"P11"</f>
        <v>P11</v>
      </c>
      <c r="AJ1999" s="1" t="str">
        <f>"MAN"</f>
        <v>MAN</v>
      </c>
      <c r="AK1999" s="1" t="str">
        <f t="shared" si="1279"/>
        <v>PA</v>
      </c>
      <c r="AP1999" s="1" t="str">
        <f t="shared" si="1280"/>
        <v>False</v>
      </c>
      <c r="AR1999" s="1" t="str">
        <f>"NOBIL"</f>
        <v>NOBIL</v>
      </c>
      <c r="AY1999" s="1" t="str">
        <f t="shared" si="1281"/>
        <v>PF</v>
      </c>
      <c r="AZ1999" s="1">
        <v>0</v>
      </c>
      <c r="BA1999" s="1">
        <v>0</v>
      </c>
      <c r="BB1999" s="1">
        <v>0</v>
      </c>
      <c r="BC1999" s="1">
        <v>0</v>
      </c>
      <c r="BD1999" s="1">
        <v>0</v>
      </c>
      <c r="BE1999" s="1" t="str">
        <f>"BBER FLAT MOL.TW CANVAS+MICROS"</f>
        <v>BBER FLAT MOL.TW CANVAS+MICROS</v>
      </c>
      <c r="BF1999" s="1" t="str">
        <f t="shared" si="1282"/>
        <v>Bonis SpA</v>
      </c>
    </row>
    <row r="2000" spans="2:58" x14ac:dyDescent="0.25">
      <c r="B2000" s="1">
        <v>2521</v>
      </c>
      <c r="C2000" s="1" t="str">
        <f>"NOBIW4193S7/CH1"</f>
        <v>NOBIW4193S7/CH1</v>
      </c>
      <c r="E2000" s="1" t="str">
        <f>"39"</f>
        <v>39</v>
      </c>
      <c r="F2000" s="1" t="str">
        <f t="shared" si="1271"/>
        <v>BONIS SPA</v>
      </c>
      <c r="G2000" s="1" t="str">
        <f t="shared" si="1258"/>
        <v>STOCK SCAFFALE MP</v>
      </c>
      <c r="H2000" s="1" t="str">
        <f>"AVIO"</f>
        <v>AVIO</v>
      </c>
      <c r="K2000" s="1">
        <v>3</v>
      </c>
      <c r="L2000" s="1" t="str">
        <f t="shared" si="1272"/>
        <v>01</v>
      </c>
      <c r="M2000" s="1" t="str">
        <f t="shared" si="1263"/>
        <v>409</v>
      </c>
      <c r="N2000" s="1" t="str">
        <f t="shared" si="1266"/>
        <v>001</v>
      </c>
      <c r="O2000" s="1" t="str">
        <f t="shared" si="1273"/>
        <v>00</v>
      </c>
      <c r="P2000" s="1" t="str">
        <f t="shared" si="1274"/>
        <v>S</v>
      </c>
      <c r="Q2000" s="1" t="str">
        <f t="shared" si="1275"/>
        <v>P</v>
      </c>
      <c r="R2000" s="1" t="str">
        <f t="shared" si="1276"/>
        <v>01</v>
      </c>
      <c r="S2000" s="1" t="str">
        <f t="shared" si="1259"/>
        <v>04</v>
      </c>
      <c r="T2000" s="1" t="str">
        <f t="shared" si="1277"/>
        <v>False</v>
      </c>
      <c r="U2000" s="1" t="str">
        <f t="shared" si="1278"/>
        <v>True</v>
      </c>
      <c r="V2000" s="1" t="str">
        <f>"U0022756"</f>
        <v>U0022756</v>
      </c>
      <c r="W2000" s="1">
        <v>1</v>
      </c>
      <c r="Y2000" s="1">
        <v>0</v>
      </c>
      <c r="Z2000" s="1">
        <v>0</v>
      </c>
      <c r="AB2000" s="1" t="str">
        <f t="shared" si="1264"/>
        <v>SMU</v>
      </c>
      <c r="AI2000" s="1" t="str">
        <f>"106"</f>
        <v>106</v>
      </c>
      <c r="AJ2000" s="1" t="str">
        <f>"WOMAN"</f>
        <v>WOMAN</v>
      </c>
      <c r="AK2000" s="1" t="str">
        <f t="shared" si="1279"/>
        <v>PA</v>
      </c>
      <c r="AP2000" s="1" t="str">
        <f t="shared" si="1280"/>
        <v>False</v>
      </c>
      <c r="AR2000" s="1" t="str">
        <f>"NOBIW"</f>
        <v>NOBIW</v>
      </c>
      <c r="AY2000" s="1" t="str">
        <f t="shared" si="1281"/>
        <v>PF</v>
      </c>
      <c r="AZ2000" s="1">
        <v>0</v>
      </c>
      <c r="BA2000" s="1">
        <v>0</v>
      </c>
      <c r="BB2000" s="1">
        <v>0</v>
      </c>
      <c r="BC2000" s="1">
        <v>0</v>
      </c>
      <c r="BD2000" s="1">
        <v>0</v>
      </c>
      <c r="BE2000" s="1" t="str">
        <f>"UBBER FLAT MOL.CANVAS+MICROSUE"</f>
        <v>UBBER FLAT MOL.CANVAS+MICROSUE</v>
      </c>
      <c r="BF2000" s="1" t="str">
        <f t="shared" si="1282"/>
        <v>Bonis SpA</v>
      </c>
    </row>
    <row r="2001" spans="2:58" x14ac:dyDescent="0.25">
      <c r="B2001" s="1">
        <v>2521</v>
      </c>
      <c r="C2001" s="1" t="str">
        <f>"NOBIW4193S7/CH1"</f>
        <v>NOBIW4193S7/CH1</v>
      </c>
      <c r="E2001" s="1" t="str">
        <f>"41"</f>
        <v>41</v>
      </c>
      <c r="F2001" s="1" t="str">
        <f t="shared" si="1271"/>
        <v>BONIS SPA</v>
      </c>
      <c r="G2001" s="1" t="str">
        <f t="shared" si="1258"/>
        <v>STOCK SCAFFALE MP</v>
      </c>
      <c r="H2001" s="1" t="str">
        <f>"AVIO"</f>
        <v>AVIO</v>
      </c>
      <c r="K2001" s="1">
        <v>1</v>
      </c>
      <c r="L2001" s="1" t="str">
        <f t="shared" si="1272"/>
        <v>01</v>
      </c>
      <c r="M2001" s="1" t="str">
        <f t="shared" si="1263"/>
        <v>409</v>
      </c>
      <c r="N2001" s="1" t="str">
        <f t="shared" si="1266"/>
        <v>001</v>
      </c>
      <c r="O2001" s="1" t="str">
        <f t="shared" si="1273"/>
        <v>00</v>
      </c>
      <c r="P2001" s="1" t="str">
        <f t="shared" si="1274"/>
        <v>S</v>
      </c>
      <c r="Q2001" s="1" t="str">
        <f t="shared" si="1275"/>
        <v>P</v>
      </c>
      <c r="R2001" s="1" t="str">
        <f t="shared" si="1276"/>
        <v>01</v>
      </c>
      <c r="S2001" s="1" t="str">
        <f t="shared" si="1259"/>
        <v>04</v>
      </c>
      <c r="T2001" s="1" t="str">
        <f t="shared" si="1277"/>
        <v>False</v>
      </c>
      <c r="U2001" s="1" t="str">
        <f t="shared" si="1278"/>
        <v>True</v>
      </c>
      <c r="V2001" s="1" t="str">
        <f>"U0022756"</f>
        <v>U0022756</v>
      </c>
      <c r="W2001" s="1">
        <v>1</v>
      </c>
      <c r="Y2001" s="1">
        <v>0</v>
      </c>
      <c r="Z2001" s="1">
        <v>0</v>
      </c>
      <c r="AB2001" s="1" t="str">
        <f t="shared" si="1264"/>
        <v>SMU</v>
      </c>
      <c r="AI2001" s="1" t="str">
        <f>"106"</f>
        <v>106</v>
      </c>
      <c r="AJ2001" s="1" t="str">
        <f>"WOMAN"</f>
        <v>WOMAN</v>
      </c>
      <c r="AK2001" s="1" t="str">
        <f t="shared" si="1279"/>
        <v>PA</v>
      </c>
      <c r="AP2001" s="1" t="str">
        <f t="shared" si="1280"/>
        <v>False</v>
      </c>
      <c r="AR2001" s="1" t="str">
        <f>"NOBIW"</f>
        <v>NOBIW</v>
      </c>
      <c r="AY2001" s="1" t="str">
        <f t="shared" si="1281"/>
        <v>PF</v>
      </c>
      <c r="AZ2001" s="1">
        <v>0</v>
      </c>
      <c r="BA2001" s="1">
        <v>0</v>
      </c>
      <c r="BB2001" s="1">
        <v>0</v>
      </c>
      <c r="BC2001" s="1">
        <v>0</v>
      </c>
      <c r="BD2001" s="1">
        <v>0</v>
      </c>
      <c r="BE2001" s="1" t="str">
        <f>"UBBER FLAT MOL.CANVAS+MICROSUE"</f>
        <v>UBBER FLAT MOL.CANVAS+MICROSUE</v>
      </c>
      <c r="BF2001" s="1" t="str">
        <f t="shared" si="1282"/>
        <v>Bonis SpA</v>
      </c>
    </row>
    <row r="2002" spans="2:58" x14ac:dyDescent="0.25">
      <c r="B2002" s="1">
        <v>2530</v>
      </c>
      <c r="C2002" s="1" t="str">
        <f>"MARCS4194S7/C1"</f>
        <v>MARCS4194S7/C1</v>
      </c>
      <c r="E2002" s="1" t="str">
        <f>"45"</f>
        <v>45</v>
      </c>
      <c r="F2002" s="1" t="str">
        <f t="shared" si="1271"/>
        <v>BONIS SPA</v>
      </c>
      <c r="G2002" s="1" t="str">
        <f t="shared" si="1258"/>
        <v>STOCK SCAFFALE MP</v>
      </c>
      <c r="H2002" s="1" t="str">
        <f>"WHI"</f>
        <v>WHI</v>
      </c>
      <c r="K2002" s="1">
        <v>1</v>
      </c>
      <c r="L2002" s="1" t="str">
        <f t="shared" si="1272"/>
        <v>01</v>
      </c>
      <c r="M2002" s="1" t="str">
        <f t="shared" si="1263"/>
        <v>409</v>
      </c>
      <c r="N2002" s="1" t="str">
        <f>"004"</f>
        <v>004</v>
      </c>
      <c r="O2002" s="1" t="str">
        <f t="shared" si="1273"/>
        <v>00</v>
      </c>
      <c r="P2002" s="1" t="str">
        <f t="shared" si="1274"/>
        <v>S</v>
      </c>
      <c r="Q2002" s="1" t="str">
        <f t="shared" si="1275"/>
        <v>P</v>
      </c>
      <c r="R2002" s="1" t="str">
        <f t="shared" si="1276"/>
        <v>01</v>
      </c>
      <c r="S2002" s="1" t="str">
        <f t="shared" si="1259"/>
        <v>04</v>
      </c>
      <c r="T2002" s="1" t="str">
        <f t="shared" si="1277"/>
        <v>False</v>
      </c>
      <c r="U2002" s="1" t="str">
        <f t="shared" si="1278"/>
        <v>True</v>
      </c>
      <c r="V2002" s="1" t="str">
        <f>"U0032588"</f>
        <v>U0032588</v>
      </c>
      <c r="W2002" s="1">
        <v>1</v>
      </c>
      <c r="Y2002" s="1">
        <v>0</v>
      </c>
      <c r="Z2002" s="1">
        <v>0</v>
      </c>
      <c r="AB2002" s="1" t="str">
        <f t="shared" si="1264"/>
        <v>SMU</v>
      </c>
      <c r="AI2002" s="1" t="str">
        <f>"P11"</f>
        <v>P11</v>
      </c>
      <c r="AJ2002" s="1" t="str">
        <f>"MAN"</f>
        <v>MAN</v>
      </c>
      <c r="AK2002" s="1" t="str">
        <f t="shared" si="1279"/>
        <v>PA</v>
      </c>
      <c r="AP2002" s="1" t="str">
        <f t="shared" si="1280"/>
        <v>False</v>
      </c>
      <c r="AR2002" s="1" t="str">
        <f>"MARCS"</f>
        <v>MARCS</v>
      </c>
      <c r="AY2002" s="1" t="str">
        <f t="shared" si="1281"/>
        <v>PF</v>
      </c>
      <c r="AZ2002" s="1">
        <v>0</v>
      </c>
      <c r="BA2002" s="1">
        <v>0</v>
      </c>
      <c r="BB2002" s="1">
        <v>0</v>
      </c>
      <c r="BC2002" s="1">
        <v>0</v>
      </c>
      <c r="BD2002" s="1">
        <v>0</v>
      </c>
      <c r="BE2002" s="1" t="str">
        <f>"RCS GOMMA TWILL CANVAS"</f>
        <v>RCS GOMMA TWILL CANVAS</v>
      </c>
      <c r="BF2002" s="1" t="str">
        <f t="shared" si="1282"/>
        <v>Bonis SpA</v>
      </c>
    </row>
    <row r="2003" spans="2:58" x14ac:dyDescent="0.25">
      <c r="B2003" s="1">
        <v>2530</v>
      </c>
      <c r="C2003" s="1" t="str">
        <f>"MARCS4194S7/C1"</f>
        <v>MARCS4194S7/C1</v>
      </c>
      <c r="E2003" s="1" t="str">
        <f>"40"</f>
        <v>40</v>
      </c>
      <c r="F2003" s="1" t="str">
        <f t="shared" si="1271"/>
        <v>BONIS SPA</v>
      </c>
      <c r="G2003" s="1" t="str">
        <f t="shared" si="1258"/>
        <v>STOCK SCAFFALE MP</v>
      </c>
      <c r="H2003" s="1" t="str">
        <f>"WHI"</f>
        <v>WHI</v>
      </c>
      <c r="K2003" s="1">
        <v>2</v>
      </c>
      <c r="L2003" s="1" t="str">
        <f t="shared" si="1272"/>
        <v>01</v>
      </c>
      <c r="M2003" s="1" t="str">
        <f t="shared" si="1263"/>
        <v>409</v>
      </c>
      <c r="N2003" s="1" t="str">
        <f>"004"</f>
        <v>004</v>
      </c>
      <c r="O2003" s="1" t="str">
        <f t="shared" si="1273"/>
        <v>00</v>
      </c>
      <c r="P2003" s="1" t="str">
        <f t="shared" si="1274"/>
        <v>S</v>
      </c>
      <c r="Q2003" s="1" t="str">
        <f t="shared" si="1275"/>
        <v>P</v>
      </c>
      <c r="R2003" s="1" t="str">
        <f t="shared" si="1276"/>
        <v>01</v>
      </c>
      <c r="S2003" s="1" t="str">
        <f t="shared" si="1259"/>
        <v>04</v>
      </c>
      <c r="T2003" s="1" t="str">
        <f t="shared" si="1277"/>
        <v>False</v>
      </c>
      <c r="U2003" s="1" t="str">
        <f t="shared" si="1278"/>
        <v>True</v>
      </c>
      <c r="V2003" s="1" t="str">
        <f>"U0032588"</f>
        <v>U0032588</v>
      </c>
      <c r="W2003" s="1">
        <v>1</v>
      </c>
      <c r="Y2003" s="1">
        <v>0</v>
      </c>
      <c r="Z2003" s="1">
        <v>0</v>
      </c>
      <c r="AB2003" s="1" t="str">
        <f t="shared" si="1264"/>
        <v>SMU</v>
      </c>
      <c r="AI2003" s="1" t="str">
        <f>"P11"</f>
        <v>P11</v>
      </c>
      <c r="AJ2003" s="1" t="str">
        <f>"MAN"</f>
        <v>MAN</v>
      </c>
      <c r="AK2003" s="1" t="str">
        <f t="shared" si="1279"/>
        <v>PA</v>
      </c>
      <c r="AP2003" s="1" t="str">
        <f t="shared" si="1280"/>
        <v>False</v>
      </c>
      <c r="AR2003" s="1" t="str">
        <f>"MARCS"</f>
        <v>MARCS</v>
      </c>
      <c r="AY2003" s="1" t="str">
        <f t="shared" si="1281"/>
        <v>PF</v>
      </c>
      <c r="AZ2003" s="1">
        <v>0</v>
      </c>
      <c r="BA2003" s="1">
        <v>0</v>
      </c>
      <c r="BB2003" s="1">
        <v>0</v>
      </c>
      <c r="BC2003" s="1">
        <v>0</v>
      </c>
      <c r="BD2003" s="1">
        <v>0</v>
      </c>
      <c r="BE2003" s="1" t="str">
        <f>"RCS GOMMA TWILL CANVAS"</f>
        <v>RCS GOMMA TWILL CANVAS</v>
      </c>
      <c r="BF2003" s="1" t="str">
        <f t="shared" si="1282"/>
        <v>Bonis SpA</v>
      </c>
    </row>
    <row r="2004" spans="2:58" x14ac:dyDescent="0.25">
      <c r="B2004" s="1">
        <v>2530</v>
      </c>
      <c r="C2004" s="1" t="str">
        <f>"MARCS4194S7/C1"</f>
        <v>MARCS4194S7/C1</v>
      </c>
      <c r="E2004" s="1" t="str">
        <f>"41"</f>
        <v>41</v>
      </c>
      <c r="F2004" s="1" t="str">
        <f t="shared" si="1271"/>
        <v>BONIS SPA</v>
      </c>
      <c r="G2004" s="1" t="str">
        <f t="shared" si="1258"/>
        <v>STOCK SCAFFALE MP</v>
      </c>
      <c r="H2004" s="1" t="str">
        <f>"WHI"</f>
        <v>WHI</v>
      </c>
      <c r="K2004" s="1">
        <v>1</v>
      </c>
      <c r="L2004" s="1" t="str">
        <f t="shared" si="1272"/>
        <v>01</v>
      </c>
      <c r="M2004" s="1" t="str">
        <f t="shared" si="1263"/>
        <v>409</v>
      </c>
      <c r="N2004" s="1" t="str">
        <f>"004"</f>
        <v>004</v>
      </c>
      <c r="O2004" s="1" t="str">
        <f t="shared" si="1273"/>
        <v>00</v>
      </c>
      <c r="P2004" s="1" t="str">
        <f t="shared" si="1274"/>
        <v>S</v>
      </c>
      <c r="Q2004" s="1" t="str">
        <f t="shared" si="1275"/>
        <v>P</v>
      </c>
      <c r="R2004" s="1" t="str">
        <f t="shared" si="1276"/>
        <v>01</v>
      </c>
      <c r="S2004" s="1" t="str">
        <f t="shared" si="1259"/>
        <v>04</v>
      </c>
      <c r="T2004" s="1" t="str">
        <f t="shared" si="1277"/>
        <v>False</v>
      </c>
      <c r="U2004" s="1" t="str">
        <f t="shared" si="1278"/>
        <v>True</v>
      </c>
      <c r="V2004" s="1" t="str">
        <f>"U0032588"</f>
        <v>U0032588</v>
      </c>
      <c r="W2004" s="1">
        <v>1</v>
      </c>
      <c r="Y2004" s="1">
        <v>0</v>
      </c>
      <c r="Z2004" s="1">
        <v>0</v>
      </c>
      <c r="AB2004" s="1" t="str">
        <f t="shared" si="1264"/>
        <v>SMU</v>
      </c>
      <c r="AI2004" s="1" t="str">
        <f>"P11"</f>
        <v>P11</v>
      </c>
      <c r="AJ2004" s="1" t="str">
        <f>"MAN"</f>
        <v>MAN</v>
      </c>
      <c r="AK2004" s="1" t="str">
        <f t="shared" si="1279"/>
        <v>PA</v>
      </c>
      <c r="AP2004" s="1" t="str">
        <f t="shared" si="1280"/>
        <v>False</v>
      </c>
      <c r="AR2004" s="1" t="str">
        <f>"MARCS"</f>
        <v>MARCS</v>
      </c>
      <c r="AY2004" s="1" t="str">
        <f t="shared" si="1281"/>
        <v>PF</v>
      </c>
      <c r="AZ2004" s="1">
        <v>0</v>
      </c>
      <c r="BA2004" s="1">
        <v>0</v>
      </c>
      <c r="BB2004" s="1">
        <v>0</v>
      </c>
      <c r="BC2004" s="1">
        <v>0</v>
      </c>
      <c r="BD2004" s="1">
        <v>0</v>
      </c>
      <c r="BE2004" s="1" t="str">
        <f>"RCS GOMMA TWILL CANVAS"</f>
        <v>RCS GOMMA TWILL CANVAS</v>
      </c>
      <c r="BF2004" s="1" t="str">
        <f t="shared" si="1282"/>
        <v>Bonis SpA</v>
      </c>
    </row>
    <row r="2005" spans="2:58" x14ac:dyDescent="0.25">
      <c r="B2005" s="1">
        <v>2527</v>
      </c>
      <c r="C2005" s="1" t="str">
        <f>"MARCS4194S7/C1"</f>
        <v>MARCS4194S7/C1</v>
      </c>
      <c r="E2005" s="1" t="str">
        <f>"44"</f>
        <v>44</v>
      </c>
      <c r="F2005" s="1" t="str">
        <f t="shared" si="1271"/>
        <v>BONIS SPA</v>
      </c>
      <c r="G2005" s="1" t="str">
        <f t="shared" si="1258"/>
        <v>STOCK SCAFFALE MP</v>
      </c>
      <c r="H2005" s="1" t="str">
        <f>"DKBL"</f>
        <v>DKBL</v>
      </c>
      <c r="K2005" s="1">
        <v>1</v>
      </c>
      <c r="L2005" s="1" t="str">
        <f t="shared" si="1272"/>
        <v>01</v>
      </c>
      <c r="M2005" s="1" t="str">
        <f t="shared" si="1263"/>
        <v>409</v>
      </c>
      <c r="N2005" s="1" t="str">
        <f>"003"</f>
        <v>003</v>
      </c>
      <c r="O2005" s="1" t="str">
        <f t="shared" si="1273"/>
        <v>00</v>
      </c>
      <c r="P2005" s="1" t="str">
        <f t="shared" si="1274"/>
        <v>S</v>
      </c>
      <c r="Q2005" s="1" t="str">
        <f t="shared" si="1275"/>
        <v>P</v>
      </c>
      <c r="R2005" s="1" t="str">
        <f t="shared" si="1276"/>
        <v>01</v>
      </c>
      <c r="S2005" s="1" t="str">
        <f t="shared" si="1259"/>
        <v>04</v>
      </c>
      <c r="T2005" s="1" t="str">
        <f t="shared" si="1277"/>
        <v>False</v>
      </c>
      <c r="U2005" s="1" t="str">
        <f t="shared" si="1278"/>
        <v>True</v>
      </c>
      <c r="V2005" s="1" t="str">
        <f>"U0023632"</f>
        <v>U0023632</v>
      </c>
      <c r="W2005" s="1">
        <v>1</v>
      </c>
      <c r="Y2005" s="1">
        <v>0</v>
      </c>
      <c r="Z2005" s="1">
        <v>0</v>
      </c>
      <c r="AB2005" s="1" t="str">
        <f t="shared" si="1264"/>
        <v>SMU</v>
      </c>
      <c r="AI2005" s="1" t="str">
        <f>"106"</f>
        <v>106</v>
      </c>
      <c r="AJ2005" s="1" t="str">
        <f>"MAN"</f>
        <v>MAN</v>
      </c>
      <c r="AK2005" s="1" t="str">
        <f t="shared" si="1279"/>
        <v>PA</v>
      </c>
      <c r="AP2005" s="1" t="str">
        <f t="shared" si="1280"/>
        <v>False</v>
      </c>
      <c r="AR2005" s="1" t="str">
        <f>"MARCS"</f>
        <v>MARCS</v>
      </c>
      <c r="AY2005" s="1" t="str">
        <f t="shared" si="1281"/>
        <v>PF</v>
      </c>
      <c r="AZ2005" s="1">
        <v>0</v>
      </c>
      <c r="BA2005" s="1">
        <v>0</v>
      </c>
      <c r="BB2005" s="1">
        <v>0</v>
      </c>
      <c r="BC2005" s="1">
        <v>0</v>
      </c>
      <c r="BD2005" s="1">
        <v>0</v>
      </c>
      <c r="BE2005" s="1" t="str">
        <f>"RCS GOMMA TWILL CANVAS"</f>
        <v>RCS GOMMA TWILL CANVAS</v>
      </c>
      <c r="BF2005" s="1" t="str">
        <f t="shared" si="1282"/>
        <v>Bonis SpA</v>
      </c>
    </row>
    <row r="2006" spans="2:58" x14ac:dyDescent="0.25">
      <c r="B2006" s="1">
        <v>2527</v>
      </c>
      <c r="C2006" s="1" t="str">
        <f>"MARCS4194S7/C1"</f>
        <v>MARCS4194S7/C1</v>
      </c>
      <c r="E2006" s="1" t="str">
        <f>"44"</f>
        <v>44</v>
      </c>
      <c r="F2006" s="1" t="str">
        <f t="shared" si="1271"/>
        <v>BONIS SPA</v>
      </c>
      <c r="G2006" s="1" t="str">
        <f t="shared" si="1258"/>
        <v>STOCK SCAFFALE MP</v>
      </c>
      <c r="H2006" s="1" t="str">
        <f>"BLK"</f>
        <v>BLK</v>
      </c>
      <c r="K2006" s="1">
        <v>1</v>
      </c>
      <c r="L2006" s="1" t="str">
        <f t="shared" si="1272"/>
        <v>01</v>
      </c>
      <c r="M2006" s="1" t="str">
        <f t="shared" si="1263"/>
        <v>409</v>
      </c>
      <c r="N2006" s="1" t="str">
        <f>"003"</f>
        <v>003</v>
      </c>
      <c r="O2006" s="1" t="str">
        <f t="shared" si="1273"/>
        <v>00</v>
      </c>
      <c r="P2006" s="1" t="str">
        <f t="shared" si="1274"/>
        <v>S</v>
      </c>
      <c r="Q2006" s="1" t="str">
        <f t="shared" si="1275"/>
        <v>P</v>
      </c>
      <c r="R2006" s="1" t="str">
        <f t="shared" si="1276"/>
        <v>01</v>
      </c>
      <c r="S2006" s="1" t="str">
        <f t="shared" si="1259"/>
        <v>04</v>
      </c>
      <c r="T2006" s="1" t="str">
        <f t="shared" si="1277"/>
        <v>False</v>
      </c>
      <c r="U2006" s="1" t="str">
        <f t="shared" si="1278"/>
        <v>True</v>
      </c>
      <c r="V2006" s="1" t="str">
        <f>"U0023632"</f>
        <v>U0023632</v>
      </c>
      <c r="W2006" s="1">
        <v>1</v>
      </c>
      <c r="Y2006" s="1">
        <v>0</v>
      </c>
      <c r="Z2006" s="1">
        <v>0</v>
      </c>
      <c r="AB2006" s="1" t="str">
        <f t="shared" si="1264"/>
        <v>SMU</v>
      </c>
      <c r="AI2006" s="1" t="str">
        <f>"106"</f>
        <v>106</v>
      </c>
      <c r="AJ2006" s="1" t="str">
        <f>"MAN"</f>
        <v>MAN</v>
      </c>
      <c r="AK2006" s="1" t="str">
        <f t="shared" si="1279"/>
        <v>PA</v>
      </c>
      <c r="AP2006" s="1" t="str">
        <f t="shared" si="1280"/>
        <v>False</v>
      </c>
      <c r="AR2006" s="1" t="str">
        <f>"MARCS"</f>
        <v>MARCS</v>
      </c>
      <c r="AY2006" s="1" t="str">
        <f t="shared" si="1281"/>
        <v>PF</v>
      </c>
      <c r="AZ2006" s="1">
        <v>0</v>
      </c>
      <c r="BA2006" s="1">
        <v>0</v>
      </c>
      <c r="BB2006" s="1">
        <v>0</v>
      </c>
      <c r="BC2006" s="1">
        <v>0</v>
      </c>
      <c r="BD2006" s="1">
        <v>0</v>
      </c>
      <c r="BE2006" s="1" t="str">
        <f>"RCS GOMMA TWILL CANVAS"</f>
        <v>RCS GOMMA TWILL CANVAS</v>
      </c>
      <c r="BF2006" s="1" t="str">
        <f t="shared" si="1282"/>
        <v>Bonis SpA</v>
      </c>
    </row>
    <row r="2007" spans="2:58" x14ac:dyDescent="0.25">
      <c r="B2007" s="1">
        <v>2530</v>
      </c>
      <c r="C2007" s="1" t="str">
        <f>"DYON4190S7/C1"</f>
        <v>DYON4190S7/C1</v>
      </c>
      <c r="E2007" s="1" t="str">
        <f>"41"</f>
        <v>41</v>
      </c>
      <c r="F2007" s="1" t="str">
        <f t="shared" si="1271"/>
        <v>BONIS SPA</v>
      </c>
      <c r="G2007" s="1" t="str">
        <f t="shared" si="1258"/>
        <v>STOCK SCAFFALE MP</v>
      </c>
      <c r="H2007" s="1" t="str">
        <f>"FUX"</f>
        <v>FUX</v>
      </c>
      <c r="K2007" s="1">
        <v>2</v>
      </c>
      <c r="L2007" s="1" t="str">
        <f t="shared" si="1272"/>
        <v>01</v>
      </c>
      <c r="M2007" s="1" t="str">
        <f t="shared" si="1263"/>
        <v>409</v>
      </c>
      <c r="N2007" s="1" t="str">
        <f>"004"</f>
        <v>004</v>
      </c>
      <c r="O2007" s="1" t="str">
        <f t="shared" si="1273"/>
        <v>00</v>
      </c>
      <c r="P2007" s="1" t="str">
        <f t="shared" si="1274"/>
        <v>S</v>
      </c>
      <c r="Q2007" s="1" t="str">
        <f t="shared" si="1275"/>
        <v>P</v>
      </c>
      <c r="R2007" s="1" t="str">
        <f t="shared" si="1276"/>
        <v>01</v>
      </c>
      <c r="S2007" s="1" t="str">
        <f t="shared" si="1259"/>
        <v>04</v>
      </c>
      <c r="T2007" s="1" t="str">
        <f t="shared" si="1277"/>
        <v>False</v>
      </c>
      <c r="U2007" s="1" t="str">
        <f t="shared" si="1278"/>
        <v>True</v>
      </c>
      <c r="V2007" s="1" t="str">
        <f>"U0032586"</f>
        <v>U0032586</v>
      </c>
      <c r="W2007" s="1">
        <v>1</v>
      </c>
      <c r="Y2007" s="1">
        <v>0</v>
      </c>
      <c r="Z2007" s="1">
        <v>0</v>
      </c>
      <c r="AB2007" s="1" t="str">
        <f t="shared" si="1264"/>
        <v>SMU</v>
      </c>
      <c r="AI2007" s="1" t="str">
        <f>"P11"</f>
        <v>P11</v>
      </c>
      <c r="AJ2007" s="1" t="str">
        <f>"WOMAN"</f>
        <v>WOMAN</v>
      </c>
      <c r="AK2007" s="1" t="str">
        <f t="shared" si="1279"/>
        <v>PA</v>
      </c>
      <c r="AP2007" s="1" t="str">
        <f t="shared" si="1280"/>
        <v>False</v>
      </c>
      <c r="AR2007" s="1" t="str">
        <f>"DYON"</f>
        <v>DYON</v>
      </c>
      <c r="AY2007" s="1" t="str">
        <f t="shared" si="1281"/>
        <v>PF</v>
      </c>
      <c r="AZ2007" s="1">
        <v>0</v>
      </c>
      <c r="BA2007" s="1">
        <v>0</v>
      </c>
      <c r="BB2007" s="1">
        <v>0</v>
      </c>
      <c r="BC2007" s="1">
        <v>0</v>
      </c>
      <c r="BD2007" s="1">
        <v>0</v>
      </c>
      <c r="BE2007" s="1" t="str">
        <f>"ION GOMMA TWILL CANVAS"</f>
        <v>ION GOMMA TWILL CANVAS</v>
      </c>
      <c r="BF2007" s="1" t="str">
        <f t="shared" si="1282"/>
        <v>Bonis SpA</v>
      </c>
    </row>
    <row r="2008" spans="2:58" x14ac:dyDescent="0.25">
      <c r="B2008" s="1">
        <v>2530</v>
      </c>
      <c r="C2008" s="1" t="str">
        <f>"DYON4190S7/C1"</f>
        <v>DYON4190S7/C1</v>
      </c>
      <c r="E2008" s="1" t="str">
        <f>"39"</f>
        <v>39</v>
      </c>
      <c r="F2008" s="1" t="str">
        <f t="shared" si="1271"/>
        <v>BONIS SPA</v>
      </c>
      <c r="G2008" s="1" t="str">
        <f t="shared" si="1258"/>
        <v>STOCK SCAFFALE MP</v>
      </c>
      <c r="H2008" s="1" t="str">
        <f>"DKBL"</f>
        <v>DKBL</v>
      </c>
      <c r="K2008" s="1">
        <v>1</v>
      </c>
      <c r="L2008" s="1" t="str">
        <f t="shared" si="1272"/>
        <v>01</v>
      </c>
      <c r="M2008" s="1" t="str">
        <f t="shared" si="1263"/>
        <v>409</v>
      </c>
      <c r="N2008" s="1" t="str">
        <f>"004"</f>
        <v>004</v>
      </c>
      <c r="O2008" s="1" t="str">
        <f t="shared" si="1273"/>
        <v>00</v>
      </c>
      <c r="P2008" s="1" t="str">
        <f t="shared" si="1274"/>
        <v>S</v>
      </c>
      <c r="Q2008" s="1" t="str">
        <f t="shared" si="1275"/>
        <v>P</v>
      </c>
      <c r="R2008" s="1" t="str">
        <f t="shared" si="1276"/>
        <v>01</v>
      </c>
      <c r="S2008" s="1" t="str">
        <f t="shared" si="1259"/>
        <v>04</v>
      </c>
      <c r="T2008" s="1" t="str">
        <f t="shared" si="1277"/>
        <v>False</v>
      </c>
      <c r="U2008" s="1" t="str">
        <f t="shared" si="1278"/>
        <v>True</v>
      </c>
      <c r="V2008" s="1" t="str">
        <f>"U0032586"</f>
        <v>U0032586</v>
      </c>
      <c r="W2008" s="1">
        <v>1</v>
      </c>
      <c r="Y2008" s="1">
        <v>0</v>
      </c>
      <c r="Z2008" s="1">
        <v>0</v>
      </c>
      <c r="AB2008" s="1" t="str">
        <f t="shared" si="1264"/>
        <v>SMU</v>
      </c>
      <c r="AI2008" s="1" t="str">
        <f>"P11"</f>
        <v>P11</v>
      </c>
      <c r="AJ2008" s="1" t="str">
        <f>"WOMAN"</f>
        <v>WOMAN</v>
      </c>
      <c r="AK2008" s="1" t="str">
        <f t="shared" si="1279"/>
        <v>PA</v>
      </c>
      <c r="AP2008" s="1" t="str">
        <f t="shared" si="1280"/>
        <v>False</v>
      </c>
      <c r="AR2008" s="1" t="str">
        <f>"DYON"</f>
        <v>DYON</v>
      </c>
      <c r="AY2008" s="1" t="str">
        <f t="shared" si="1281"/>
        <v>PF</v>
      </c>
      <c r="AZ2008" s="1">
        <v>0</v>
      </c>
      <c r="BA2008" s="1">
        <v>0</v>
      </c>
      <c r="BB2008" s="1">
        <v>0</v>
      </c>
      <c r="BC2008" s="1">
        <v>0</v>
      </c>
      <c r="BD2008" s="1">
        <v>0</v>
      </c>
      <c r="BE2008" s="1" t="str">
        <f>"ION GOMMA TWILL CANVAS"</f>
        <v>ION GOMMA TWILL CANVAS</v>
      </c>
      <c r="BF2008" s="1" t="str">
        <f t="shared" si="1282"/>
        <v>Bonis SpA</v>
      </c>
    </row>
    <row r="2009" spans="2:58" x14ac:dyDescent="0.25">
      <c r="B2009" s="1">
        <v>2530</v>
      </c>
      <c r="C2009" s="1" t="str">
        <f>"SOLAN4189S7/C1"</f>
        <v>SOLAN4189S7/C1</v>
      </c>
      <c r="E2009" s="1" t="str">
        <f>"43"</f>
        <v>43</v>
      </c>
      <c r="F2009" s="1" t="str">
        <f t="shared" si="1271"/>
        <v>BONIS SPA</v>
      </c>
      <c r="G2009" s="1" t="str">
        <f t="shared" si="1258"/>
        <v>STOCK SCAFFALE MP</v>
      </c>
      <c r="H2009" s="1" t="str">
        <f>"DKBL"</f>
        <v>DKBL</v>
      </c>
      <c r="K2009" s="1">
        <v>3</v>
      </c>
      <c r="L2009" s="1" t="str">
        <f t="shared" si="1272"/>
        <v>01</v>
      </c>
      <c r="M2009" s="1" t="str">
        <f t="shared" si="1263"/>
        <v>409</v>
      </c>
      <c r="N2009" s="1" t="str">
        <f>"004"</f>
        <v>004</v>
      </c>
      <c r="O2009" s="1" t="str">
        <f t="shared" si="1273"/>
        <v>00</v>
      </c>
      <c r="P2009" s="1" t="str">
        <f t="shared" si="1274"/>
        <v>S</v>
      </c>
      <c r="Q2009" s="1" t="str">
        <f t="shared" si="1275"/>
        <v>P</v>
      </c>
      <c r="R2009" s="1" t="str">
        <f t="shared" si="1276"/>
        <v>01</v>
      </c>
      <c r="S2009" s="1" t="str">
        <f t="shared" si="1259"/>
        <v>04</v>
      </c>
      <c r="T2009" s="1" t="str">
        <f t="shared" si="1277"/>
        <v>False</v>
      </c>
      <c r="U2009" s="1" t="str">
        <f t="shared" si="1278"/>
        <v>True</v>
      </c>
      <c r="V2009" s="1" t="str">
        <f>"U0032584"</f>
        <v>U0032584</v>
      </c>
      <c r="W2009" s="1">
        <v>1</v>
      </c>
      <c r="Y2009" s="1">
        <v>0</v>
      </c>
      <c r="Z2009" s="1">
        <v>0</v>
      </c>
      <c r="AB2009" s="1" t="str">
        <f t="shared" si="1264"/>
        <v>SMU</v>
      </c>
      <c r="AI2009" s="1" t="str">
        <f>"P11"</f>
        <v>P11</v>
      </c>
      <c r="AJ2009" s="1" t="str">
        <f t="shared" ref="AJ2009:AJ2040" si="1283">"MAN"</f>
        <v>MAN</v>
      </c>
      <c r="AK2009" s="1" t="str">
        <f t="shared" si="1279"/>
        <v>PA</v>
      </c>
      <c r="AP2009" s="1" t="str">
        <f t="shared" si="1280"/>
        <v>False</v>
      </c>
      <c r="AR2009" s="1" t="str">
        <f>"SOLAN"</f>
        <v>SOLAN</v>
      </c>
      <c r="AY2009" s="1" t="str">
        <f t="shared" si="1281"/>
        <v>PF</v>
      </c>
      <c r="AZ2009" s="1">
        <v>0</v>
      </c>
      <c r="BA2009" s="1">
        <v>0</v>
      </c>
      <c r="BB2009" s="1">
        <v>0</v>
      </c>
      <c r="BC2009" s="1">
        <v>0</v>
      </c>
      <c r="BD2009" s="1">
        <v>0</v>
      </c>
      <c r="BE2009" s="1" t="str">
        <f>"S.CADET GOMMA  TWILL CANVAS"</f>
        <v>S.CADET GOMMA  TWILL CANVAS</v>
      </c>
      <c r="BF2009" s="1" t="str">
        <f t="shared" si="1282"/>
        <v>Bonis SpA</v>
      </c>
    </row>
    <row r="2010" spans="2:58" x14ac:dyDescent="0.25">
      <c r="B2010" s="1">
        <v>2536</v>
      </c>
      <c r="C2010" s="1" t="str">
        <f t="shared" ref="C2010:C2031" si="1284">"GALAN4183S7/CY1"</f>
        <v>GALAN4183S7/CY1</v>
      </c>
      <c r="E2010" s="1" t="str">
        <f>"41"</f>
        <v>41</v>
      </c>
      <c r="F2010" s="1" t="str">
        <f t="shared" si="1271"/>
        <v>BONIS SPA</v>
      </c>
      <c r="G2010" s="1" t="str">
        <f t="shared" si="1258"/>
        <v>STOCK SCAFFALE MP</v>
      </c>
      <c r="H2010" s="1" t="str">
        <f t="shared" ref="H2010:H2021" si="1285">"WHI"</f>
        <v>WHI</v>
      </c>
      <c r="K2010" s="1">
        <v>2</v>
      </c>
      <c r="L2010" s="1" t="str">
        <f t="shared" si="1272"/>
        <v>01</v>
      </c>
      <c r="M2010" s="1" t="str">
        <f t="shared" si="1263"/>
        <v>409</v>
      </c>
      <c r="N2010" s="1" t="str">
        <f t="shared" ref="N2010:N2041" si="1286">"006"</f>
        <v>006</v>
      </c>
      <c r="O2010" s="1" t="str">
        <f t="shared" si="1273"/>
        <v>00</v>
      </c>
      <c r="P2010" s="1" t="str">
        <f t="shared" si="1274"/>
        <v>S</v>
      </c>
      <c r="Q2010" s="1" t="str">
        <f t="shared" si="1275"/>
        <v>P</v>
      </c>
      <c r="R2010" s="1" t="str">
        <f t="shared" si="1276"/>
        <v>01</v>
      </c>
      <c r="S2010" s="1" t="str">
        <f t="shared" si="1259"/>
        <v>04</v>
      </c>
      <c r="T2010" s="1" t="str">
        <f t="shared" si="1277"/>
        <v>False</v>
      </c>
      <c r="U2010" s="1" t="str">
        <f t="shared" si="1278"/>
        <v>True</v>
      </c>
      <c r="V2010" s="1" t="str">
        <f>"U0032585"</f>
        <v>U0032585</v>
      </c>
      <c r="W2010" s="1">
        <v>1</v>
      </c>
      <c r="Y2010" s="1">
        <v>0</v>
      </c>
      <c r="Z2010" s="1">
        <v>0</v>
      </c>
      <c r="AB2010" s="1" t="str">
        <f t="shared" si="1264"/>
        <v>SMU</v>
      </c>
      <c r="AI2010" s="1" t="str">
        <f>"F11"</f>
        <v>F11</v>
      </c>
      <c r="AJ2010" s="1" t="str">
        <f t="shared" si="1283"/>
        <v>MAN</v>
      </c>
      <c r="AK2010" s="1" t="str">
        <f t="shared" si="1279"/>
        <v>PA</v>
      </c>
      <c r="AP2010" s="1" t="str">
        <f t="shared" si="1280"/>
        <v>False</v>
      </c>
      <c r="AR2010" s="1" t="str">
        <f t="shared" ref="AR2010:AR2041" si="1287">"GALAN"</f>
        <v>GALAN</v>
      </c>
      <c r="AY2010" s="1" t="str">
        <f t="shared" si="1281"/>
        <v>PF</v>
      </c>
      <c r="AZ2010" s="1">
        <v>0</v>
      </c>
      <c r="BA2010" s="1">
        <v>0</v>
      </c>
      <c r="BB2010" s="1">
        <v>0</v>
      </c>
      <c r="BC2010" s="1">
        <v>0</v>
      </c>
      <c r="BD2010" s="1">
        <v>0</v>
      </c>
      <c r="BE2010" s="1" t="str">
        <f t="shared" ref="BE2010:BE2041" si="1288">"LAN+TWILL CANVAS + SIN.LEATHER"</f>
        <v>LAN+TWILL CANVAS + SIN.LEATHER</v>
      </c>
      <c r="BF2010" s="1" t="str">
        <f t="shared" si="1282"/>
        <v>Bonis SpA</v>
      </c>
    </row>
    <row r="2011" spans="2:58" x14ac:dyDescent="0.25">
      <c r="B2011" s="1">
        <v>2536</v>
      </c>
      <c r="C2011" s="1" t="str">
        <f t="shared" si="1284"/>
        <v>GALAN4183S7/CY1</v>
      </c>
      <c r="E2011" s="1" t="str">
        <f>"43"</f>
        <v>43</v>
      </c>
      <c r="F2011" s="1" t="str">
        <f t="shared" si="1271"/>
        <v>BONIS SPA</v>
      </c>
      <c r="G2011" s="1" t="str">
        <f t="shared" si="1258"/>
        <v>STOCK SCAFFALE MP</v>
      </c>
      <c r="H2011" s="1" t="str">
        <f t="shared" si="1285"/>
        <v>WHI</v>
      </c>
      <c r="K2011" s="1">
        <v>3</v>
      </c>
      <c r="L2011" s="1" t="str">
        <f t="shared" si="1272"/>
        <v>01</v>
      </c>
      <c r="M2011" s="1" t="str">
        <f t="shared" si="1263"/>
        <v>409</v>
      </c>
      <c r="N2011" s="1" t="str">
        <f t="shared" si="1286"/>
        <v>006</v>
      </c>
      <c r="O2011" s="1" t="str">
        <f t="shared" si="1273"/>
        <v>00</v>
      </c>
      <c r="P2011" s="1" t="str">
        <f t="shared" si="1274"/>
        <v>S</v>
      </c>
      <c r="Q2011" s="1" t="str">
        <f t="shared" si="1275"/>
        <v>P</v>
      </c>
      <c r="R2011" s="1" t="str">
        <f t="shared" si="1276"/>
        <v>01</v>
      </c>
      <c r="S2011" s="1" t="str">
        <f t="shared" si="1259"/>
        <v>04</v>
      </c>
      <c r="T2011" s="1" t="str">
        <f t="shared" si="1277"/>
        <v>False</v>
      </c>
      <c r="U2011" s="1" t="str">
        <f t="shared" si="1278"/>
        <v>True</v>
      </c>
      <c r="V2011" s="1" t="str">
        <f>"U0032585"</f>
        <v>U0032585</v>
      </c>
      <c r="W2011" s="1">
        <v>1</v>
      </c>
      <c r="Y2011" s="1">
        <v>0</v>
      </c>
      <c r="Z2011" s="1">
        <v>0</v>
      </c>
      <c r="AB2011" s="1" t="str">
        <f t="shared" si="1264"/>
        <v>SMU</v>
      </c>
      <c r="AI2011" s="1" t="str">
        <f>"F11"</f>
        <v>F11</v>
      </c>
      <c r="AJ2011" s="1" t="str">
        <f t="shared" si="1283"/>
        <v>MAN</v>
      </c>
      <c r="AK2011" s="1" t="str">
        <f t="shared" si="1279"/>
        <v>PA</v>
      </c>
      <c r="AP2011" s="1" t="str">
        <f t="shared" si="1280"/>
        <v>False</v>
      </c>
      <c r="AR2011" s="1" t="str">
        <f t="shared" si="1287"/>
        <v>GALAN</v>
      </c>
      <c r="AY2011" s="1" t="str">
        <f t="shared" si="1281"/>
        <v>PF</v>
      </c>
      <c r="AZ2011" s="1">
        <v>0</v>
      </c>
      <c r="BA2011" s="1">
        <v>0</v>
      </c>
      <c r="BB2011" s="1">
        <v>0</v>
      </c>
      <c r="BC2011" s="1">
        <v>0</v>
      </c>
      <c r="BD2011" s="1">
        <v>0</v>
      </c>
      <c r="BE2011" s="1" t="str">
        <f t="shared" si="1288"/>
        <v>LAN+TWILL CANVAS + SIN.LEATHER</v>
      </c>
      <c r="BF2011" s="1" t="str">
        <f t="shared" si="1282"/>
        <v>Bonis SpA</v>
      </c>
    </row>
    <row r="2012" spans="2:58" x14ac:dyDescent="0.25">
      <c r="B2012" s="1">
        <v>2536</v>
      </c>
      <c r="C2012" s="1" t="str">
        <f t="shared" si="1284"/>
        <v>GALAN4183S7/CY1</v>
      </c>
      <c r="E2012" s="1" t="str">
        <f>"44"</f>
        <v>44</v>
      </c>
      <c r="F2012" s="1" t="str">
        <f t="shared" si="1271"/>
        <v>BONIS SPA</v>
      </c>
      <c r="G2012" s="1" t="str">
        <f t="shared" si="1258"/>
        <v>STOCK SCAFFALE MP</v>
      </c>
      <c r="H2012" s="1" t="str">
        <f t="shared" si="1285"/>
        <v>WHI</v>
      </c>
      <c r="K2012" s="1">
        <v>2</v>
      </c>
      <c r="L2012" s="1" t="str">
        <f t="shared" si="1272"/>
        <v>01</v>
      </c>
      <c r="M2012" s="1" t="str">
        <f t="shared" si="1263"/>
        <v>409</v>
      </c>
      <c r="N2012" s="1" t="str">
        <f t="shared" si="1286"/>
        <v>006</v>
      </c>
      <c r="O2012" s="1" t="str">
        <f t="shared" si="1273"/>
        <v>00</v>
      </c>
      <c r="P2012" s="1" t="str">
        <f t="shared" si="1274"/>
        <v>S</v>
      </c>
      <c r="Q2012" s="1" t="str">
        <f t="shared" si="1275"/>
        <v>P</v>
      </c>
      <c r="R2012" s="1" t="str">
        <f t="shared" si="1276"/>
        <v>01</v>
      </c>
      <c r="S2012" s="1" t="str">
        <f t="shared" si="1259"/>
        <v>04</v>
      </c>
      <c r="T2012" s="1" t="str">
        <f t="shared" si="1277"/>
        <v>False</v>
      </c>
      <c r="U2012" s="1" t="str">
        <f t="shared" si="1278"/>
        <v>True</v>
      </c>
      <c r="V2012" s="1" t="str">
        <f>"U0032585"</f>
        <v>U0032585</v>
      </c>
      <c r="W2012" s="1">
        <v>1</v>
      </c>
      <c r="Y2012" s="1">
        <v>0</v>
      </c>
      <c r="Z2012" s="1">
        <v>0</v>
      </c>
      <c r="AB2012" s="1" t="str">
        <f t="shared" si="1264"/>
        <v>SMU</v>
      </c>
      <c r="AI2012" s="1" t="str">
        <f>"F11"</f>
        <v>F11</v>
      </c>
      <c r="AJ2012" s="1" t="str">
        <f t="shared" si="1283"/>
        <v>MAN</v>
      </c>
      <c r="AK2012" s="1" t="str">
        <f t="shared" si="1279"/>
        <v>PA</v>
      </c>
      <c r="AP2012" s="1" t="str">
        <f t="shared" si="1280"/>
        <v>False</v>
      </c>
      <c r="AR2012" s="1" t="str">
        <f t="shared" si="1287"/>
        <v>GALAN</v>
      </c>
      <c r="AY2012" s="1" t="str">
        <f t="shared" si="1281"/>
        <v>PF</v>
      </c>
      <c r="AZ2012" s="1">
        <v>0</v>
      </c>
      <c r="BA2012" s="1">
        <v>0</v>
      </c>
      <c r="BB2012" s="1">
        <v>0</v>
      </c>
      <c r="BC2012" s="1">
        <v>0</v>
      </c>
      <c r="BD2012" s="1">
        <v>0</v>
      </c>
      <c r="BE2012" s="1" t="str">
        <f t="shared" si="1288"/>
        <v>LAN+TWILL CANVAS + SIN.LEATHER</v>
      </c>
      <c r="BF2012" s="1" t="str">
        <f t="shared" si="1282"/>
        <v>Bonis SpA</v>
      </c>
    </row>
    <row r="2013" spans="2:58" x14ac:dyDescent="0.25">
      <c r="B2013" s="1">
        <v>2536</v>
      </c>
      <c r="C2013" s="1" t="str">
        <f t="shared" si="1284"/>
        <v>GALAN4183S7/CY1</v>
      </c>
      <c r="E2013" s="1" t="str">
        <f>"45"</f>
        <v>45</v>
      </c>
      <c r="F2013" s="1" t="str">
        <f t="shared" si="1271"/>
        <v>BONIS SPA</v>
      </c>
      <c r="G2013" s="1" t="str">
        <f t="shared" si="1258"/>
        <v>STOCK SCAFFALE MP</v>
      </c>
      <c r="H2013" s="1" t="str">
        <f t="shared" si="1285"/>
        <v>WHI</v>
      </c>
      <c r="K2013" s="1">
        <v>1</v>
      </c>
      <c r="L2013" s="1" t="str">
        <f t="shared" si="1272"/>
        <v>01</v>
      </c>
      <c r="M2013" s="1" t="str">
        <f t="shared" si="1263"/>
        <v>409</v>
      </c>
      <c r="N2013" s="1" t="str">
        <f t="shared" si="1286"/>
        <v>006</v>
      </c>
      <c r="O2013" s="1" t="str">
        <f t="shared" si="1273"/>
        <v>00</v>
      </c>
      <c r="P2013" s="1" t="str">
        <f t="shared" si="1274"/>
        <v>S</v>
      </c>
      <c r="Q2013" s="1" t="str">
        <f t="shared" si="1275"/>
        <v>P</v>
      </c>
      <c r="R2013" s="1" t="str">
        <f t="shared" si="1276"/>
        <v>01</v>
      </c>
      <c r="S2013" s="1" t="str">
        <f t="shared" si="1259"/>
        <v>04</v>
      </c>
      <c r="T2013" s="1" t="str">
        <f t="shared" si="1277"/>
        <v>False</v>
      </c>
      <c r="U2013" s="1" t="str">
        <f t="shared" si="1278"/>
        <v>True</v>
      </c>
      <c r="V2013" s="1" t="str">
        <f>"U0032585"</f>
        <v>U0032585</v>
      </c>
      <c r="W2013" s="1">
        <v>1</v>
      </c>
      <c r="Y2013" s="1">
        <v>0</v>
      </c>
      <c r="Z2013" s="1">
        <v>0</v>
      </c>
      <c r="AB2013" s="1" t="str">
        <f t="shared" si="1264"/>
        <v>SMU</v>
      </c>
      <c r="AI2013" s="1" t="str">
        <f>"F11"</f>
        <v>F11</v>
      </c>
      <c r="AJ2013" s="1" t="str">
        <f t="shared" si="1283"/>
        <v>MAN</v>
      </c>
      <c r="AK2013" s="1" t="str">
        <f t="shared" si="1279"/>
        <v>PA</v>
      </c>
      <c r="AP2013" s="1" t="str">
        <f t="shared" si="1280"/>
        <v>False</v>
      </c>
      <c r="AR2013" s="1" t="str">
        <f t="shared" si="1287"/>
        <v>GALAN</v>
      </c>
      <c r="AY2013" s="1" t="str">
        <f t="shared" si="1281"/>
        <v>PF</v>
      </c>
      <c r="AZ2013" s="1">
        <v>0</v>
      </c>
      <c r="BA2013" s="1">
        <v>0</v>
      </c>
      <c r="BB2013" s="1">
        <v>0</v>
      </c>
      <c r="BC2013" s="1">
        <v>0</v>
      </c>
      <c r="BD2013" s="1">
        <v>0</v>
      </c>
      <c r="BE2013" s="1" t="str">
        <f t="shared" si="1288"/>
        <v>LAN+TWILL CANVAS + SIN.LEATHER</v>
      </c>
      <c r="BF2013" s="1" t="str">
        <f t="shared" si="1282"/>
        <v>Bonis SpA</v>
      </c>
    </row>
    <row r="2014" spans="2:58" x14ac:dyDescent="0.25">
      <c r="B2014" s="1">
        <v>2536</v>
      </c>
      <c r="C2014" s="1" t="str">
        <f t="shared" si="1284"/>
        <v>GALAN4183S7/CY1</v>
      </c>
      <c r="E2014" s="1" t="str">
        <f>"44"</f>
        <v>44</v>
      </c>
      <c r="F2014" s="1" t="str">
        <f t="shared" si="1271"/>
        <v>BONIS SPA</v>
      </c>
      <c r="G2014" s="1" t="str">
        <f t="shared" si="1258"/>
        <v>STOCK SCAFFALE MP</v>
      </c>
      <c r="H2014" s="1" t="str">
        <f t="shared" si="1285"/>
        <v>WHI</v>
      </c>
      <c r="K2014" s="1">
        <v>1</v>
      </c>
      <c r="L2014" s="1" t="str">
        <f t="shared" si="1272"/>
        <v>01</v>
      </c>
      <c r="M2014" s="1" t="str">
        <f t="shared" si="1263"/>
        <v>409</v>
      </c>
      <c r="N2014" s="1" t="str">
        <f t="shared" si="1286"/>
        <v>006</v>
      </c>
      <c r="O2014" s="1" t="str">
        <f t="shared" si="1273"/>
        <v>00</v>
      </c>
      <c r="P2014" s="1" t="str">
        <f t="shared" si="1274"/>
        <v>S</v>
      </c>
      <c r="Q2014" s="1" t="str">
        <f t="shared" si="1275"/>
        <v>P</v>
      </c>
      <c r="R2014" s="1" t="str">
        <f t="shared" si="1276"/>
        <v>01</v>
      </c>
      <c r="S2014" s="1" t="str">
        <f t="shared" si="1259"/>
        <v>04</v>
      </c>
      <c r="T2014" s="1" t="str">
        <f t="shared" si="1277"/>
        <v>False</v>
      </c>
      <c r="U2014" s="1" t="str">
        <f t="shared" si="1278"/>
        <v>True</v>
      </c>
      <c r="V2014" s="1" t="str">
        <f>"U0032575"</f>
        <v>U0032575</v>
      </c>
      <c r="W2014" s="1">
        <v>1</v>
      </c>
      <c r="Y2014" s="1">
        <v>0</v>
      </c>
      <c r="Z2014" s="1">
        <v>0</v>
      </c>
      <c r="AB2014" s="1" t="str">
        <f t="shared" si="1264"/>
        <v>SMU</v>
      </c>
      <c r="AI2014" s="1" t="str">
        <f>"106"</f>
        <v>106</v>
      </c>
      <c r="AJ2014" s="1" t="str">
        <f t="shared" si="1283"/>
        <v>MAN</v>
      </c>
      <c r="AK2014" s="1" t="str">
        <f t="shared" si="1279"/>
        <v>PA</v>
      </c>
      <c r="AP2014" s="1" t="str">
        <f t="shared" si="1280"/>
        <v>False</v>
      </c>
      <c r="AR2014" s="1" t="str">
        <f t="shared" si="1287"/>
        <v>GALAN</v>
      </c>
      <c r="AY2014" s="1" t="str">
        <f t="shared" si="1281"/>
        <v>PF</v>
      </c>
      <c r="AZ2014" s="1">
        <v>0</v>
      </c>
      <c r="BA2014" s="1">
        <v>0</v>
      </c>
      <c r="BB2014" s="1">
        <v>0</v>
      </c>
      <c r="BC2014" s="1">
        <v>0</v>
      </c>
      <c r="BD2014" s="1">
        <v>0</v>
      </c>
      <c r="BE2014" s="1" t="str">
        <f t="shared" si="1288"/>
        <v>LAN+TWILL CANVAS + SIN.LEATHER</v>
      </c>
      <c r="BF2014" s="1" t="str">
        <f t="shared" si="1282"/>
        <v>Bonis SpA</v>
      </c>
    </row>
    <row r="2015" spans="2:58" x14ac:dyDescent="0.25">
      <c r="B2015" s="1">
        <v>2536</v>
      </c>
      <c r="C2015" s="1" t="str">
        <f t="shared" si="1284"/>
        <v>GALAN4183S7/CY1</v>
      </c>
      <c r="E2015" s="1" t="str">
        <f>"43"</f>
        <v>43</v>
      </c>
      <c r="F2015" s="1" t="str">
        <f t="shared" si="1271"/>
        <v>BONIS SPA</v>
      </c>
      <c r="G2015" s="1" t="str">
        <f t="shared" si="1258"/>
        <v>STOCK SCAFFALE MP</v>
      </c>
      <c r="H2015" s="1" t="str">
        <f t="shared" si="1285"/>
        <v>WHI</v>
      </c>
      <c r="K2015" s="1">
        <v>3</v>
      </c>
      <c r="L2015" s="1" t="str">
        <f t="shared" si="1272"/>
        <v>01</v>
      </c>
      <c r="M2015" s="1" t="str">
        <f t="shared" si="1263"/>
        <v>409</v>
      </c>
      <c r="N2015" s="1" t="str">
        <f t="shared" si="1286"/>
        <v>006</v>
      </c>
      <c r="O2015" s="1" t="str">
        <f t="shared" si="1273"/>
        <v>00</v>
      </c>
      <c r="P2015" s="1" t="str">
        <f t="shared" si="1274"/>
        <v>S</v>
      </c>
      <c r="Q2015" s="1" t="str">
        <f t="shared" si="1275"/>
        <v>P</v>
      </c>
      <c r="R2015" s="1" t="str">
        <f t="shared" si="1276"/>
        <v>01</v>
      </c>
      <c r="S2015" s="1" t="str">
        <f t="shared" si="1259"/>
        <v>04</v>
      </c>
      <c r="T2015" s="1" t="str">
        <f t="shared" si="1277"/>
        <v>False</v>
      </c>
      <c r="U2015" s="1" t="str">
        <f t="shared" si="1278"/>
        <v>True</v>
      </c>
      <c r="V2015" s="1" t="str">
        <f>"U0032576"</f>
        <v>U0032576</v>
      </c>
      <c r="W2015" s="1">
        <v>1</v>
      </c>
      <c r="Y2015" s="1">
        <v>0</v>
      </c>
      <c r="Z2015" s="1">
        <v>0</v>
      </c>
      <c r="AB2015" s="1" t="str">
        <f t="shared" si="1264"/>
        <v>SMU</v>
      </c>
      <c r="AI2015" s="1" t="str">
        <f>"106"</f>
        <v>106</v>
      </c>
      <c r="AJ2015" s="1" t="str">
        <f t="shared" si="1283"/>
        <v>MAN</v>
      </c>
      <c r="AK2015" s="1" t="str">
        <f t="shared" si="1279"/>
        <v>PA</v>
      </c>
      <c r="AP2015" s="1" t="str">
        <f t="shared" si="1280"/>
        <v>False</v>
      </c>
      <c r="AR2015" s="1" t="str">
        <f t="shared" si="1287"/>
        <v>GALAN</v>
      </c>
      <c r="AY2015" s="1" t="str">
        <f t="shared" si="1281"/>
        <v>PF</v>
      </c>
      <c r="AZ2015" s="1">
        <v>0</v>
      </c>
      <c r="BA2015" s="1">
        <v>0</v>
      </c>
      <c r="BB2015" s="1">
        <v>0</v>
      </c>
      <c r="BC2015" s="1">
        <v>0</v>
      </c>
      <c r="BD2015" s="1">
        <v>0</v>
      </c>
      <c r="BE2015" s="1" t="str">
        <f t="shared" si="1288"/>
        <v>LAN+TWILL CANVAS + SIN.LEATHER</v>
      </c>
      <c r="BF2015" s="1" t="str">
        <f t="shared" si="1282"/>
        <v>Bonis SpA</v>
      </c>
    </row>
    <row r="2016" spans="2:58" x14ac:dyDescent="0.25">
      <c r="B2016" s="1">
        <v>2536</v>
      </c>
      <c r="C2016" s="1" t="str">
        <f t="shared" si="1284"/>
        <v>GALAN4183S7/CY1</v>
      </c>
      <c r="E2016" s="1" t="str">
        <f>"40"</f>
        <v>40</v>
      </c>
      <c r="F2016" s="1" t="str">
        <f t="shared" si="1271"/>
        <v>BONIS SPA</v>
      </c>
      <c r="G2016" s="1" t="str">
        <f t="shared" si="1258"/>
        <v>STOCK SCAFFALE MP</v>
      </c>
      <c r="H2016" s="1" t="str">
        <f t="shared" si="1285"/>
        <v>WHI</v>
      </c>
      <c r="K2016" s="1">
        <v>2</v>
      </c>
      <c r="L2016" s="1" t="str">
        <f t="shared" si="1272"/>
        <v>01</v>
      </c>
      <c r="M2016" s="1" t="str">
        <f t="shared" si="1263"/>
        <v>409</v>
      </c>
      <c r="N2016" s="1" t="str">
        <f t="shared" si="1286"/>
        <v>006</v>
      </c>
      <c r="O2016" s="1" t="str">
        <f t="shared" si="1273"/>
        <v>00</v>
      </c>
      <c r="P2016" s="1" t="str">
        <f t="shared" si="1274"/>
        <v>S</v>
      </c>
      <c r="Q2016" s="1" t="str">
        <f t="shared" si="1275"/>
        <v>P</v>
      </c>
      <c r="R2016" s="1" t="str">
        <f t="shared" si="1276"/>
        <v>01</v>
      </c>
      <c r="S2016" s="1" t="str">
        <f t="shared" si="1259"/>
        <v>04</v>
      </c>
      <c r="T2016" s="1" t="str">
        <f t="shared" si="1277"/>
        <v>False</v>
      </c>
      <c r="U2016" s="1" t="str">
        <f t="shared" si="1278"/>
        <v>True</v>
      </c>
      <c r="V2016" s="1" t="str">
        <f>"U0032582"</f>
        <v>U0032582</v>
      </c>
      <c r="W2016" s="1">
        <v>1</v>
      </c>
      <c r="Y2016" s="1">
        <v>0</v>
      </c>
      <c r="Z2016" s="1">
        <v>0</v>
      </c>
      <c r="AB2016" s="1" t="str">
        <f t="shared" si="1264"/>
        <v>SMU</v>
      </c>
      <c r="AI2016" s="1" t="str">
        <f>"106"</f>
        <v>106</v>
      </c>
      <c r="AJ2016" s="1" t="str">
        <f t="shared" si="1283"/>
        <v>MAN</v>
      </c>
      <c r="AK2016" s="1" t="str">
        <f t="shared" si="1279"/>
        <v>PA</v>
      </c>
      <c r="AP2016" s="1" t="str">
        <f t="shared" si="1280"/>
        <v>False</v>
      </c>
      <c r="AR2016" s="1" t="str">
        <f t="shared" si="1287"/>
        <v>GALAN</v>
      </c>
      <c r="AY2016" s="1" t="str">
        <f t="shared" si="1281"/>
        <v>PF</v>
      </c>
      <c r="AZ2016" s="1">
        <v>0</v>
      </c>
      <c r="BA2016" s="1">
        <v>0</v>
      </c>
      <c r="BB2016" s="1">
        <v>0</v>
      </c>
      <c r="BC2016" s="1">
        <v>0</v>
      </c>
      <c r="BD2016" s="1">
        <v>0</v>
      </c>
      <c r="BE2016" s="1" t="str">
        <f t="shared" si="1288"/>
        <v>LAN+TWILL CANVAS + SIN.LEATHER</v>
      </c>
      <c r="BF2016" s="1" t="str">
        <f t="shared" si="1282"/>
        <v>Bonis SpA</v>
      </c>
    </row>
    <row r="2017" spans="2:58" x14ac:dyDescent="0.25">
      <c r="B2017" s="1">
        <v>2536</v>
      </c>
      <c r="C2017" s="1" t="str">
        <f t="shared" si="1284"/>
        <v>GALAN4183S7/CY1</v>
      </c>
      <c r="E2017" s="1" t="str">
        <f>"41"</f>
        <v>41</v>
      </c>
      <c r="F2017" s="1" t="str">
        <f t="shared" si="1271"/>
        <v>BONIS SPA</v>
      </c>
      <c r="G2017" s="1" t="str">
        <f t="shared" si="1258"/>
        <v>STOCK SCAFFALE MP</v>
      </c>
      <c r="H2017" s="1" t="str">
        <f t="shared" si="1285"/>
        <v>WHI</v>
      </c>
      <c r="K2017" s="1">
        <v>5</v>
      </c>
      <c r="L2017" s="1" t="str">
        <f t="shared" si="1272"/>
        <v>01</v>
      </c>
      <c r="M2017" s="1" t="str">
        <f t="shared" si="1263"/>
        <v>409</v>
      </c>
      <c r="N2017" s="1" t="str">
        <f t="shared" si="1286"/>
        <v>006</v>
      </c>
      <c r="O2017" s="1" t="str">
        <f t="shared" si="1273"/>
        <v>00</v>
      </c>
      <c r="P2017" s="1" t="str">
        <f t="shared" si="1274"/>
        <v>S</v>
      </c>
      <c r="Q2017" s="1" t="str">
        <f t="shared" si="1275"/>
        <v>P</v>
      </c>
      <c r="R2017" s="1" t="str">
        <f t="shared" si="1276"/>
        <v>01</v>
      </c>
      <c r="S2017" s="1" t="str">
        <f t="shared" si="1259"/>
        <v>04</v>
      </c>
      <c r="T2017" s="1" t="str">
        <f t="shared" si="1277"/>
        <v>False</v>
      </c>
      <c r="U2017" s="1" t="str">
        <f t="shared" si="1278"/>
        <v>True</v>
      </c>
      <c r="V2017" s="1" t="str">
        <f>"U0032582"</f>
        <v>U0032582</v>
      </c>
      <c r="W2017" s="1">
        <v>1</v>
      </c>
      <c r="Y2017" s="1">
        <v>0</v>
      </c>
      <c r="Z2017" s="1">
        <v>0</v>
      </c>
      <c r="AB2017" s="1" t="str">
        <f t="shared" si="1264"/>
        <v>SMU</v>
      </c>
      <c r="AI2017" s="1" t="str">
        <f>"106"</f>
        <v>106</v>
      </c>
      <c r="AJ2017" s="1" t="str">
        <f t="shared" si="1283"/>
        <v>MAN</v>
      </c>
      <c r="AK2017" s="1" t="str">
        <f t="shared" si="1279"/>
        <v>PA</v>
      </c>
      <c r="AP2017" s="1" t="str">
        <f t="shared" si="1280"/>
        <v>False</v>
      </c>
      <c r="AR2017" s="1" t="str">
        <f t="shared" si="1287"/>
        <v>GALAN</v>
      </c>
      <c r="AY2017" s="1" t="str">
        <f t="shared" si="1281"/>
        <v>PF</v>
      </c>
      <c r="AZ2017" s="1">
        <v>0</v>
      </c>
      <c r="BA2017" s="1">
        <v>0</v>
      </c>
      <c r="BB2017" s="1">
        <v>0</v>
      </c>
      <c r="BC2017" s="1">
        <v>0</v>
      </c>
      <c r="BD2017" s="1">
        <v>0</v>
      </c>
      <c r="BE2017" s="1" t="str">
        <f t="shared" si="1288"/>
        <v>LAN+TWILL CANVAS + SIN.LEATHER</v>
      </c>
      <c r="BF2017" s="1" t="str">
        <f t="shared" si="1282"/>
        <v>Bonis SpA</v>
      </c>
    </row>
    <row r="2018" spans="2:58" x14ac:dyDescent="0.25">
      <c r="B2018" s="1">
        <v>2536</v>
      </c>
      <c r="C2018" s="1" t="str">
        <f t="shared" si="1284"/>
        <v>GALAN4183S7/CY1</v>
      </c>
      <c r="E2018" s="1" t="str">
        <f>"43"</f>
        <v>43</v>
      </c>
      <c r="F2018" s="1" t="str">
        <f t="shared" si="1271"/>
        <v>BONIS SPA</v>
      </c>
      <c r="G2018" s="1" t="str">
        <f t="shared" si="1258"/>
        <v>STOCK SCAFFALE MP</v>
      </c>
      <c r="H2018" s="1" t="str">
        <f t="shared" si="1285"/>
        <v>WHI</v>
      </c>
      <c r="K2018" s="1">
        <v>2</v>
      </c>
      <c r="L2018" s="1" t="str">
        <f t="shared" si="1272"/>
        <v>01</v>
      </c>
      <c r="M2018" s="1" t="str">
        <f t="shared" si="1263"/>
        <v>409</v>
      </c>
      <c r="N2018" s="1" t="str">
        <f t="shared" si="1286"/>
        <v>006</v>
      </c>
      <c r="O2018" s="1" t="str">
        <f t="shared" si="1273"/>
        <v>00</v>
      </c>
      <c r="P2018" s="1" t="str">
        <f t="shared" si="1274"/>
        <v>S</v>
      </c>
      <c r="Q2018" s="1" t="str">
        <f t="shared" si="1275"/>
        <v>P</v>
      </c>
      <c r="R2018" s="1" t="str">
        <f t="shared" si="1276"/>
        <v>01</v>
      </c>
      <c r="S2018" s="1" t="str">
        <f t="shared" si="1259"/>
        <v>04</v>
      </c>
      <c r="T2018" s="1" t="str">
        <f t="shared" si="1277"/>
        <v>False</v>
      </c>
      <c r="U2018" s="1" t="str">
        <f t="shared" si="1278"/>
        <v>True</v>
      </c>
      <c r="V2018" s="1" t="str">
        <f>"U0032582"</f>
        <v>U0032582</v>
      </c>
      <c r="W2018" s="1">
        <v>1</v>
      </c>
      <c r="Y2018" s="1">
        <v>0</v>
      </c>
      <c r="Z2018" s="1">
        <v>0</v>
      </c>
      <c r="AB2018" s="1" t="str">
        <f t="shared" si="1264"/>
        <v>SMU</v>
      </c>
      <c r="AI2018" s="1" t="str">
        <f>"F11"</f>
        <v>F11</v>
      </c>
      <c r="AJ2018" s="1" t="str">
        <f t="shared" si="1283"/>
        <v>MAN</v>
      </c>
      <c r="AK2018" s="1" t="str">
        <f t="shared" si="1279"/>
        <v>PA</v>
      </c>
      <c r="AP2018" s="1" t="str">
        <f t="shared" si="1280"/>
        <v>False</v>
      </c>
      <c r="AR2018" s="1" t="str">
        <f t="shared" si="1287"/>
        <v>GALAN</v>
      </c>
      <c r="AY2018" s="1" t="str">
        <f t="shared" si="1281"/>
        <v>PF</v>
      </c>
      <c r="AZ2018" s="1">
        <v>0</v>
      </c>
      <c r="BA2018" s="1">
        <v>0</v>
      </c>
      <c r="BB2018" s="1">
        <v>0</v>
      </c>
      <c r="BC2018" s="1">
        <v>0</v>
      </c>
      <c r="BD2018" s="1">
        <v>0</v>
      </c>
      <c r="BE2018" s="1" t="str">
        <f t="shared" si="1288"/>
        <v>LAN+TWILL CANVAS + SIN.LEATHER</v>
      </c>
      <c r="BF2018" s="1" t="str">
        <f t="shared" si="1282"/>
        <v>Bonis SpA</v>
      </c>
    </row>
    <row r="2019" spans="2:58" x14ac:dyDescent="0.25">
      <c r="B2019" s="1">
        <v>2536</v>
      </c>
      <c r="C2019" s="1" t="str">
        <f t="shared" si="1284"/>
        <v>GALAN4183S7/CY1</v>
      </c>
      <c r="E2019" s="1" t="str">
        <f>"44"</f>
        <v>44</v>
      </c>
      <c r="F2019" s="1" t="str">
        <f t="shared" si="1271"/>
        <v>BONIS SPA</v>
      </c>
      <c r="G2019" s="1" t="str">
        <f t="shared" si="1258"/>
        <v>STOCK SCAFFALE MP</v>
      </c>
      <c r="H2019" s="1" t="str">
        <f t="shared" si="1285"/>
        <v>WHI</v>
      </c>
      <c r="K2019" s="1">
        <v>1</v>
      </c>
      <c r="L2019" s="1" t="str">
        <f t="shared" si="1272"/>
        <v>01</v>
      </c>
      <c r="M2019" s="1" t="str">
        <f t="shared" si="1263"/>
        <v>409</v>
      </c>
      <c r="N2019" s="1" t="str">
        <f t="shared" si="1286"/>
        <v>006</v>
      </c>
      <c r="O2019" s="1" t="str">
        <f t="shared" si="1273"/>
        <v>00</v>
      </c>
      <c r="P2019" s="1" t="str">
        <f t="shared" si="1274"/>
        <v>S</v>
      </c>
      <c r="Q2019" s="1" t="str">
        <f t="shared" si="1275"/>
        <v>P</v>
      </c>
      <c r="R2019" s="1" t="str">
        <f t="shared" si="1276"/>
        <v>01</v>
      </c>
      <c r="S2019" s="1" t="str">
        <f t="shared" si="1259"/>
        <v>04</v>
      </c>
      <c r="T2019" s="1" t="str">
        <f t="shared" si="1277"/>
        <v>False</v>
      </c>
      <c r="U2019" s="1" t="str">
        <f t="shared" si="1278"/>
        <v>True</v>
      </c>
      <c r="V2019" s="1" t="str">
        <f>"U0032582"</f>
        <v>U0032582</v>
      </c>
      <c r="W2019" s="1">
        <v>1</v>
      </c>
      <c r="Y2019" s="1">
        <v>0</v>
      </c>
      <c r="Z2019" s="1">
        <v>0</v>
      </c>
      <c r="AB2019" s="1" t="str">
        <f t="shared" si="1264"/>
        <v>SMU</v>
      </c>
      <c r="AI2019" s="1" t="str">
        <f t="shared" ref="AI2019:AI2025" si="1289">"106"</f>
        <v>106</v>
      </c>
      <c r="AJ2019" s="1" t="str">
        <f t="shared" si="1283"/>
        <v>MAN</v>
      </c>
      <c r="AK2019" s="1" t="str">
        <f t="shared" si="1279"/>
        <v>PA</v>
      </c>
      <c r="AP2019" s="1" t="str">
        <f t="shared" si="1280"/>
        <v>False</v>
      </c>
      <c r="AR2019" s="1" t="str">
        <f t="shared" si="1287"/>
        <v>GALAN</v>
      </c>
      <c r="AY2019" s="1" t="str">
        <f t="shared" si="1281"/>
        <v>PF</v>
      </c>
      <c r="AZ2019" s="1">
        <v>0</v>
      </c>
      <c r="BA2019" s="1">
        <v>0</v>
      </c>
      <c r="BB2019" s="1">
        <v>0</v>
      </c>
      <c r="BC2019" s="1">
        <v>0</v>
      </c>
      <c r="BD2019" s="1">
        <v>0</v>
      </c>
      <c r="BE2019" s="1" t="str">
        <f t="shared" si="1288"/>
        <v>LAN+TWILL CANVAS + SIN.LEATHER</v>
      </c>
      <c r="BF2019" s="1" t="str">
        <f t="shared" si="1282"/>
        <v>Bonis SpA</v>
      </c>
    </row>
    <row r="2020" spans="2:58" x14ac:dyDescent="0.25">
      <c r="B2020" s="1">
        <v>2536</v>
      </c>
      <c r="C2020" s="1" t="str">
        <f t="shared" si="1284"/>
        <v>GALAN4183S7/CY1</v>
      </c>
      <c r="E2020" s="1" t="str">
        <f>"44"</f>
        <v>44</v>
      </c>
      <c r="F2020" s="1" t="str">
        <f t="shared" si="1271"/>
        <v>BONIS SPA</v>
      </c>
      <c r="G2020" s="1" t="str">
        <f t="shared" si="1258"/>
        <v>STOCK SCAFFALE MP</v>
      </c>
      <c r="H2020" s="1" t="str">
        <f t="shared" si="1285"/>
        <v>WHI</v>
      </c>
      <c r="K2020" s="1">
        <v>1</v>
      </c>
      <c r="L2020" s="1" t="str">
        <f t="shared" si="1272"/>
        <v>01</v>
      </c>
      <c r="M2020" s="1" t="str">
        <f t="shared" si="1263"/>
        <v>409</v>
      </c>
      <c r="N2020" s="1" t="str">
        <f t="shared" si="1286"/>
        <v>006</v>
      </c>
      <c r="O2020" s="1" t="str">
        <f t="shared" si="1273"/>
        <v>00</v>
      </c>
      <c r="P2020" s="1" t="str">
        <f t="shared" si="1274"/>
        <v>S</v>
      </c>
      <c r="Q2020" s="1" t="str">
        <f t="shared" si="1275"/>
        <v>P</v>
      </c>
      <c r="R2020" s="1" t="str">
        <f t="shared" si="1276"/>
        <v>01</v>
      </c>
      <c r="S2020" s="1" t="str">
        <f t="shared" si="1259"/>
        <v>04</v>
      </c>
      <c r="T2020" s="1" t="str">
        <f t="shared" si="1277"/>
        <v>False</v>
      </c>
      <c r="U2020" s="1" t="str">
        <f t="shared" si="1278"/>
        <v>True</v>
      </c>
      <c r="V2020" s="1" t="str">
        <f>"U0032573"</f>
        <v>U0032573</v>
      </c>
      <c r="W2020" s="1">
        <v>1</v>
      </c>
      <c r="Y2020" s="1">
        <v>0</v>
      </c>
      <c r="Z2020" s="1">
        <v>0</v>
      </c>
      <c r="AB2020" s="1" t="str">
        <f t="shared" si="1264"/>
        <v>SMU</v>
      </c>
      <c r="AI2020" s="1" t="str">
        <f t="shared" si="1289"/>
        <v>106</v>
      </c>
      <c r="AJ2020" s="1" t="str">
        <f t="shared" si="1283"/>
        <v>MAN</v>
      </c>
      <c r="AK2020" s="1" t="str">
        <f t="shared" si="1279"/>
        <v>PA</v>
      </c>
      <c r="AP2020" s="1" t="str">
        <f t="shared" si="1280"/>
        <v>False</v>
      </c>
      <c r="AR2020" s="1" t="str">
        <f t="shared" si="1287"/>
        <v>GALAN</v>
      </c>
      <c r="AY2020" s="1" t="str">
        <f t="shared" si="1281"/>
        <v>PF</v>
      </c>
      <c r="AZ2020" s="1">
        <v>0</v>
      </c>
      <c r="BA2020" s="1">
        <v>0</v>
      </c>
      <c r="BB2020" s="1">
        <v>0</v>
      </c>
      <c r="BC2020" s="1">
        <v>0</v>
      </c>
      <c r="BD2020" s="1">
        <v>0</v>
      </c>
      <c r="BE2020" s="1" t="str">
        <f t="shared" si="1288"/>
        <v>LAN+TWILL CANVAS + SIN.LEATHER</v>
      </c>
      <c r="BF2020" s="1" t="str">
        <f t="shared" si="1282"/>
        <v>Bonis SpA</v>
      </c>
    </row>
    <row r="2021" spans="2:58" x14ac:dyDescent="0.25">
      <c r="B2021" s="1">
        <v>2536</v>
      </c>
      <c r="C2021" s="1" t="str">
        <f t="shared" si="1284"/>
        <v>GALAN4183S7/CY1</v>
      </c>
      <c r="E2021" s="1" t="str">
        <f>"45"</f>
        <v>45</v>
      </c>
      <c r="F2021" s="1" t="str">
        <f t="shared" si="1271"/>
        <v>BONIS SPA</v>
      </c>
      <c r="G2021" s="1" t="str">
        <f t="shared" si="1258"/>
        <v>STOCK SCAFFALE MP</v>
      </c>
      <c r="H2021" s="1" t="str">
        <f t="shared" si="1285"/>
        <v>WHI</v>
      </c>
      <c r="K2021" s="1">
        <v>2</v>
      </c>
      <c r="L2021" s="1" t="str">
        <f t="shared" si="1272"/>
        <v>01</v>
      </c>
      <c r="M2021" s="1" t="str">
        <f t="shared" si="1263"/>
        <v>409</v>
      </c>
      <c r="N2021" s="1" t="str">
        <f t="shared" si="1286"/>
        <v>006</v>
      </c>
      <c r="O2021" s="1" t="str">
        <f t="shared" si="1273"/>
        <v>00</v>
      </c>
      <c r="P2021" s="1" t="str">
        <f t="shared" si="1274"/>
        <v>S</v>
      </c>
      <c r="Q2021" s="1" t="str">
        <f t="shared" si="1275"/>
        <v>P</v>
      </c>
      <c r="R2021" s="1" t="str">
        <f t="shared" si="1276"/>
        <v>01</v>
      </c>
      <c r="S2021" s="1" t="str">
        <f t="shared" si="1259"/>
        <v>04</v>
      </c>
      <c r="T2021" s="1" t="str">
        <f t="shared" si="1277"/>
        <v>False</v>
      </c>
      <c r="U2021" s="1" t="str">
        <f t="shared" si="1278"/>
        <v>True</v>
      </c>
      <c r="V2021" s="1" t="str">
        <f>"U0032582"</f>
        <v>U0032582</v>
      </c>
      <c r="W2021" s="1">
        <v>1</v>
      </c>
      <c r="Y2021" s="1">
        <v>0</v>
      </c>
      <c r="Z2021" s="1">
        <v>0</v>
      </c>
      <c r="AB2021" s="1" t="str">
        <f t="shared" si="1264"/>
        <v>SMU</v>
      </c>
      <c r="AI2021" s="1" t="str">
        <f t="shared" si="1289"/>
        <v>106</v>
      </c>
      <c r="AJ2021" s="1" t="str">
        <f t="shared" si="1283"/>
        <v>MAN</v>
      </c>
      <c r="AK2021" s="1" t="str">
        <f t="shared" si="1279"/>
        <v>PA</v>
      </c>
      <c r="AP2021" s="1" t="str">
        <f t="shared" si="1280"/>
        <v>False</v>
      </c>
      <c r="AR2021" s="1" t="str">
        <f t="shared" si="1287"/>
        <v>GALAN</v>
      </c>
      <c r="AY2021" s="1" t="str">
        <f t="shared" si="1281"/>
        <v>PF</v>
      </c>
      <c r="AZ2021" s="1">
        <v>0</v>
      </c>
      <c r="BA2021" s="1">
        <v>0</v>
      </c>
      <c r="BB2021" s="1">
        <v>0</v>
      </c>
      <c r="BC2021" s="1">
        <v>0</v>
      </c>
      <c r="BD2021" s="1">
        <v>0</v>
      </c>
      <c r="BE2021" s="1" t="str">
        <f t="shared" si="1288"/>
        <v>LAN+TWILL CANVAS + SIN.LEATHER</v>
      </c>
      <c r="BF2021" s="1" t="str">
        <f t="shared" si="1282"/>
        <v>Bonis SpA</v>
      </c>
    </row>
    <row r="2022" spans="2:58" x14ac:dyDescent="0.25">
      <c r="B2022" s="1">
        <v>2536</v>
      </c>
      <c r="C2022" s="1" t="str">
        <f t="shared" si="1284"/>
        <v>GALAN4183S7/CY1</v>
      </c>
      <c r="E2022" s="1" t="str">
        <f>"40"</f>
        <v>40</v>
      </c>
      <c r="F2022" s="1" t="str">
        <f t="shared" si="1271"/>
        <v>BONIS SPA</v>
      </c>
      <c r="G2022" s="1" t="str">
        <f t="shared" si="1258"/>
        <v>STOCK SCAFFALE MP</v>
      </c>
      <c r="H2022" s="1" t="str">
        <f t="shared" ref="H2022:H2031" si="1290">"DKBL"</f>
        <v>DKBL</v>
      </c>
      <c r="K2022" s="1">
        <v>1</v>
      </c>
      <c r="L2022" s="1" t="str">
        <f t="shared" si="1272"/>
        <v>01</v>
      </c>
      <c r="M2022" s="1" t="str">
        <f t="shared" si="1263"/>
        <v>409</v>
      </c>
      <c r="N2022" s="1" t="str">
        <f t="shared" si="1286"/>
        <v>006</v>
      </c>
      <c r="O2022" s="1" t="str">
        <f t="shared" si="1273"/>
        <v>00</v>
      </c>
      <c r="P2022" s="1" t="str">
        <f t="shared" si="1274"/>
        <v>S</v>
      </c>
      <c r="Q2022" s="1" t="str">
        <f t="shared" si="1275"/>
        <v>P</v>
      </c>
      <c r="R2022" s="1" t="str">
        <f t="shared" si="1276"/>
        <v>01</v>
      </c>
      <c r="S2022" s="1" t="str">
        <f t="shared" si="1259"/>
        <v>04</v>
      </c>
      <c r="T2022" s="1" t="str">
        <f t="shared" si="1277"/>
        <v>False</v>
      </c>
      <c r="U2022" s="1" t="str">
        <f t="shared" si="1278"/>
        <v>True</v>
      </c>
      <c r="V2022" s="1" t="str">
        <f>"U0032585"</f>
        <v>U0032585</v>
      </c>
      <c r="W2022" s="1">
        <v>1</v>
      </c>
      <c r="Y2022" s="1">
        <v>0</v>
      </c>
      <c r="Z2022" s="1">
        <v>0</v>
      </c>
      <c r="AB2022" s="1" t="str">
        <f t="shared" si="1264"/>
        <v>SMU</v>
      </c>
      <c r="AI2022" s="1" t="str">
        <f t="shared" si="1289"/>
        <v>106</v>
      </c>
      <c r="AJ2022" s="1" t="str">
        <f t="shared" si="1283"/>
        <v>MAN</v>
      </c>
      <c r="AK2022" s="1" t="str">
        <f t="shared" si="1279"/>
        <v>PA</v>
      </c>
      <c r="AP2022" s="1" t="str">
        <f t="shared" si="1280"/>
        <v>False</v>
      </c>
      <c r="AR2022" s="1" t="str">
        <f t="shared" si="1287"/>
        <v>GALAN</v>
      </c>
      <c r="AY2022" s="1" t="str">
        <f t="shared" si="1281"/>
        <v>PF</v>
      </c>
      <c r="AZ2022" s="1">
        <v>0</v>
      </c>
      <c r="BA2022" s="1">
        <v>0</v>
      </c>
      <c r="BB2022" s="1">
        <v>0</v>
      </c>
      <c r="BC2022" s="1">
        <v>0</v>
      </c>
      <c r="BD2022" s="1">
        <v>0</v>
      </c>
      <c r="BE2022" s="1" t="str">
        <f t="shared" si="1288"/>
        <v>LAN+TWILL CANVAS + SIN.LEATHER</v>
      </c>
      <c r="BF2022" s="1" t="str">
        <f t="shared" si="1282"/>
        <v>Bonis SpA</v>
      </c>
    </row>
    <row r="2023" spans="2:58" x14ac:dyDescent="0.25">
      <c r="B2023" s="1">
        <v>2536</v>
      </c>
      <c r="C2023" s="1" t="str">
        <f t="shared" si="1284"/>
        <v>GALAN4183S7/CY1</v>
      </c>
      <c r="E2023" s="1" t="str">
        <f>"43"</f>
        <v>43</v>
      </c>
      <c r="F2023" s="1" t="str">
        <f t="shared" si="1271"/>
        <v>BONIS SPA</v>
      </c>
      <c r="G2023" s="1" t="str">
        <f t="shared" si="1258"/>
        <v>STOCK SCAFFALE MP</v>
      </c>
      <c r="H2023" s="1" t="str">
        <f t="shared" si="1290"/>
        <v>DKBL</v>
      </c>
      <c r="K2023" s="1">
        <v>3</v>
      </c>
      <c r="L2023" s="1" t="str">
        <f t="shared" si="1272"/>
        <v>01</v>
      </c>
      <c r="M2023" s="1" t="str">
        <f t="shared" si="1263"/>
        <v>409</v>
      </c>
      <c r="N2023" s="1" t="str">
        <f t="shared" si="1286"/>
        <v>006</v>
      </c>
      <c r="O2023" s="1" t="str">
        <f t="shared" si="1273"/>
        <v>00</v>
      </c>
      <c r="P2023" s="1" t="str">
        <f t="shared" si="1274"/>
        <v>S</v>
      </c>
      <c r="Q2023" s="1" t="str">
        <f t="shared" si="1275"/>
        <v>P</v>
      </c>
      <c r="R2023" s="1" t="str">
        <f t="shared" si="1276"/>
        <v>01</v>
      </c>
      <c r="S2023" s="1" t="str">
        <f t="shared" si="1259"/>
        <v>04</v>
      </c>
      <c r="T2023" s="1" t="str">
        <f t="shared" si="1277"/>
        <v>False</v>
      </c>
      <c r="U2023" s="1" t="str">
        <f t="shared" si="1278"/>
        <v>True</v>
      </c>
      <c r="V2023" s="1" t="str">
        <f>"U0032569"</f>
        <v>U0032569</v>
      </c>
      <c r="W2023" s="1">
        <v>1</v>
      </c>
      <c r="Y2023" s="1">
        <v>0</v>
      </c>
      <c r="Z2023" s="1">
        <v>0</v>
      </c>
      <c r="AB2023" s="1" t="str">
        <f t="shared" si="1264"/>
        <v>SMU</v>
      </c>
      <c r="AI2023" s="1" t="str">
        <f t="shared" si="1289"/>
        <v>106</v>
      </c>
      <c r="AJ2023" s="1" t="str">
        <f t="shared" si="1283"/>
        <v>MAN</v>
      </c>
      <c r="AK2023" s="1" t="str">
        <f t="shared" si="1279"/>
        <v>PA</v>
      </c>
      <c r="AP2023" s="1" t="str">
        <f t="shared" si="1280"/>
        <v>False</v>
      </c>
      <c r="AR2023" s="1" t="str">
        <f t="shared" si="1287"/>
        <v>GALAN</v>
      </c>
      <c r="AY2023" s="1" t="str">
        <f t="shared" si="1281"/>
        <v>PF</v>
      </c>
      <c r="AZ2023" s="1">
        <v>0</v>
      </c>
      <c r="BA2023" s="1">
        <v>0</v>
      </c>
      <c r="BB2023" s="1">
        <v>0</v>
      </c>
      <c r="BC2023" s="1">
        <v>0</v>
      </c>
      <c r="BD2023" s="1">
        <v>0</v>
      </c>
      <c r="BE2023" s="1" t="str">
        <f t="shared" si="1288"/>
        <v>LAN+TWILL CANVAS + SIN.LEATHER</v>
      </c>
      <c r="BF2023" s="1" t="str">
        <f t="shared" si="1282"/>
        <v>Bonis SpA</v>
      </c>
    </row>
    <row r="2024" spans="2:58" x14ac:dyDescent="0.25">
      <c r="B2024" s="1">
        <v>2536</v>
      </c>
      <c r="C2024" s="1" t="str">
        <f t="shared" si="1284"/>
        <v>GALAN4183S7/CY1</v>
      </c>
      <c r="E2024" s="1" t="str">
        <f>"44"</f>
        <v>44</v>
      </c>
      <c r="F2024" s="1" t="str">
        <f t="shared" si="1271"/>
        <v>BONIS SPA</v>
      </c>
      <c r="G2024" s="1" t="str">
        <f t="shared" si="1258"/>
        <v>STOCK SCAFFALE MP</v>
      </c>
      <c r="H2024" s="1" t="str">
        <f t="shared" si="1290"/>
        <v>DKBL</v>
      </c>
      <c r="K2024" s="1">
        <v>1</v>
      </c>
      <c r="L2024" s="1" t="str">
        <f t="shared" si="1272"/>
        <v>01</v>
      </c>
      <c r="M2024" s="1" t="str">
        <f t="shared" si="1263"/>
        <v>409</v>
      </c>
      <c r="N2024" s="1" t="str">
        <f t="shared" si="1286"/>
        <v>006</v>
      </c>
      <c r="O2024" s="1" t="str">
        <f t="shared" si="1273"/>
        <v>00</v>
      </c>
      <c r="P2024" s="1" t="str">
        <f t="shared" si="1274"/>
        <v>S</v>
      </c>
      <c r="Q2024" s="1" t="str">
        <f t="shared" si="1275"/>
        <v>P</v>
      </c>
      <c r="R2024" s="1" t="str">
        <f t="shared" si="1276"/>
        <v>01</v>
      </c>
      <c r="S2024" s="1" t="str">
        <f t="shared" si="1259"/>
        <v>04</v>
      </c>
      <c r="T2024" s="1" t="str">
        <f t="shared" si="1277"/>
        <v>False</v>
      </c>
      <c r="U2024" s="1" t="str">
        <f t="shared" si="1278"/>
        <v>True</v>
      </c>
      <c r="V2024" s="1" t="str">
        <f>"U0032568"</f>
        <v>U0032568</v>
      </c>
      <c r="W2024" s="1">
        <v>1</v>
      </c>
      <c r="Y2024" s="1">
        <v>0</v>
      </c>
      <c r="Z2024" s="1">
        <v>0</v>
      </c>
      <c r="AB2024" s="1" t="str">
        <f t="shared" si="1264"/>
        <v>SMU</v>
      </c>
      <c r="AI2024" s="1" t="str">
        <f t="shared" si="1289"/>
        <v>106</v>
      </c>
      <c r="AJ2024" s="1" t="str">
        <f t="shared" si="1283"/>
        <v>MAN</v>
      </c>
      <c r="AK2024" s="1" t="str">
        <f t="shared" si="1279"/>
        <v>PA</v>
      </c>
      <c r="AP2024" s="1" t="str">
        <f t="shared" si="1280"/>
        <v>False</v>
      </c>
      <c r="AR2024" s="1" t="str">
        <f t="shared" si="1287"/>
        <v>GALAN</v>
      </c>
      <c r="AY2024" s="1" t="str">
        <f t="shared" si="1281"/>
        <v>PF</v>
      </c>
      <c r="AZ2024" s="1">
        <v>0</v>
      </c>
      <c r="BA2024" s="1">
        <v>0</v>
      </c>
      <c r="BB2024" s="1">
        <v>0</v>
      </c>
      <c r="BC2024" s="1">
        <v>0</v>
      </c>
      <c r="BD2024" s="1">
        <v>0</v>
      </c>
      <c r="BE2024" s="1" t="str">
        <f t="shared" si="1288"/>
        <v>LAN+TWILL CANVAS + SIN.LEATHER</v>
      </c>
      <c r="BF2024" s="1" t="str">
        <f t="shared" si="1282"/>
        <v>Bonis SpA</v>
      </c>
    </row>
    <row r="2025" spans="2:58" x14ac:dyDescent="0.25">
      <c r="B2025" s="1">
        <v>2536</v>
      </c>
      <c r="C2025" s="1" t="str">
        <f t="shared" si="1284"/>
        <v>GALAN4183S7/CY1</v>
      </c>
      <c r="E2025" s="1" t="str">
        <f>"44"</f>
        <v>44</v>
      </c>
      <c r="F2025" s="1" t="str">
        <f t="shared" si="1271"/>
        <v>BONIS SPA</v>
      </c>
      <c r="G2025" s="1" t="str">
        <f t="shared" si="1258"/>
        <v>STOCK SCAFFALE MP</v>
      </c>
      <c r="H2025" s="1" t="str">
        <f t="shared" si="1290"/>
        <v>DKBL</v>
      </c>
      <c r="K2025" s="1">
        <v>1</v>
      </c>
      <c r="L2025" s="1" t="str">
        <f t="shared" si="1272"/>
        <v>01</v>
      </c>
      <c r="M2025" s="1" t="str">
        <f t="shared" si="1263"/>
        <v>409</v>
      </c>
      <c r="N2025" s="1" t="str">
        <f t="shared" si="1286"/>
        <v>006</v>
      </c>
      <c r="O2025" s="1" t="str">
        <f t="shared" si="1273"/>
        <v>00</v>
      </c>
      <c r="P2025" s="1" t="str">
        <f t="shared" si="1274"/>
        <v>S</v>
      </c>
      <c r="Q2025" s="1" t="str">
        <f t="shared" si="1275"/>
        <v>P</v>
      </c>
      <c r="R2025" s="1" t="str">
        <f t="shared" si="1276"/>
        <v>01</v>
      </c>
      <c r="S2025" s="1" t="str">
        <f t="shared" si="1259"/>
        <v>04</v>
      </c>
      <c r="T2025" s="1" t="str">
        <f t="shared" si="1277"/>
        <v>False</v>
      </c>
      <c r="U2025" s="1" t="str">
        <f t="shared" si="1278"/>
        <v>True</v>
      </c>
      <c r="V2025" s="1" t="str">
        <f>"U0032569"</f>
        <v>U0032569</v>
      </c>
      <c r="W2025" s="1">
        <v>1</v>
      </c>
      <c r="Y2025" s="1">
        <v>0</v>
      </c>
      <c r="Z2025" s="1">
        <v>0</v>
      </c>
      <c r="AB2025" s="1" t="str">
        <f t="shared" si="1264"/>
        <v>SMU</v>
      </c>
      <c r="AI2025" s="1" t="str">
        <f t="shared" si="1289"/>
        <v>106</v>
      </c>
      <c r="AJ2025" s="1" t="str">
        <f t="shared" si="1283"/>
        <v>MAN</v>
      </c>
      <c r="AK2025" s="1" t="str">
        <f t="shared" si="1279"/>
        <v>PA</v>
      </c>
      <c r="AP2025" s="1" t="str">
        <f t="shared" si="1280"/>
        <v>False</v>
      </c>
      <c r="AR2025" s="1" t="str">
        <f t="shared" si="1287"/>
        <v>GALAN</v>
      </c>
      <c r="AY2025" s="1" t="str">
        <f t="shared" si="1281"/>
        <v>PF</v>
      </c>
      <c r="AZ2025" s="1">
        <v>0</v>
      </c>
      <c r="BA2025" s="1">
        <v>0</v>
      </c>
      <c r="BB2025" s="1">
        <v>0</v>
      </c>
      <c r="BC2025" s="1">
        <v>0</v>
      </c>
      <c r="BD2025" s="1">
        <v>0</v>
      </c>
      <c r="BE2025" s="1" t="str">
        <f t="shared" si="1288"/>
        <v>LAN+TWILL CANVAS + SIN.LEATHER</v>
      </c>
      <c r="BF2025" s="1" t="str">
        <f t="shared" si="1282"/>
        <v>Bonis SpA</v>
      </c>
    </row>
    <row r="2026" spans="2:58" x14ac:dyDescent="0.25">
      <c r="B2026" s="1">
        <v>2536</v>
      </c>
      <c r="C2026" s="1" t="str">
        <f t="shared" si="1284"/>
        <v>GALAN4183S7/CY1</v>
      </c>
      <c r="E2026" s="1" t="str">
        <f>"40"</f>
        <v>40</v>
      </c>
      <c r="F2026" s="1" t="str">
        <f t="shared" si="1271"/>
        <v>BONIS SPA</v>
      </c>
      <c r="G2026" s="1" t="str">
        <f t="shared" si="1258"/>
        <v>STOCK SCAFFALE MP</v>
      </c>
      <c r="H2026" s="1" t="str">
        <f t="shared" si="1290"/>
        <v>DKBL</v>
      </c>
      <c r="K2026" s="1">
        <v>1</v>
      </c>
      <c r="L2026" s="1" t="str">
        <f t="shared" si="1272"/>
        <v>01</v>
      </c>
      <c r="M2026" s="1" t="str">
        <f t="shared" si="1263"/>
        <v>409</v>
      </c>
      <c r="N2026" s="1" t="str">
        <f t="shared" si="1286"/>
        <v>006</v>
      </c>
      <c r="O2026" s="1" t="str">
        <f t="shared" si="1273"/>
        <v>00</v>
      </c>
      <c r="P2026" s="1" t="str">
        <f t="shared" si="1274"/>
        <v>S</v>
      </c>
      <c r="Q2026" s="1" t="str">
        <f t="shared" si="1275"/>
        <v>P</v>
      </c>
      <c r="R2026" s="1" t="str">
        <f t="shared" si="1276"/>
        <v>01</v>
      </c>
      <c r="S2026" s="1" t="str">
        <f t="shared" si="1259"/>
        <v>04</v>
      </c>
      <c r="T2026" s="1" t="str">
        <f t="shared" si="1277"/>
        <v>False</v>
      </c>
      <c r="U2026" s="1" t="str">
        <f t="shared" si="1278"/>
        <v>True</v>
      </c>
      <c r="V2026" s="1" t="str">
        <f t="shared" ref="V2026:V2031" si="1291">"U0032587"</f>
        <v>U0032587</v>
      </c>
      <c r="W2026" s="1">
        <v>1</v>
      </c>
      <c r="Y2026" s="1">
        <v>0</v>
      </c>
      <c r="Z2026" s="1">
        <v>0</v>
      </c>
      <c r="AB2026" s="1" t="str">
        <f t="shared" si="1264"/>
        <v>SMU</v>
      </c>
      <c r="AI2026" s="1" t="str">
        <f t="shared" ref="AI2026:AI2061" si="1292">"F11"</f>
        <v>F11</v>
      </c>
      <c r="AJ2026" s="1" t="str">
        <f t="shared" si="1283"/>
        <v>MAN</v>
      </c>
      <c r="AK2026" s="1" t="str">
        <f t="shared" si="1279"/>
        <v>PA</v>
      </c>
      <c r="AP2026" s="1" t="str">
        <f t="shared" si="1280"/>
        <v>False</v>
      </c>
      <c r="AR2026" s="1" t="str">
        <f t="shared" si="1287"/>
        <v>GALAN</v>
      </c>
      <c r="AY2026" s="1" t="str">
        <f t="shared" si="1281"/>
        <v>PF</v>
      </c>
      <c r="AZ2026" s="1">
        <v>0</v>
      </c>
      <c r="BA2026" s="1">
        <v>0</v>
      </c>
      <c r="BB2026" s="1">
        <v>0</v>
      </c>
      <c r="BC2026" s="1">
        <v>0</v>
      </c>
      <c r="BD2026" s="1">
        <v>0</v>
      </c>
      <c r="BE2026" s="1" t="str">
        <f t="shared" si="1288"/>
        <v>LAN+TWILL CANVAS + SIN.LEATHER</v>
      </c>
      <c r="BF2026" s="1" t="str">
        <f t="shared" si="1282"/>
        <v>Bonis SpA</v>
      </c>
    </row>
    <row r="2027" spans="2:58" x14ac:dyDescent="0.25">
      <c r="B2027" s="1">
        <v>2536</v>
      </c>
      <c r="C2027" s="1" t="str">
        <f t="shared" si="1284"/>
        <v>GALAN4183S7/CY1</v>
      </c>
      <c r="E2027" s="1" t="str">
        <f>"41"</f>
        <v>41</v>
      </c>
      <c r="F2027" s="1" t="str">
        <f t="shared" si="1271"/>
        <v>BONIS SPA</v>
      </c>
      <c r="G2027" s="1" t="str">
        <f t="shared" si="1258"/>
        <v>STOCK SCAFFALE MP</v>
      </c>
      <c r="H2027" s="1" t="str">
        <f t="shared" si="1290"/>
        <v>DKBL</v>
      </c>
      <c r="K2027" s="1">
        <v>2</v>
      </c>
      <c r="L2027" s="1" t="str">
        <f t="shared" si="1272"/>
        <v>01</v>
      </c>
      <c r="M2027" s="1" t="str">
        <f t="shared" si="1263"/>
        <v>409</v>
      </c>
      <c r="N2027" s="1" t="str">
        <f t="shared" si="1286"/>
        <v>006</v>
      </c>
      <c r="O2027" s="1" t="str">
        <f t="shared" si="1273"/>
        <v>00</v>
      </c>
      <c r="P2027" s="1" t="str">
        <f t="shared" si="1274"/>
        <v>S</v>
      </c>
      <c r="Q2027" s="1" t="str">
        <f t="shared" si="1275"/>
        <v>P</v>
      </c>
      <c r="R2027" s="1" t="str">
        <f t="shared" si="1276"/>
        <v>01</v>
      </c>
      <c r="S2027" s="1" t="str">
        <f t="shared" si="1259"/>
        <v>04</v>
      </c>
      <c r="T2027" s="1" t="str">
        <f t="shared" si="1277"/>
        <v>False</v>
      </c>
      <c r="U2027" s="1" t="str">
        <f t="shared" si="1278"/>
        <v>True</v>
      </c>
      <c r="V2027" s="1" t="str">
        <f t="shared" si="1291"/>
        <v>U0032587</v>
      </c>
      <c r="W2027" s="1">
        <v>1</v>
      </c>
      <c r="Y2027" s="1">
        <v>0</v>
      </c>
      <c r="Z2027" s="1">
        <v>0</v>
      </c>
      <c r="AB2027" s="1" t="str">
        <f t="shared" si="1264"/>
        <v>SMU</v>
      </c>
      <c r="AI2027" s="1" t="str">
        <f t="shared" si="1292"/>
        <v>F11</v>
      </c>
      <c r="AJ2027" s="1" t="str">
        <f t="shared" si="1283"/>
        <v>MAN</v>
      </c>
      <c r="AK2027" s="1" t="str">
        <f t="shared" si="1279"/>
        <v>PA</v>
      </c>
      <c r="AP2027" s="1" t="str">
        <f t="shared" si="1280"/>
        <v>False</v>
      </c>
      <c r="AR2027" s="1" t="str">
        <f t="shared" si="1287"/>
        <v>GALAN</v>
      </c>
      <c r="AY2027" s="1" t="str">
        <f t="shared" si="1281"/>
        <v>PF</v>
      </c>
      <c r="AZ2027" s="1">
        <v>0</v>
      </c>
      <c r="BA2027" s="1">
        <v>0</v>
      </c>
      <c r="BB2027" s="1">
        <v>0</v>
      </c>
      <c r="BC2027" s="1">
        <v>0</v>
      </c>
      <c r="BD2027" s="1">
        <v>0</v>
      </c>
      <c r="BE2027" s="1" t="str">
        <f t="shared" si="1288"/>
        <v>LAN+TWILL CANVAS + SIN.LEATHER</v>
      </c>
      <c r="BF2027" s="1" t="str">
        <f t="shared" si="1282"/>
        <v>Bonis SpA</v>
      </c>
    </row>
    <row r="2028" spans="2:58" x14ac:dyDescent="0.25">
      <c r="B2028" s="1">
        <v>2536</v>
      </c>
      <c r="C2028" s="1" t="str">
        <f t="shared" si="1284"/>
        <v>GALAN4183S7/CY1</v>
      </c>
      <c r="E2028" s="1" t="str">
        <f>"42"</f>
        <v>42</v>
      </c>
      <c r="F2028" s="1" t="str">
        <f t="shared" si="1271"/>
        <v>BONIS SPA</v>
      </c>
      <c r="G2028" s="1" t="str">
        <f t="shared" si="1258"/>
        <v>STOCK SCAFFALE MP</v>
      </c>
      <c r="H2028" s="1" t="str">
        <f t="shared" si="1290"/>
        <v>DKBL</v>
      </c>
      <c r="K2028" s="1">
        <v>3</v>
      </c>
      <c r="L2028" s="1" t="str">
        <f t="shared" si="1272"/>
        <v>01</v>
      </c>
      <c r="M2028" s="1" t="str">
        <f t="shared" si="1263"/>
        <v>409</v>
      </c>
      <c r="N2028" s="1" t="str">
        <f t="shared" si="1286"/>
        <v>006</v>
      </c>
      <c r="O2028" s="1" t="str">
        <f t="shared" si="1273"/>
        <v>00</v>
      </c>
      <c r="P2028" s="1" t="str">
        <f t="shared" si="1274"/>
        <v>S</v>
      </c>
      <c r="Q2028" s="1" t="str">
        <f t="shared" si="1275"/>
        <v>P</v>
      </c>
      <c r="R2028" s="1" t="str">
        <f t="shared" si="1276"/>
        <v>01</v>
      </c>
      <c r="S2028" s="1" t="str">
        <f t="shared" si="1259"/>
        <v>04</v>
      </c>
      <c r="T2028" s="1" t="str">
        <f t="shared" si="1277"/>
        <v>False</v>
      </c>
      <c r="U2028" s="1" t="str">
        <f t="shared" si="1278"/>
        <v>True</v>
      </c>
      <c r="V2028" s="1" t="str">
        <f t="shared" si="1291"/>
        <v>U0032587</v>
      </c>
      <c r="W2028" s="1">
        <v>1</v>
      </c>
      <c r="Y2028" s="1">
        <v>0</v>
      </c>
      <c r="Z2028" s="1">
        <v>0</v>
      </c>
      <c r="AB2028" s="1" t="str">
        <f t="shared" si="1264"/>
        <v>SMU</v>
      </c>
      <c r="AI2028" s="1" t="str">
        <f t="shared" si="1292"/>
        <v>F11</v>
      </c>
      <c r="AJ2028" s="1" t="str">
        <f t="shared" si="1283"/>
        <v>MAN</v>
      </c>
      <c r="AK2028" s="1" t="str">
        <f t="shared" si="1279"/>
        <v>PA</v>
      </c>
      <c r="AP2028" s="1" t="str">
        <f t="shared" si="1280"/>
        <v>False</v>
      </c>
      <c r="AR2028" s="1" t="str">
        <f t="shared" si="1287"/>
        <v>GALAN</v>
      </c>
      <c r="AY2028" s="1" t="str">
        <f t="shared" si="1281"/>
        <v>PF</v>
      </c>
      <c r="AZ2028" s="1">
        <v>0</v>
      </c>
      <c r="BA2028" s="1">
        <v>0</v>
      </c>
      <c r="BB2028" s="1">
        <v>0</v>
      </c>
      <c r="BC2028" s="1">
        <v>0</v>
      </c>
      <c r="BD2028" s="1">
        <v>0</v>
      </c>
      <c r="BE2028" s="1" t="str">
        <f t="shared" si="1288"/>
        <v>LAN+TWILL CANVAS + SIN.LEATHER</v>
      </c>
      <c r="BF2028" s="1" t="str">
        <f t="shared" si="1282"/>
        <v>Bonis SpA</v>
      </c>
    </row>
    <row r="2029" spans="2:58" x14ac:dyDescent="0.25">
      <c r="B2029" s="1">
        <v>2536</v>
      </c>
      <c r="C2029" s="1" t="str">
        <f t="shared" si="1284"/>
        <v>GALAN4183S7/CY1</v>
      </c>
      <c r="E2029" s="1" t="str">
        <f>"43"</f>
        <v>43</v>
      </c>
      <c r="F2029" s="1" t="str">
        <f t="shared" si="1271"/>
        <v>BONIS SPA</v>
      </c>
      <c r="G2029" s="1" t="str">
        <f t="shared" si="1258"/>
        <v>STOCK SCAFFALE MP</v>
      </c>
      <c r="H2029" s="1" t="str">
        <f t="shared" si="1290"/>
        <v>DKBL</v>
      </c>
      <c r="K2029" s="1">
        <v>3</v>
      </c>
      <c r="L2029" s="1" t="str">
        <f t="shared" si="1272"/>
        <v>01</v>
      </c>
      <c r="M2029" s="1" t="str">
        <f t="shared" si="1263"/>
        <v>409</v>
      </c>
      <c r="N2029" s="1" t="str">
        <f t="shared" si="1286"/>
        <v>006</v>
      </c>
      <c r="O2029" s="1" t="str">
        <f t="shared" si="1273"/>
        <v>00</v>
      </c>
      <c r="P2029" s="1" t="str">
        <f t="shared" si="1274"/>
        <v>S</v>
      </c>
      <c r="Q2029" s="1" t="str">
        <f t="shared" si="1275"/>
        <v>P</v>
      </c>
      <c r="R2029" s="1" t="str">
        <f t="shared" si="1276"/>
        <v>01</v>
      </c>
      <c r="S2029" s="1" t="str">
        <f t="shared" si="1259"/>
        <v>04</v>
      </c>
      <c r="T2029" s="1" t="str">
        <f t="shared" si="1277"/>
        <v>False</v>
      </c>
      <c r="U2029" s="1" t="str">
        <f t="shared" si="1278"/>
        <v>True</v>
      </c>
      <c r="V2029" s="1" t="str">
        <f t="shared" si="1291"/>
        <v>U0032587</v>
      </c>
      <c r="W2029" s="1">
        <v>1</v>
      </c>
      <c r="Y2029" s="1">
        <v>0</v>
      </c>
      <c r="Z2029" s="1">
        <v>0</v>
      </c>
      <c r="AB2029" s="1" t="str">
        <f t="shared" si="1264"/>
        <v>SMU</v>
      </c>
      <c r="AI2029" s="1" t="str">
        <f t="shared" si="1292"/>
        <v>F11</v>
      </c>
      <c r="AJ2029" s="1" t="str">
        <f t="shared" si="1283"/>
        <v>MAN</v>
      </c>
      <c r="AK2029" s="1" t="str">
        <f t="shared" si="1279"/>
        <v>PA</v>
      </c>
      <c r="AP2029" s="1" t="str">
        <f t="shared" si="1280"/>
        <v>False</v>
      </c>
      <c r="AR2029" s="1" t="str">
        <f t="shared" si="1287"/>
        <v>GALAN</v>
      </c>
      <c r="AY2029" s="1" t="str">
        <f t="shared" si="1281"/>
        <v>PF</v>
      </c>
      <c r="AZ2029" s="1">
        <v>0</v>
      </c>
      <c r="BA2029" s="1">
        <v>0</v>
      </c>
      <c r="BB2029" s="1">
        <v>0</v>
      </c>
      <c r="BC2029" s="1">
        <v>0</v>
      </c>
      <c r="BD2029" s="1">
        <v>0</v>
      </c>
      <c r="BE2029" s="1" t="str">
        <f t="shared" si="1288"/>
        <v>LAN+TWILL CANVAS + SIN.LEATHER</v>
      </c>
      <c r="BF2029" s="1" t="str">
        <f t="shared" si="1282"/>
        <v>Bonis SpA</v>
      </c>
    </row>
    <row r="2030" spans="2:58" x14ac:dyDescent="0.25">
      <c r="B2030" s="1">
        <v>2536</v>
      </c>
      <c r="C2030" s="1" t="str">
        <f t="shared" si="1284"/>
        <v>GALAN4183S7/CY1</v>
      </c>
      <c r="E2030" s="1" t="str">
        <f>"44"</f>
        <v>44</v>
      </c>
      <c r="F2030" s="1" t="str">
        <f t="shared" si="1271"/>
        <v>BONIS SPA</v>
      </c>
      <c r="G2030" s="1" t="str">
        <f t="shared" si="1258"/>
        <v>STOCK SCAFFALE MP</v>
      </c>
      <c r="H2030" s="1" t="str">
        <f t="shared" si="1290"/>
        <v>DKBL</v>
      </c>
      <c r="K2030" s="1">
        <v>2</v>
      </c>
      <c r="L2030" s="1" t="str">
        <f t="shared" si="1272"/>
        <v>01</v>
      </c>
      <c r="M2030" s="1" t="str">
        <f t="shared" si="1263"/>
        <v>409</v>
      </c>
      <c r="N2030" s="1" t="str">
        <f t="shared" si="1286"/>
        <v>006</v>
      </c>
      <c r="O2030" s="1" t="str">
        <f t="shared" si="1273"/>
        <v>00</v>
      </c>
      <c r="P2030" s="1" t="str">
        <f t="shared" si="1274"/>
        <v>S</v>
      </c>
      <c r="Q2030" s="1" t="str">
        <f t="shared" si="1275"/>
        <v>P</v>
      </c>
      <c r="R2030" s="1" t="str">
        <f t="shared" si="1276"/>
        <v>01</v>
      </c>
      <c r="S2030" s="1" t="str">
        <f t="shared" si="1259"/>
        <v>04</v>
      </c>
      <c r="T2030" s="1" t="str">
        <f t="shared" si="1277"/>
        <v>False</v>
      </c>
      <c r="U2030" s="1" t="str">
        <f t="shared" si="1278"/>
        <v>True</v>
      </c>
      <c r="V2030" s="1" t="str">
        <f t="shared" si="1291"/>
        <v>U0032587</v>
      </c>
      <c r="W2030" s="1">
        <v>1</v>
      </c>
      <c r="Y2030" s="1">
        <v>0</v>
      </c>
      <c r="Z2030" s="1">
        <v>0</v>
      </c>
      <c r="AB2030" s="1" t="str">
        <f t="shared" si="1264"/>
        <v>SMU</v>
      </c>
      <c r="AI2030" s="1" t="str">
        <f t="shared" si="1292"/>
        <v>F11</v>
      </c>
      <c r="AJ2030" s="1" t="str">
        <f t="shared" si="1283"/>
        <v>MAN</v>
      </c>
      <c r="AK2030" s="1" t="str">
        <f t="shared" si="1279"/>
        <v>PA</v>
      </c>
      <c r="AP2030" s="1" t="str">
        <f t="shared" si="1280"/>
        <v>False</v>
      </c>
      <c r="AR2030" s="1" t="str">
        <f t="shared" si="1287"/>
        <v>GALAN</v>
      </c>
      <c r="AY2030" s="1" t="str">
        <f t="shared" si="1281"/>
        <v>PF</v>
      </c>
      <c r="AZ2030" s="1">
        <v>0</v>
      </c>
      <c r="BA2030" s="1">
        <v>0</v>
      </c>
      <c r="BB2030" s="1">
        <v>0</v>
      </c>
      <c r="BC2030" s="1">
        <v>0</v>
      </c>
      <c r="BD2030" s="1">
        <v>0</v>
      </c>
      <c r="BE2030" s="1" t="str">
        <f t="shared" si="1288"/>
        <v>LAN+TWILL CANVAS + SIN.LEATHER</v>
      </c>
      <c r="BF2030" s="1" t="str">
        <f t="shared" si="1282"/>
        <v>Bonis SpA</v>
      </c>
    </row>
    <row r="2031" spans="2:58" x14ac:dyDescent="0.25">
      <c r="B2031" s="1">
        <v>2536</v>
      </c>
      <c r="C2031" s="1" t="str">
        <f t="shared" si="1284"/>
        <v>GALAN4183S7/CY1</v>
      </c>
      <c r="E2031" s="1" t="str">
        <f>"45"</f>
        <v>45</v>
      </c>
      <c r="F2031" s="1" t="str">
        <f t="shared" si="1271"/>
        <v>BONIS SPA</v>
      </c>
      <c r="G2031" s="1" t="str">
        <f t="shared" si="1258"/>
        <v>STOCK SCAFFALE MP</v>
      </c>
      <c r="H2031" s="1" t="str">
        <f t="shared" si="1290"/>
        <v>DKBL</v>
      </c>
      <c r="K2031" s="1">
        <v>1</v>
      </c>
      <c r="L2031" s="1" t="str">
        <f t="shared" si="1272"/>
        <v>01</v>
      </c>
      <c r="M2031" s="1" t="str">
        <f t="shared" si="1263"/>
        <v>409</v>
      </c>
      <c r="N2031" s="1" t="str">
        <f t="shared" si="1286"/>
        <v>006</v>
      </c>
      <c r="O2031" s="1" t="str">
        <f t="shared" si="1273"/>
        <v>00</v>
      </c>
      <c r="P2031" s="1" t="str">
        <f t="shared" si="1274"/>
        <v>S</v>
      </c>
      <c r="Q2031" s="1" t="str">
        <f t="shared" si="1275"/>
        <v>P</v>
      </c>
      <c r="R2031" s="1" t="str">
        <f t="shared" si="1276"/>
        <v>01</v>
      </c>
      <c r="S2031" s="1" t="str">
        <f t="shared" si="1259"/>
        <v>04</v>
      </c>
      <c r="T2031" s="1" t="str">
        <f t="shared" si="1277"/>
        <v>False</v>
      </c>
      <c r="U2031" s="1" t="str">
        <f t="shared" si="1278"/>
        <v>True</v>
      </c>
      <c r="V2031" s="1" t="str">
        <f t="shared" si="1291"/>
        <v>U0032587</v>
      </c>
      <c r="W2031" s="1">
        <v>1</v>
      </c>
      <c r="Y2031" s="1">
        <v>0</v>
      </c>
      <c r="Z2031" s="1">
        <v>0</v>
      </c>
      <c r="AB2031" s="1" t="str">
        <f t="shared" si="1264"/>
        <v>SMU</v>
      </c>
      <c r="AI2031" s="1" t="str">
        <f t="shared" si="1292"/>
        <v>F11</v>
      </c>
      <c r="AJ2031" s="1" t="str">
        <f t="shared" si="1283"/>
        <v>MAN</v>
      </c>
      <c r="AK2031" s="1" t="str">
        <f t="shared" si="1279"/>
        <v>PA</v>
      </c>
      <c r="AP2031" s="1" t="str">
        <f t="shared" si="1280"/>
        <v>False</v>
      </c>
      <c r="AR2031" s="1" t="str">
        <f t="shared" si="1287"/>
        <v>GALAN</v>
      </c>
      <c r="AY2031" s="1" t="str">
        <f t="shared" si="1281"/>
        <v>PF</v>
      </c>
      <c r="AZ2031" s="1">
        <v>0</v>
      </c>
      <c r="BA2031" s="1">
        <v>0</v>
      </c>
      <c r="BB2031" s="1">
        <v>0</v>
      </c>
      <c r="BC2031" s="1">
        <v>0</v>
      </c>
      <c r="BD2031" s="1">
        <v>0</v>
      </c>
      <c r="BE2031" s="1" t="str">
        <f t="shared" si="1288"/>
        <v>LAN+TWILL CANVAS + SIN.LEATHER</v>
      </c>
      <c r="BF2031" s="1" t="str">
        <f t="shared" si="1282"/>
        <v>Bonis SpA</v>
      </c>
    </row>
    <row r="2032" spans="2:58" x14ac:dyDescent="0.25">
      <c r="B2032" s="1">
        <v>2536</v>
      </c>
      <c r="C2032" s="1" t="str">
        <f t="shared" ref="C2032:C2066" si="1293">"GALAN4182S7/CY1"</f>
        <v>GALAN4182S7/CY1</v>
      </c>
      <c r="E2032" s="1" t="str">
        <f>"40"</f>
        <v>40</v>
      </c>
      <c r="F2032" s="1" t="str">
        <f t="shared" si="1271"/>
        <v>BONIS SPA</v>
      </c>
      <c r="G2032" s="1" t="str">
        <f t="shared" ref="G2032:G2095" si="1294">"STOCK SCAFFALE MP"</f>
        <v>STOCK SCAFFALE MP</v>
      </c>
      <c r="H2032" s="1" t="str">
        <f t="shared" ref="H2032:H2041" si="1295">"RED"</f>
        <v>RED</v>
      </c>
      <c r="K2032" s="1">
        <v>1</v>
      </c>
      <c r="L2032" s="1" t="str">
        <f t="shared" si="1272"/>
        <v>01</v>
      </c>
      <c r="M2032" s="1" t="str">
        <f t="shared" si="1263"/>
        <v>409</v>
      </c>
      <c r="N2032" s="1" t="str">
        <f t="shared" si="1286"/>
        <v>006</v>
      </c>
      <c r="O2032" s="1" t="str">
        <f t="shared" si="1273"/>
        <v>00</v>
      </c>
      <c r="P2032" s="1" t="str">
        <f t="shared" si="1274"/>
        <v>S</v>
      </c>
      <c r="Q2032" s="1" t="str">
        <f t="shared" si="1275"/>
        <v>P</v>
      </c>
      <c r="R2032" s="1" t="str">
        <f t="shared" si="1276"/>
        <v>01</v>
      </c>
      <c r="S2032" s="1" t="str">
        <f t="shared" ref="S2032:S2095" si="1296">"04"</f>
        <v>04</v>
      </c>
      <c r="T2032" s="1" t="str">
        <f t="shared" si="1277"/>
        <v>False</v>
      </c>
      <c r="U2032" s="1" t="str">
        <f t="shared" si="1278"/>
        <v>True</v>
      </c>
      <c r="V2032" s="1" t="str">
        <f>"U0032578"</f>
        <v>U0032578</v>
      </c>
      <c r="W2032" s="1">
        <v>1</v>
      </c>
      <c r="Y2032" s="1">
        <v>0</v>
      </c>
      <c r="Z2032" s="1">
        <v>0</v>
      </c>
      <c r="AB2032" s="1" t="str">
        <f t="shared" si="1264"/>
        <v>SMU</v>
      </c>
      <c r="AI2032" s="1" t="str">
        <f t="shared" si="1292"/>
        <v>F11</v>
      </c>
      <c r="AJ2032" s="1" t="str">
        <f t="shared" si="1283"/>
        <v>MAN</v>
      </c>
      <c r="AK2032" s="1" t="str">
        <f t="shared" si="1279"/>
        <v>PA</v>
      </c>
      <c r="AP2032" s="1" t="str">
        <f t="shared" si="1280"/>
        <v>False</v>
      </c>
      <c r="AR2032" s="1" t="str">
        <f t="shared" si="1287"/>
        <v>GALAN</v>
      </c>
      <c r="AY2032" s="1" t="str">
        <f t="shared" si="1281"/>
        <v>PF</v>
      </c>
      <c r="AZ2032" s="1">
        <v>0</v>
      </c>
      <c r="BA2032" s="1">
        <v>0</v>
      </c>
      <c r="BB2032" s="1">
        <v>0</v>
      </c>
      <c r="BC2032" s="1">
        <v>0</v>
      </c>
      <c r="BD2032" s="1">
        <v>0</v>
      </c>
      <c r="BE2032" s="1" t="str">
        <f t="shared" si="1288"/>
        <v>LAN+TWILL CANVAS + SIN.LEATHER</v>
      </c>
      <c r="BF2032" s="1" t="str">
        <f t="shared" si="1282"/>
        <v>Bonis SpA</v>
      </c>
    </row>
    <row r="2033" spans="2:58" x14ac:dyDescent="0.25">
      <c r="B2033" s="1">
        <v>2536</v>
      </c>
      <c r="C2033" s="1" t="str">
        <f t="shared" si="1293"/>
        <v>GALAN4182S7/CY1</v>
      </c>
      <c r="E2033" s="1" t="str">
        <f>"41"</f>
        <v>41</v>
      </c>
      <c r="F2033" s="1" t="str">
        <f t="shared" si="1271"/>
        <v>BONIS SPA</v>
      </c>
      <c r="G2033" s="1" t="str">
        <f t="shared" si="1294"/>
        <v>STOCK SCAFFALE MP</v>
      </c>
      <c r="H2033" s="1" t="str">
        <f t="shared" si="1295"/>
        <v>RED</v>
      </c>
      <c r="K2033" s="1">
        <v>2</v>
      </c>
      <c r="L2033" s="1" t="str">
        <f t="shared" si="1272"/>
        <v>01</v>
      </c>
      <c r="M2033" s="1" t="str">
        <f t="shared" si="1263"/>
        <v>409</v>
      </c>
      <c r="N2033" s="1" t="str">
        <f t="shared" si="1286"/>
        <v>006</v>
      </c>
      <c r="O2033" s="1" t="str">
        <f t="shared" si="1273"/>
        <v>00</v>
      </c>
      <c r="P2033" s="1" t="str">
        <f t="shared" si="1274"/>
        <v>S</v>
      </c>
      <c r="Q2033" s="1" t="str">
        <f t="shared" si="1275"/>
        <v>P</v>
      </c>
      <c r="R2033" s="1" t="str">
        <f t="shared" si="1276"/>
        <v>01</v>
      </c>
      <c r="S2033" s="1" t="str">
        <f t="shared" si="1296"/>
        <v>04</v>
      </c>
      <c r="T2033" s="1" t="str">
        <f t="shared" si="1277"/>
        <v>False</v>
      </c>
      <c r="U2033" s="1" t="str">
        <f t="shared" si="1278"/>
        <v>True</v>
      </c>
      <c r="V2033" s="1" t="str">
        <f>"U0032578"</f>
        <v>U0032578</v>
      </c>
      <c r="W2033" s="1">
        <v>1</v>
      </c>
      <c r="Y2033" s="1">
        <v>0</v>
      </c>
      <c r="Z2033" s="1">
        <v>0</v>
      </c>
      <c r="AB2033" s="1" t="str">
        <f t="shared" si="1264"/>
        <v>SMU</v>
      </c>
      <c r="AI2033" s="1" t="str">
        <f t="shared" si="1292"/>
        <v>F11</v>
      </c>
      <c r="AJ2033" s="1" t="str">
        <f t="shared" si="1283"/>
        <v>MAN</v>
      </c>
      <c r="AK2033" s="1" t="str">
        <f t="shared" si="1279"/>
        <v>PA</v>
      </c>
      <c r="AP2033" s="1" t="str">
        <f t="shared" si="1280"/>
        <v>False</v>
      </c>
      <c r="AR2033" s="1" t="str">
        <f t="shared" si="1287"/>
        <v>GALAN</v>
      </c>
      <c r="AY2033" s="1" t="str">
        <f t="shared" si="1281"/>
        <v>PF</v>
      </c>
      <c r="AZ2033" s="1">
        <v>0</v>
      </c>
      <c r="BA2033" s="1">
        <v>0</v>
      </c>
      <c r="BB2033" s="1">
        <v>0</v>
      </c>
      <c r="BC2033" s="1">
        <v>0</v>
      </c>
      <c r="BD2033" s="1">
        <v>0</v>
      </c>
      <c r="BE2033" s="1" t="str">
        <f t="shared" si="1288"/>
        <v>LAN+TWILL CANVAS + SIN.LEATHER</v>
      </c>
      <c r="BF2033" s="1" t="str">
        <f t="shared" si="1282"/>
        <v>Bonis SpA</v>
      </c>
    </row>
    <row r="2034" spans="2:58" x14ac:dyDescent="0.25">
      <c r="B2034" s="1">
        <v>2536</v>
      </c>
      <c r="C2034" s="1" t="str">
        <f t="shared" si="1293"/>
        <v>GALAN4182S7/CY1</v>
      </c>
      <c r="E2034" s="1" t="str">
        <f>"42"</f>
        <v>42</v>
      </c>
      <c r="F2034" s="1" t="str">
        <f t="shared" si="1271"/>
        <v>BONIS SPA</v>
      </c>
      <c r="G2034" s="1" t="str">
        <f t="shared" si="1294"/>
        <v>STOCK SCAFFALE MP</v>
      </c>
      <c r="H2034" s="1" t="str">
        <f t="shared" si="1295"/>
        <v>RED</v>
      </c>
      <c r="K2034" s="1">
        <v>3</v>
      </c>
      <c r="L2034" s="1" t="str">
        <f t="shared" si="1272"/>
        <v>01</v>
      </c>
      <c r="M2034" s="1" t="str">
        <f t="shared" si="1263"/>
        <v>409</v>
      </c>
      <c r="N2034" s="1" t="str">
        <f t="shared" si="1286"/>
        <v>006</v>
      </c>
      <c r="O2034" s="1" t="str">
        <f t="shared" si="1273"/>
        <v>00</v>
      </c>
      <c r="P2034" s="1" t="str">
        <f t="shared" si="1274"/>
        <v>S</v>
      </c>
      <c r="Q2034" s="1" t="str">
        <f t="shared" si="1275"/>
        <v>P</v>
      </c>
      <c r="R2034" s="1" t="str">
        <f t="shared" si="1276"/>
        <v>01</v>
      </c>
      <c r="S2034" s="1" t="str">
        <f t="shared" si="1296"/>
        <v>04</v>
      </c>
      <c r="T2034" s="1" t="str">
        <f t="shared" si="1277"/>
        <v>False</v>
      </c>
      <c r="U2034" s="1" t="str">
        <f t="shared" si="1278"/>
        <v>True</v>
      </c>
      <c r="V2034" s="1" t="str">
        <f>"U0032578"</f>
        <v>U0032578</v>
      </c>
      <c r="W2034" s="1">
        <v>1</v>
      </c>
      <c r="Y2034" s="1">
        <v>0</v>
      </c>
      <c r="Z2034" s="1">
        <v>0</v>
      </c>
      <c r="AB2034" s="1" t="str">
        <f t="shared" si="1264"/>
        <v>SMU</v>
      </c>
      <c r="AI2034" s="1" t="str">
        <f t="shared" si="1292"/>
        <v>F11</v>
      </c>
      <c r="AJ2034" s="1" t="str">
        <f t="shared" si="1283"/>
        <v>MAN</v>
      </c>
      <c r="AK2034" s="1" t="str">
        <f t="shared" si="1279"/>
        <v>PA</v>
      </c>
      <c r="AP2034" s="1" t="str">
        <f t="shared" si="1280"/>
        <v>False</v>
      </c>
      <c r="AR2034" s="1" t="str">
        <f t="shared" si="1287"/>
        <v>GALAN</v>
      </c>
      <c r="AY2034" s="1" t="str">
        <f t="shared" si="1281"/>
        <v>PF</v>
      </c>
      <c r="AZ2034" s="1">
        <v>0</v>
      </c>
      <c r="BA2034" s="1">
        <v>0</v>
      </c>
      <c r="BB2034" s="1">
        <v>0</v>
      </c>
      <c r="BC2034" s="1">
        <v>0</v>
      </c>
      <c r="BD2034" s="1">
        <v>0</v>
      </c>
      <c r="BE2034" s="1" t="str">
        <f t="shared" si="1288"/>
        <v>LAN+TWILL CANVAS + SIN.LEATHER</v>
      </c>
      <c r="BF2034" s="1" t="str">
        <f t="shared" si="1282"/>
        <v>Bonis SpA</v>
      </c>
    </row>
    <row r="2035" spans="2:58" x14ac:dyDescent="0.25">
      <c r="B2035" s="1">
        <v>2536</v>
      </c>
      <c r="C2035" s="1" t="str">
        <f t="shared" si="1293"/>
        <v>GALAN4182S7/CY1</v>
      </c>
      <c r="E2035" s="1" t="str">
        <f>"43"</f>
        <v>43</v>
      </c>
      <c r="F2035" s="1" t="str">
        <f t="shared" si="1271"/>
        <v>BONIS SPA</v>
      </c>
      <c r="G2035" s="1" t="str">
        <f t="shared" si="1294"/>
        <v>STOCK SCAFFALE MP</v>
      </c>
      <c r="H2035" s="1" t="str">
        <f t="shared" si="1295"/>
        <v>RED</v>
      </c>
      <c r="K2035" s="1">
        <v>3</v>
      </c>
      <c r="L2035" s="1" t="str">
        <f t="shared" si="1272"/>
        <v>01</v>
      </c>
      <c r="M2035" s="1" t="str">
        <f t="shared" si="1263"/>
        <v>409</v>
      </c>
      <c r="N2035" s="1" t="str">
        <f t="shared" si="1286"/>
        <v>006</v>
      </c>
      <c r="O2035" s="1" t="str">
        <f t="shared" si="1273"/>
        <v>00</v>
      </c>
      <c r="P2035" s="1" t="str">
        <f t="shared" si="1274"/>
        <v>S</v>
      </c>
      <c r="Q2035" s="1" t="str">
        <f t="shared" si="1275"/>
        <v>P</v>
      </c>
      <c r="R2035" s="1" t="str">
        <f t="shared" si="1276"/>
        <v>01</v>
      </c>
      <c r="S2035" s="1" t="str">
        <f t="shared" si="1296"/>
        <v>04</v>
      </c>
      <c r="T2035" s="1" t="str">
        <f t="shared" si="1277"/>
        <v>False</v>
      </c>
      <c r="U2035" s="1" t="str">
        <f t="shared" si="1278"/>
        <v>True</v>
      </c>
      <c r="V2035" s="1" t="str">
        <f>"U0032578"</f>
        <v>U0032578</v>
      </c>
      <c r="W2035" s="1">
        <v>1</v>
      </c>
      <c r="Y2035" s="1">
        <v>0</v>
      </c>
      <c r="Z2035" s="1">
        <v>0</v>
      </c>
      <c r="AB2035" s="1" t="str">
        <f t="shared" si="1264"/>
        <v>SMU</v>
      </c>
      <c r="AI2035" s="1" t="str">
        <f t="shared" si="1292"/>
        <v>F11</v>
      </c>
      <c r="AJ2035" s="1" t="str">
        <f t="shared" si="1283"/>
        <v>MAN</v>
      </c>
      <c r="AK2035" s="1" t="str">
        <f t="shared" si="1279"/>
        <v>PA</v>
      </c>
      <c r="AP2035" s="1" t="str">
        <f t="shared" si="1280"/>
        <v>False</v>
      </c>
      <c r="AR2035" s="1" t="str">
        <f t="shared" si="1287"/>
        <v>GALAN</v>
      </c>
      <c r="AY2035" s="1" t="str">
        <f t="shared" si="1281"/>
        <v>PF</v>
      </c>
      <c r="AZ2035" s="1">
        <v>0</v>
      </c>
      <c r="BA2035" s="1">
        <v>0</v>
      </c>
      <c r="BB2035" s="1">
        <v>0</v>
      </c>
      <c r="BC2035" s="1">
        <v>0</v>
      </c>
      <c r="BD2035" s="1">
        <v>0</v>
      </c>
      <c r="BE2035" s="1" t="str">
        <f t="shared" si="1288"/>
        <v>LAN+TWILL CANVAS + SIN.LEATHER</v>
      </c>
      <c r="BF2035" s="1" t="str">
        <f t="shared" si="1282"/>
        <v>Bonis SpA</v>
      </c>
    </row>
    <row r="2036" spans="2:58" x14ac:dyDescent="0.25">
      <c r="B2036" s="1">
        <v>2536</v>
      </c>
      <c r="C2036" s="1" t="str">
        <f t="shared" si="1293"/>
        <v>GALAN4182S7/CY1</v>
      </c>
      <c r="E2036" s="1" t="str">
        <f>"44"</f>
        <v>44</v>
      </c>
      <c r="F2036" s="1" t="str">
        <f t="shared" si="1271"/>
        <v>BONIS SPA</v>
      </c>
      <c r="G2036" s="1" t="str">
        <f t="shared" si="1294"/>
        <v>STOCK SCAFFALE MP</v>
      </c>
      <c r="H2036" s="1" t="str">
        <f t="shared" si="1295"/>
        <v>RED</v>
      </c>
      <c r="K2036" s="1">
        <v>2</v>
      </c>
      <c r="L2036" s="1" t="str">
        <f t="shared" si="1272"/>
        <v>01</v>
      </c>
      <c r="M2036" s="1" t="str">
        <f t="shared" si="1263"/>
        <v>409</v>
      </c>
      <c r="N2036" s="1" t="str">
        <f t="shared" si="1286"/>
        <v>006</v>
      </c>
      <c r="O2036" s="1" t="str">
        <f t="shared" si="1273"/>
        <v>00</v>
      </c>
      <c r="P2036" s="1" t="str">
        <f t="shared" si="1274"/>
        <v>S</v>
      </c>
      <c r="Q2036" s="1" t="str">
        <f t="shared" si="1275"/>
        <v>P</v>
      </c>
      <c r="R2036" s="1" t="str">
        <f t="shared" si="1276"/>
        <v>01</v>
      </c>
      <c r="S2036" s="1" t="str">
        <f t="shared" si="1296"/>
        <v>04</v>
      </c>
      <c r="T2036" s="1" t="str">
        <f t="shared" si="1277"/>
        <v>False</v>
      </c>
      <c r="U2036" s="1" t="str">
        <f t="shared" si="1278"/>
        <v>True</v>
      </c>
      <c r="V2036" s="1" t="str">
        <f>"U0032578"</f>
        <v>U0032578</v>
      </c>
      <c r="W2036" s="1">
        <v>1</v>
      </c>
      <c r="Y2036" s="1">
        <v>0</v>
      </c>
      <c r="Z2036" s="1">
        <v>0</v>
      </c>
      <c r="AB2036" s="1" t="str">
        <f t="shared" si="1264"/>
        <v>SMU</v>
      </c>
      <c r="AI2036" s="1" t="str">
        <f t="shared" si="1292"/>
        <v>F11</v>
      </c>
      <c r="AJ2036" s="1" t="str">
        <f t="shared" si="1283"/>
        <v>MAN</v>
      </c>
      <c r="AK2036" s="1" t="str">
        <f t="shared" si="1279"/>
        <v>PA</v>
      </c>
      <c r="AP2036" s="1" t="str">
        <f t="shared" si="1280"/>
        <v>False</v>
      </c>
      <c r="AR2036" s="1" t="str">
        <f t="shared" si="1287"/>
        <v>GALAN</v>
      </c>
      <c r="AY2036" s="1" t="str">
        <f t="shared" si="1281"/>
        <v>PF</v>
      </c>
      <c r="AZ2036" s="1">
        <v>0</v>
      </c>
      <c r="BA2036" s="1">
        <v>0</v>
      </c>
      <c r="BB2036" s="1">
        <v>0</v>
      </c>
      <c r="BC2036" s="1">
        <v>0</v>
      </c>
      <c r="BD2036" s="1">
        <v>0</v>
      </c>
      <c r="BE2036" s="1" t="str">
        <f t="shared" si="1288"/>
        <v>LAN+TWILL CANVAS + SIN.LEATHER</v>
      </c>
      <c r="BF2036" s="1" t="str">
        <f t="shared" si="1282"/>
        <v>Bonis SpA</v>
      </c>
    </row>
    <row r="2037" spans="2:58" x14ac:dyDescent="0.25">
      <c r="B2037" s="1">
        <v>2536</v>
      </c>
      <c r="C2037" s="1" t="str">
        <f t="shared" si="1293"/>
        <v>GALAN4182S7/CY1</v>
      </c>
      <c r="E2037" s="1" t="str">
        <f>"40"</f>
        <v>40</v>
      </c>
      <c r="F2037" s="1" t="str">
        <f t="shared" si="1271"/>
        <v>BONIS SPA</v>
      </c>
      <c r="G2037" s="1" t="str">
        <f t="shared" si="1294"/>
        <v>STOCK SCAFFALE MP</v>
      </c>
      <c r="H2037" s="1" t="str">
        <f t="shared" si="1295"/>
        <v>RED</v>
      </c>
      <c r="K2037" s="1">
        <v>1</v>
      </c>
      <c r="L2037" s="1" t="str">
        <f t="shared" si="1272"/>
        <v>01</v>
      </c>
      <c r="M2037" s="1" t="str">
        <f t="shared" si="1263"/>
        <v>409</v>
      </c>
      <c r="N2037" s="1" t="str">
        <f t="shared" si="1286"/>
        <v>006</v>
      </c>
      <c r="O2037" s="1" t="str">
        <f t="shared" si="1273"/>
        <v>00</v>
      </c>
      <c r="P2037" s="1" t="str">
        <f t="shared" si="1274"/>
        <v>S</v>
      </c>
      <c r="Q2037" s="1" t="str">
        <f t="shared" si="1275"/>
        <v>P</v>
      </c>
      <c r="R2037" s="1" t="str">
        <f t="shared" si="1276"/>
        <v>01</v>
      </c>
      <c r="S2037" s="1" t="str">
        <f t="shared" si="1296"/>
        <v>04</v>
      </c>
      <c r="T2037" s="1" t="str">
        <f t="shared" si="1277"/>
        <v>False</v>
      </c>
      <c r="U2037" s="1" t="str">
        <f t="shared" si="1278"/>
        <v>True</v>
      </c>
      <c r="V2037" s="1" t="str">
        <f>"U0032577"</f>
        <v>U0032577</v>
      </c>
      <c r="W2037" s="1">
        <v>1</v>
      </c>
      <c r="Y2037" s="1">
        <v>0</v>
      </c>
      <c r="Z2037" s="1">
        <v>0</v>
      </c>
      <c r="AB2037" s="1" t="str">
        <f t="shared" si="1264"/>
        <v>SMU</v>
      </c>
      <c r="AI2037" s="1" t="str">
        <f t="shared" si="1292"/>
        <v>F11</v>
      </c>
      <c r="AJ2037" s="1" t="str">
        <f t="shared" si="1283"/>
        <v>MAN</v>
      </c>
      <c r="AK2037" s="1" t="str">
        <f t="shared" si="1279"/>
        <v>PA</v>
      </c>
      <c r="AP2037" s="1" t="str">
        <f t="shared" si="1280"/>
        <v>False</v>
      </c>
      <c r="AR2037" s="1" t="str">
        <f t="shared" si="1287"/>
        <v>GALAN</v>
      </c>
      <c r="AY2037" s="1" t="str">
        <f t="shared" si="1281"/>
        <v>PF</v>
      </c>
      <c r="AZ2037" s="1">
        <v>0</v>
      </c>
      <c r="BA2037" s="1">
        <v>0</v>
      </c>
      <c r="BB2037" s="1">
        <v>0</v>
      </c>
      <c r="BC2037" s="1">
        <v>0</v>
      </c>
      <c r="BD2037" s="1">
        <v>0</v>
      </c>
      <c r="BE2037" s="1" t="str">
        <f t="shared" si="1288"/>
        <v>LAN+TWILL CANVAS + SIN.LEATHER</v>
      </c>
      <c r="BF2037" s="1" t="str">
        <f t="shared" si="1282"/>
        <v>Bonis SpA</v>
      </c>
    </row>
    <row r="2038" spans="2:58" x14ac:dyDescent="0.25">
      <c r="B2038" s="1">
        <v>2536</v>
      </c>
      <c r="C2038" s="1" t="str">
        <f t="shared" si="1293"/>
        <v>GALAN4182S7/CY1</v>
      </c>
      <c r="E2038" s="1" t="str">
        <f>"41"</f>
        <v>41</v>
      </c>
      <c r="F2038" s="1" t="str">
        <f t="shared" si="1271"/>
        <v>BONIS SPA</v>
      </c>
      <c r="G2038" s="1" t="str">
        <f t="shared" si="1294"/>
        <v>STOCK SCAFFALE MP</v>
      </c>
      <c r="H2038" s="1" t="str">
        <f t="shared" si="1295"/>
        <v>RED</v>
      </c>
      <c r="K2038" s="1">
        <v>2</v>
      </c>
      <c r="L2038" s="1" t="str">
        <f t="shared" si="1272"/>
        <v>01</v>
      </c>
      <c r="M2038" s="1" t="str">
        <f t="shared" ref="M2038:M2101" si="1297">"409"</f>
        <v>409</v>
      </c>
      <c r="N2038" s="1" t="str">
        <f t="shared" si="1286"/>
        <v>006</v>
      </c>
      <c r="O2038" s="1" t="str">
        <f t="shared" si="1273"/>
        <v>00</v>
      </c>
      <c r="P2038" s="1" t="str">
        <f t="shared" si="1274"/>
        <v>S</v>
      </c>
      <c r="Q2038" s="1" t="str">
        <f t="shared" si="1275"/>
        <v>P</v>
      </c>
      <c r="R2038" s="1" t="str">
        <f t="shared" si="1276"/>
        <v>01</v>
      </c>
      <c r="S2038" s="1" t="str">
        <f t="shared" si="1296"/>
        <v>04</v>
      </c>
      <c r="T2038" s="1" t="str">
        <f t="shared" si="1277"/>
        <v>False</v>
      </c>
      <c r="U2038" s="1" t="str">
        <f t="shared" si="1278"/>
        <v>True</v>
      </c>
      <c r="V2038" s="1" t="str">
        <f>"U0032577"</f>
        <v>U0032577</v>
      </c>
      <c r="W2038" s="1">
        <v>1</v>
      </c>
      <c r="Y2038" s="1">
        <v>0</v>
      </c>
      <c r="Z2038" s="1">
        <v>0</v>
      </c>
      <c r="AB2038" s="1" t="str">
        <f t="shared" ref="AB2038:AB2101" si="1298">"SMU"</f>
        <v>SMU</v>
      </c>
      <c r="AI2038" s="1" t="str">
        <f t="shared" si="1292"/>
        <v>F11</v>
      </c>
      <c r="AJ2038" s="1" t="str">
        <f t="shared" si="1283"/>
        <v>MAN</v>
      </c>
      <c r="AK2038" s="1" t="str">
        <f t="shared" si="1279"/>
        <v>PA</v>
      </c>
      <c r="AP2038" s="1" t="str">
        <f t="shared" si="1280"/>
        <v>False</v>
      </c>
      <c r="AR2038" s="1" t="str">
        <f t="shared" si="1287"/>
        <v>GALAN</v>
      </c>
      <c r="AY2038" s="1" t="str">
        <f t="shared" si="1281"/>
        <v>PF</v>
      </c>
      <c r="AZ2038" s="1">
        <v>0</v>
      </c>
      <c r="BA2038" s="1">
        <v>0</v>
      </c>
      <c r="BB2038" s="1">
        <v>0</v>
      </c>
      <c r="BC2038" s="1">
        <v>0</v>
      </c>
      <c r="BD2038" s="1">
        <v>0</v>
      </c>
      <c r="BE2038" s="1" t="str">
        <f t="shared" si="1288"/>
        <v>LAN+TWILL CANVAS + SIN.LEATHER</v>
      </c>
      <c r="BF2038" s="1" t="str">
        <f t="shared" si="1282"/>
        <v>Bonis SpA</v>
      </c>
    </row>
    <row r="2039" spans="2:58" x14ac:dyDescent="0.25">
      <c r="B2039" s="1">
        <v>2536</v>
      </c>
      <c r="C2039" s="1" t="str">
        <f t="shared" si="1293"/>
        <v>GALAN4182S7/CY1</v>
      </c>
      <c r="E2039" s="1" t="str">
        <f>"42"</f>
        <v>42</v>
      </c>
      <c r="F2039" s="1" t="str">
        <f t="shared" si="1271"/>
        <v>BONIS SPA</v>
      </c>
      <c r="G2039" s="1" t="str">
        <f t="shared" si="1294"/>
        <v>STOCK SCAFFALE MP</v>
      </c>
      <c r="H2039" s="1" t="str">
        <f t="shared" si="1295"/>
        <v>RED</v>
      </c>
      <c r="K2039" s="1">
        <v>3</v>
      </c>
      <c r="L2039" s="1" t="str">
        <f t="shared" si="1272"/>
        <v>01</v>
      </c>
      <c r="M2039" s="1" t="str">
        <f t="shared" si="1297"/>
        <v>409</v>
      </c>
      <c r="N2039" s="1" t="str">
        <f t="shared" si="1286"/>
        <v>006</v>
      </c>
      <c r="O2039" s="1" t="str">
        <f t="shared" si="1273"/>
        <v>00</v>
      </c>
      <c r="P2039" s="1" t="str">
        <f t="shared" si="1274"/>
        <v>S</v>
      </c>
      <c r="Q2039" s="1" t="str">
        <f t="shared" si="1275"/>
        <v>P</v>
      </c>
      <c r="R2039" s="1" t="str">
        <f t="shared" si="1276"/>
        <v>01</v>
      </c>
      <c r="S2039" s="1" t="str">
        <f t="shared" si="1296"/>
        <v>04</v>
      </c>
      <c r="T2039" s="1" t="str">
        <f t="shared" si="1277"/>
        <v>False</v>
      </c>
      <c r="U2039" s="1" t="str">
        <f t="shared" si="1278"/>
        <v>True</v>
      </c>
      <c r="V2039" s="1" t="str">
        <f>"U0032577"</f>
        <v>U0032577</v>
      </c>
      <c r="W2039" s="1">
        <v>1</v>
      </c>
      <c r="Y2039" s="1">
        <v>0</v>
      </c>
      <c r="Z2039" s="1">
        <v>0</v>
      </c>
      <c r="AB2039" s="1" t="str">
        <f t="shared" si="1298"/>
        <v>SMU</v>
      </c>
      <c r="AI2039" s="1" t="str">
        <f t="shared" si="1292"/>
        <v>F11</v>
      </c>
      <c r="AJ2039" s="1" t="str">
        <f t="shared" si="1283"/>
        <v>MAN</v>
      </c>
      <c r="AK2039" s="1" t="str">
        <f t="shared" si="1279"/>
        <v>PA</v>
      </c>
      <c r="AP2039" s="1" t="str">
        <f t="shared" si="1280"/>
        <v>False</v>
      </c>
      <c r="AR2039" s="1" t="str">
        <f t="shared" si="1287"/>
        <v>GALAN</v>
      </c>
      <c r="AY2039" s="1" t="str">
        <f t="shared" si="1281"/>
        <v>PF</v>
      </c>
      <c r="AZ2039" s="1">
        <v>0</v>
      </c>
      <c r="BA2039" s="1">
        <v>0</v>
      </c>
      <c r="BB2039" s="1">
        <v>0</v>
      </c>
      <c r="BC2039" s="1">
        <v>0</v>
      </c>
      <c r="BD2039" s="1">
        <v>0</v>
      </c>
      <c r="BE2039" s="1" t="str">
        <f t="shared" si="1288"/>
        <v>LAN+TWILL CANVAS + SIN.LEATHER</v>
      </c>
      <c r="BF2039" s="1" t="str">
        <f t="shared" si="1282"/>
        <v>Bonis SpA</v>
      </c>
    </row>
    <row r="2040" spans="2:58" x14ac:dyDescent="0.25">
      <c r="B2040" s="1">
        <v>2536</v>
      </c>
      <c r="C2040" s="1" t="str">
        <f t="shared" si="1293"/>
        <v>GALAN4182S7/CY1</v>
      </c>
      <c r="E2040" s="1" t="str">
        <f>"43"</f>
        <v>43</v>
      </c>
      <c r="F2040" s="1" t="str">
        <f t="shared" si="1271"/>
        <v>BONIS SPA</v>
      </c>
      <c r="G2040" s="1" t="str">
        <f t="shared" si="1294"/>
        <v>STOCK SCAFFALE MP</v>
      </c>
      <c r="H2040" s="1" t="str">
        <f t="shared" si="1295"/>
        <v>RED</v>
      </c>
      <c r="K2040" s="1">
        <v>3</v>
      </c>
      <c r="L2040" s="1" t="str">
        <f t="shared" si="1272"/>
        <v>01</v>
      </c>
      <c r="M2040" s="1" t="str">
        <f t="shared" si="1297"/>
        <v>409</v>
      </c>
      <c r="N2040" s="1" t="str">
        <f t="shared" si="1286"/>
        <v>006</v>
      </c>
      <c r="O2040" s="1" t="str">
        <f t="shared" si="1273"/>
        <v>00</v>
      </c>
      <c r="P2040" s="1" t="str">
        <f t="shared" si="1274"/>
        <v>S</v>
      </c>
      <c r="Q2040" s="1" t="str">
        <f t="shared" si="1275"/>
        <v>P</v>
      </c>
      <c r="R2040" s="1" t="str">
        <f t="shared" si="1276"/>
        <v>01</v>
      </c>
      <c r="S2040" s="1" t="str">
        <f t="shared" si="1296"/>
        <v>04</v>
      </c>
      <c r="T2040" s="1" t="str">
        <f t="shared" si="1277"/>
        <v>False</v>
      </c>
      <c r="U2040" s="1" t="str">
        <f t="shared" si="1278"/>
        <v>True</v>
      </c>
      <c r="V2040" s="1" t="str">
        <f>"U0032577"</f>
        <v>U0032577</v>
      </c>
      <c r="W2040" s="1">
        <v>1</v>
      </c>
      <c r="Y2040" s="1">
        <v>0</v>
      </c>
      <c r="Z2040" s="1">
        <v>0</v>
      </c>
      <c r="AB2040" s="1" t="str">
        <f t="shared" si="1298"/>
        <v>SMU</v>
      </c>
      <c r="AI2040" s="1" t="str">
        <f t="shared" si="1292"/>
        <v>F11</v>
      </c>
      <c r="AJ2040" s="1" t="str">
        <f t="shared" si="1283"/>
        <v>MAN</v>
      </c>
      <c r="AK2040" s="1" t="str">
        <f t="shared" si="1279"/>
        <v>PA</v>
      </c>
      <c r="AP2040" s="1" t="str">
        <f t="shared" si="1280"/>
        <v>False</v>
      </c>
      <c r="AR2040" s="1" t="str">
        <f t="shared" si="1287"/>
        <v>GALAN</v>
      </c>
      <c r="AY2040" s="1" t="str">
        <f t="shared" si="1281"/>
        <v>PF</v>
      </c>
      <c r="AZ2040" s="1">
        <v>0</v>
      </c>
      <c r="BA2040" s="1">
        <v>0</v>
      </c>
      <c r="BB2040" s="1">
        <v>0</v>
      </c>
      <c r="BC2040" s="1">
        <v>0</v>
      </c>
      <c r="BD2040" s="1">
        <v>0</v>
      </c>
      <c r="BE2040" s="1" t="str">
        <f t="shared" si="1288"/>
        <v>LAN+TWILL CANVAS + SIN.LEATHER</v>
      </c>
      <c r="BF2040" s="1" t="str">
        <f t="shared" si="1282"/>
        <v>Bonis SpA</v>
      </c>
    </row>
    <row r="2041" spans="2:58" x14ac:dyDescent="0.25">
      <c r="B2041" s="1">
        <v>2536</v>
      </c>
      <c r="C2041" s="1" t="str">
        <f t="shared" si="1293"/>
        <v>GALAN4182S7/CY1</v>
      </c>
      <c r="E2041" s="1" t="str">
        <f>"44"</f>
        <v>44</v>
      </c>
      <c r="F2041" s="1" t="str">
        <f t="shared" si="1271"/>
        <v>BONIS SPA</v>
      </c>
      <c r="G2041" s="1" t="str">
        <f t="shared" si="1294"/>
        <v>STOCK SCAFFALE MP</v>
      </c>
      <c r="H2041" s="1" t="str">
        <f t="shared" si="1295"/>
        <v>RED</v>
      </c>
      <c r="K2041" s="1">
        <v>2</v>
      </c>
      <c r="L2041" s="1" t="str">
        <f t="shared" si="1272"/>
        <v>01</v>
      </c>
      <c r="M2041" s="1" t="str">
        <f t="shared" si="1297"/>
        <v>409</v>
      </c>
      <c r="N2041" s="1" t="str">
        <f t="shared" si="1286"/>
        <v>006</v>
      </c>
      <c r="O2041" s="1" t="str">
        <f t="shared" si="1273"/>
        <v>00</v>
      </c>
      <c r="P2041" s="1" t="str">
        <f t="shared" si="1274"/>
        <v>S</v>
      </c>
      <c r="Q2041" s="1" t="str">
        <f t="shared" si="1275"/>
        <v>P</v>
      </c>
      <c r="R2041" s="1" t="str">
        <f t="shared" si="1276"/>
        <v>01</v>
      </c>
      <c r="S2041" s="1" t="str">
        <f t="shared" si="1296"/>
        <v>04</v>
      </c>
      <c r="T2041" s="1" t="str">
        <f t="shared" si="1277"/>
        <v>False</v>
      </c>
      <c r="U2041" s="1" t="str">
        <f t="shared" si="1278"/>
        <v>True</v>
      </c>
      <c r="V2041" s="1" t="str">
        <f>"U0032577"</f>
        <v>U0032577</v>
      </c>
      <c r="W2041" s="1">
        <v>1</v>
      </c>
      <c r="Y2041" s="1">
        <v>0</v>
      </c>
      <c r="Z2041" s="1">
        <v>0</v>
      </c>
      <c r="AB2041" s="1" t="str">
        <f t="shared" si="1298"/>
        <v>SMU</v>
      </c>
      <c r="AI2041" s="1" t="str">
        <f t="shared" si="1292"/>
        <v>F11</v>
      </c>
      <c r="AJ2041" s="1" t="str">
        <f t="shared" ref="AJ2041:AJ2072" si="1299">"MAN"</f>
        <v>MAN</v>
      </c>
      <c r="AK2041" s="1" t="str">
        <f t="shared" si="1279"/>
        <v>PA</v>
      </c>
      <c r="AP2041" s="1" t="str">
        <f t="shared" si="1280"/>
        <v>False</v>
      </c>
      <c r="AR2041" s="1" t="str">
        <f t="shared" si="1287"/>
        <v>GALAN</v>
      </c>
      <c r="AY2041" s="1" t="str">
        <f t="shared" si="1281"/>
        <v>PF</v>
      </c>
      <c r="AZ2041" s="1">
        <v>0</v>
      </c>
      <c r="BA2041" s="1">
        <v>0</v>
      </c>
      <c r="BB2041" s="1">
        <v>0</v>
      </c>
      <c r="BC2041" s="1">
        <v>0</v>
      </c>
      <c r="BD2041" s="1">
        <v>0</v>
      </c>
      <c r="BE2041" s="1" t="str">
        <f t="shared" si="1288"/>
        <v>LAN+TWILL CANVAS + SIN.LEATHER</v>
      </c>
      <c r="BF2041" s="1" t="str">
        <f t="shared" si="1282"/>
        <v>Bonis SpA</v>
      </c>
    </row>
    <row r="2042" spans="2:58" x14ac:dyDescent="0.25">
      <c r="B2042" s="1">
        <v>2536</v>
      </c>
      <c r="C2042" s="1" t="str">
        <f t="shared" si="1293"/>
        <v>GALAN4182S7/CY1</v>
      </c>
      <c r="E2042" s="1" t="str">
        <f>"40"</f>
        <v>40</v>
      </c>
      <c r="F2042" s="1" t="str">
        <f t="shared" si="1271"/>
        <v>BONIS SPA</v>
      </c>
      <c r="G2042" s="1" t="str">
        <f t="shared" si="1294"/>
        <v>STOCK SCAFFALE MP</v>
      </c>
      <c r="H2042" s="1" t="str">
        <f t="shared" ref="H2042:H2061" si="1300">"DKBL"</f>
        <v>DKBL</v>
      </c>
      <c r="K2042" s="1">
        <v>1</v>
      </c>
      <c r="L2042" s="1" t="str">
        <f t="shared" si="1272"/>
        <v>01</v>
      </c>
      <c r="M2042" s="1" t="str">
        <f t="shared" si="1297"/>
        <v>409</v>
      </c>
      <c r="N2042" s="1" t="str">
        <f t="shared" ref="N2042:N2073" si="1301">"006"</f>
        <v>006</v>
      </c>
      <c r="O2042" s="1" t="str">
        <f t="shared" si="1273"/>
        <v>00</v>
      </c>
      <c r="P2042" s="1" t="str">
        <f t="shared" si="1274"/>
        <v>S</v>
      </c>
      <c r="Q2042" s="1" t="str">
        <f t="shared" si="1275"/>
        <v>P</v>
      </c>
      <c r="R2042" s="1" t="str">
        <f t="shared" si="1276"/>
        <v>01</v>
      </c>
      <c r="S2042" s="1" t="str">
        <f t="shared" si="1296"/>
        <v>04</v>
      </c>
      <c r="T2042" s="1" t="str">
        <f t="shared" si="1277"/>
        <v>False</v>
      </c>
      <c r="U2042" s="1" t="str">
        <f t="shared" si="1278"/>
        <v>True</v>
      </c>
      <c r="V2042" s="1" t="str">
        <f>"U0032576"</f>
        <v>U0032576</v>
      </c>
      <c r="W2042" s="1">
        <v>1</v>
      </c>
      <c r="Y2042" s="1">
        <v>0</v>
      </c>
      <c r="Z2042" s="1">
        <v>0</v>
      </c>
      <c r="AB2042" s="1" t="str">
        <f t="shared" si="1298"/>
        <v>SMU</v>
      </c>
      <c r="AI2042" s="1" t="str">
        <f t="shared" si="1292"/>
        <v>F11</v>
      </c>
      <c r="AJ2042" s="1" t="str">
        <f t="shared" si="1299"/>
        <v>MAN</v>
      </c>
      <c r="AK2042" s="1" t="str">
        <f t="shared" si="1279"/>
        <v>PA</v>
      </c>
      <c r="AP2042" s="1" t="str">
        <f t="shared" si="1280"/>
        <v>False</v>
      </c>
      <c r="AR2042" s="1" t="str">
        <f t="shared" ref="AR2042:AR2066" si="1302">"GALAN"</f>
        <v>GALAN</v>
      </c>
      <c r="AY2042" s="1" t="str">
        <f t="shared" si="1281"/>
        <v>PF</v>
      </c>
      <c r="AZ2042" s="1">
        <v>0</v>
      </c>
      <c r="BA2042" s="1">
        <v>0</v>
      </c>
      <c r="BB2042" s="1">
        <v>0</v>
      </c>
      <c r="BC2042" s="1">
        <v>0</v>
      </c>
      <c r="BD2042" s="1">
        <v>0</v>
      </c>
      <c r="BE2042" s="1" t="str">
        <f t="shared" ref="BE2042:BE2066" si="1303">"LAN+TWILL CANVAS + SIN.LEATHER"</f>
        <v>LAN+TWILL CANVAS + SIN.LEATHER</v>
      </c>
      <c r="BF2042" s="1" t="str">
        <f t="shared" si="1282"/>
        <v>Bonis SpA</v>
      </c>
    </row>
    <row r="2043" spans="2:58" x14ac:dyDescent="0.25">
      <c r="B2043" s="1">
        <v>2536</v>
      </c>
      <c r="C2043" s="1" t="str">
        <f t="shared" si="1293"/>
        <v>GALAN4182S7/CY1</v>
      </c>
      <c r="E2043" s="1" t="str">
        <f>"41"</f>
        <v>41</v>
      </c>
      <c r="F2043" s="1" t="str">
        <f t="shared" si="1271"/>
        <v>BONIS SPA</v>
      </c>
      <c r="G2043" s="1" t="str">
        <f t="shared" si="1294"/>
        <v>STOCK SCAFFALE MP</v>
      </c>
      <c r="H2043" s="1" t="str">
        <f t="shared" si="1300"/>
        <v>DKBL</v>
      </c>
      <c r="K2043" s="1">
        <v>1</v>
      </c>
      <c r="L2043" s="1" t="str">
        <f t="shared" si="1272"/>
        <v>01</v>
      </c>
      <c r="M2043" s="1" t="str">
        <f t="shared" si="1297"/>
        <v>409</v>
      </c>
      <c r="N2043" s="1" t="str">
        <f t="shared" si="1301"/>
        <v>006</v>
      </c>
      <c r="O2043" s="1" t="str">
        <f t="shared" si="1273"/>
        <v>00</v>
      </c>
      <c r="P2043" s="1" t="str">
        <f t="shared" si="1274"/>
        <v>S</v>
      </c>
      <c r="Q2043" s="1" t="str">
        <f t="shared" si="1275"/>
        <v>P</v>
      </c>
      <c r="R2043" s="1" t="str">
        <f t="shared" si="1276"/>
        <v>01</v>
      </c>
      <c r="S2043" s="1" t="str">
        <f t="shared" si="1296"/>
        <v>04</v>
      </c>
      <c r="T2043" s="1" t="str">
        <f t="shared" si="1277"/>
        <v>False</v>
      </c>
      <c r="U2043" s="1" t="str">
        <f t="shared" si="1278"/>
        <v>True</v>
      </c>
      <c r="V2043" s="1" t="str">
        <f>"U0032576"</f>
        <v>U0032576</v>
      </c>
      <c r="W2043" s="1">
        <v>1</v>
      </c>
      <c r="Y2043" s="1">
        <v>0</v>
      </c>
      <c r="Z2043" s="1">
        <v>0</v>
      </c>
      <c r="AB2043" s="1" t="str">
        <f t="shared" si="1298"/>
        <v>SMU</v>
      </c>
      <c r="AI2043" s="1" t="str">
        <f t="shared" si="1292"/>
        <v>F11</v>
      </c>
      <c r="AJ2043" s="1" t="str">
        <f t="shared" si="1299"/>
        <v>MAN</v>
      </c>
      <c r="AK2043" s="1" t="str">
        <f t="shared" si="1279"/>
        <v>PA</v>
      </c>
      <c r="AP2043" s="1" t="str">
        <f t="shared" si="1280"/>
        <v>False</v>
      </c>
      <c r="AR2043" s="1" t="str">
        <f t="shared" si="1302"/>
        <v>GALAN</v>
      </c>
      <c r="AY2043" s="1" t="str">
        <f t="shared" si="1281"/>
        <v>PF</v>
      </c>
      <c r="AZ2043" s="1">
        <v>0</v>
      </c>
      <c r="BA2043" s="1">
        <v>0</v>
      </c>
      <c r="BB2043" s="1">
        <v>0</v>
      </c>
      <c r="BC2043" s="1">
        <v>0</v>
      </c>
      <c r="BD2043" s="1">
        <v>0</v>
      </c>
      <c r="BE2043" s="1" t="str">
        <f t="shared" si="1303"/>
        <v>LAN+TWILL CANVAS + SIN.LEATHER</v>
      </c>
      <c r="BF2043" s="1" t="str">
        <f t="shared" si="1282"/>
        <v>Bonis SpA</v>
      </c>
    </row>
    <row r="2044" spans="2:58" x14ac:dyDescent="0.25">
      <c r="B2044" s="1">
        <v>2536</v>
      </c>
      <c r="C2044" s="1" t="str">
        <f t="shared" si="1293"/>
        <v>GALAN4182S7/CY1</v>
      </c>
      <c r="E2044" s="1" t="str">
        <f>"43"</f>
        <v>43</v>
      </c>
      <c r="F2044" s="1" t="str">
        <f t="shared" si="1271"/>
        <v>BONIS SPA</v>
      </c>
      <c r="G2044" s="1" t="str">
        <f t="shared" si="1294"/>
        <v>STOCK SCAFFALE MP</v>
      </c>
      <c r="H2044" s="1" t="str">
        <f t="shared" si="1300"/>
        <v>DKBL</v>
      </c>
      <c r="K2044" s="1">
        <v>3</v>
      </c>
      <c r="L2044" s="1" t="str">
        <f t="shared" si="1272"/>
        <v>01</v>
      </c>
      <c r="M2044" s="1" t="str">
        <f t="shared" si="1297"/>
        <v>409</v>
      </c>
      <c r="N2044" s="1" t="str">
        <f t="shared" si="1301"/>
        <v>006</v>
      </c>
      <c r="O2044" s="1" t="str">
        <f t="shared" si="1273"/>
        <v>00</v>
      </c>
      <c r="P2044" s="1" t="str">
        <f t="shared" si="1274"/>
        <v>S</v>
      </c>
      <c r="Q2044" s="1" t="str">
        <f t="shared" si="1275"/>
        <v>P</v>
      </c>
      <c r="R2044" s="1" t="str">
        <f t="shared" si="1276"/>
        <v>01</v>
      </c>
      <c r="S2044" s="1" t="str">
        <f t="shared" si="1296"/>
        <v>04</v>
      </c>
      <c r="T2044" s="1" t="str">
        <f t="shared" si="1277"/>
        <v>False</v>
      </c>
      <c r="U2044" s="1" t="str">
        <f t="shared" si="1278"/>
        <v>True</v>
      </c>
      <c r="V2044" s="1" t="str">
        <f>"U0032576"</f>
        <v>U0032576</v>
      </c>
      <c r="W2044" s="1">
        <v>1</v>
      </c>
      <c r="Y2044" s="1">
        <v>0</v>
      </c>
      <c r="Z2044" s="1">
        <v>0</v>
      </c>
      <c r="AB2044" s="1" t="str">
        <f t="shared" si="1298"/>
        <v>SMU</v>
      </c>
      <c r="AI2044" s="1" t="str">
        <f t="shared" si="1292"/>
        <v>F11</v>
      </c>
      <c r="AJ2044" s="1" t="str">
        <f t="shared" si="1299"/>
        <v>MAN</v>
      </c>
      <c r="AK2044" s="1" t="str">
        <f t="shared" si="1279"/>
        <v>PA</v>
      </c>
      <c r="AP2044" s="1" t="str">
        <f t="shared" si="1280"/>
        <v>False</v>
      </c>
      <c r="AR2044" s="1" t="str">
        <f t="shared" si="1302"/>
        <v>GALAN</v>
      </c>
      <c r="AY2044" s="1" t="str">
        <f t="shared" si="1281"/>
        <v>PF</v>
      </c>
      <c r="AZ2044" s="1">
        <v>0</v>
      </c>
      <c r="BA2044" s="1">
        <v>0</v>
      </c>
      <c r="BB2044" s="1">
        <v>0</v>
      </c>
      <c r="BC2044" s="1">
        <v>0</v>
      </c>
      <c r="BD2044" s="1">
        <v>0</v>
      </c>
      <c r="BE2044" s="1" t="str">
        <f t="shared" si="1303"/>
        <v>LAN+TWILL CANVAS + SIN.LEATHER</v>
      </c>
      <c r="BF2044" s="1" t="str">
        <f t="shared" si="1282"/>
        <v>Bonis SpA</v>
      </c>
    </row>
    <row r="2045" spans="2:58" x14ac:dyDescent="0.25">
      <c r="B2045" s="1">
        <v>2536</v>
      </c>
      <c r="C2045" s="1" t="str">
        <f t="shared" si="1293"/>
        <v>GALAN4182S7/CY1</v>
      </c>
      <c r="E2045" s="1" t="str">
        <f>"42"</f>
        <v>42</v>
      </c>
      <c r="F2045" s="1" t="str">
        <f t="shared" si="1271"/>
        <v>BONIS SPA</v>
      </c>
      <c r="G2045" s="1" t="str">
        <f t="shared" si="1294"/>
        <v>STOCK SCAFFALE MP</v>
      </c>
      <c r="H2045" s="1" t="str">
        <f t="shared" si="1300"/>
        <v>DKBL</v>
      </c>
      <c r="K2045" s="1">
        <v>1</v>
      </c>
      <c r="L2045" s="1" t="str">
        <f t="shared" si="1272"/>
        <v>01</v>
      </c>
      <c r="M2045" s="1" t="str">
        <f t="shared" si="1297"/>
        <v>409</v>
      </c>
      <c r="N2045" s="1" t="str">
        <f t="shared" si="1301"/>
        <v>006</v>
      </c>
      <c r="O2045" s="1" t="str">
        <f t="shared" si="1273"/>
        <v>00</v>
      </c>
      <c r="P2045" s="1" t="str">
        <f t="shared" si="1274"/>
        <v>S</v>
      </c>
      <c r="Q2045" s="1" t="str">
        <f t="shared" si="1275"/>
        <v>P</v>
      </c>
      <c r="R2045" s="1" t="str">
        <f t="shared" si="1276"/>
        <v>01</v>
      </c>
      <c r="S2045" s="1" t="str">
        <f t="shared" si="1296"/>
        <v>04</v>
      </c>
      <c r="T2045" s="1" t="str">
        <f t="shared" si="1277"/>
        <v>False</v>
      </c>
      <c r="U2045" s="1" t="str">
        <f t="shared" si="1278"/>
        <v>True</v>
      </c>
      <c r="V2045" s="1" t="str">
        <f>"U0032576"</f>
        <v>U0032576</v>
      </c>
      <c r="W2045" s="1">
        <v>1</v>
      </c>
      <c r="Y2045" s="1">
        <v>0</v>
      </c>
      <c r="Z2045" s="1">
        <v>0</v>
      </c>
      <c r="AB2045" s="1" t="str">
        <f t="shared" si="1298"/>
        <v>SMU</v>
      </c>
      <c r="AI2045" s="1" t="str">
        <f t="shared" si="1292"/>
        <v>F11</v>
      </c>
      <c r="AJ2045" s="1" t="str">
        <f t="shared" si="1299"/>
        <v>MAN</v>
      </c>
      <c r="AK2045" s="1" t="str">
        <f t="shared" si="1279"/>
        <v>PA</v>
      </c>
      <c r="AP2045" s="1" t="str">
        <f t="shared" si="1280"/>
        <v>False</v>
      </c>
      <c r="AR2045" s="1" t="str">
        <f t="shared" si="1302"/>
        <v>GALAN</v>
      </c>
      <c r="AY2045" s="1" t="str">
        <f t="shared" si="1281"/>
        <v>PF</v>
      </c>
      <c r="AZ2045" s="1">
        <v>0</v>
      </c>
      <c r="BA2045" s="1">
        <v>0</v>
      </c>
      <c r="BB2045" s="1">
        <v>0</v>
      </c>
      <c r="BC2045" s="1">
        <v>0</v>
      </c>
      <c r="BD2045" s="1">
        <v>0</v>
      </c>
      <c r="BE2045" s="1" t="str">
        <f t="shared" si="1303"/>
        <v>LAN+TWILL CANVAS + SIN.LEATHER</v>
      </c>
      <c r="BF2045" s="1" t="str">
        <f t="shared" si="1282"/>
        <v>Bonis SpA</v>
      </c>
    </row>
    <row r="2046" spans="2:58" x14ac:dyDescent="0.25">
      <c r="B2046" s="1">
        <v>2536</v>
      </c>
      <c r="C2046" s="1" t="str">
        <f t="shared" si="1293"/>
        <v>GALAN4182S7/CY1</v>
      </c>
      <c r="E2046" s="1" t="str">
        <f>"44"</f>
        <v>44</v>
      </c>
      <c r="F2046" s="1" t="str">
        <f t="shared" si="1271"/>
        <v>BONIS SPA</v>
      </c>
      <c r="G2046" s="1" t="str">
        <f t="shared" si="1294"/>
        <v>STOCK SCAFFALE MP</v>
      </c>
      <c r="H2046" s="1" t="str">
        <f t="shared" si="1300"/>
        <v>DKBL</v>
      </c>
      <c r="K2046" s="1">
        <v>2</v>
      </c>
      <c r="L2046" s="1" t="str">
        <f t="shared" si="1272"/>
        <v>01</v>
      </c>
      <c r="M2046" s="1" t="str">
        <f t="shared" si="1297"/>
        <v>409</v>
      </c>
      <c r="N2046" s="1" t="str">
        <f t="shared" si="1301"/>
        <v>006</v>
      </c>
      <c r="O2046" s="1" t="str">
        <f t="shared" si="1273"/>
        <v>00</v>
      </c>
      <c r="P2046" s="1" t="str">
        <f t="shared" si="1274"/>
        <v>S</v>
      </c>
      <c r="Q2046" s="1" t="str">
        <f t="shared" si="1275"/>
        <v>P</v>
      </c>
      <c r="R2046" s="1" t="str">
        <f t="shared" si="1276"/>
        <v>01</v>
      </c>
      <c r="S2046" s="1" t="str">
        <f t="shared" si="1296"/>
        <v>04</v>
      </c>
      <c r="T2046" s="1" t="str">
        <f t="shared" si="1277"/>
        <v>False</v>
      </c>
      <c r="U2046" s="1" t="str">
        <f t="shared" si="1278"/>
        <v>True</v>
      </c>
      <c r="V2046" s="1" t="str">
        <f>"U0032576"</f>
        <v>U0032576</v>
      </c>
      <c r="W2046" s="1">
        <v>1</v>
      </c>
      <c r="Y2046" s="1">
        <v>0</v>
      </c>
      <c r="Z2046" s="1">
        <v>0</v>
      </c>
      <c r="AB2046" s="1" t="str">
        <f t="shared" si="1298"/>
        <v>SMU</v>
      </c>
      <c r="AI2046" s="1" t="str">
        <f t="shared" si="1292"/>
        <v>F11</v>
      </c>
      <c r="AJ2046" s="1" t="str">
        <f t="shared" si="1299"/>
        <v>MAN</v>
      </c>
      <c r="AK2046" s="1" t="str">
        <f t="shared" si="1279"/>
        <v>PA</v>
      </c>
      <c r="AP2046" s="1" t="str">
        <f t="shared" si="1280"/>
        <v>False</v>
      </c>
      <c r="AR2046" s="1" t="str">
        <f t="shared" si="1302"/>
        <v>GALAN</v>
      </c>
      <c r="AY2046" s="1" t="str">
        <f t="shared" si="1281"/>
        <v>PF</v>
      </c>
      <c r="AZ2046" s="1">
        <v>0</v>
      </c>
      <c r="BA2046" s="1">
        <v>0</v>
      </c>
      <c r="BB2046" s="1">
        <v>0</v>
      </c>
      <c r="BC2046" s="1">
        <v>0</v>
      </c>
      <c r="BD2046" s="1">
        <v>0</v>
      </c>
      <c r="BE2046" s="1" t="str">
        <f t="shared" si="1303"/>
        <v>LAN+TWILL CANVAS + SIN.LEATHER</v>
      </c>
      <c r="BF2046" s="1" t="str">
        <f t="shared" si="1282"/>
        <v>Bonis SpA</v>
      </c>
    </row>
    <row r="2047" spans="2:58" x14ac:dyDescent="0.25">
      <c r="B2047" s="1">
        <v>2536</v>
      </c>
      <c r="C2047" s="1" t="str">
        <f t="shared" si="1293"/>
        <v>GALAN4182S7/CY1</v>
      </c>
      <c r="E2047" s="1" t="str">
        <f>"40"</f>
        <v>40</v>
      </c>
      <c r="F2047" s="1" t="str">
        <f t="shared" si="1271"/>
        <v>BONIS SPA</v>
      </c>
      <c r="G2047" s="1" t="str">
        <f t="shared" si="1294"/>
        <v>STOCK SCAFFALE MP</v>
      </c>
      <c r="H2047" s="1" t="str">
        <f t="shared" si="1300"/>
        <v>DKBL</v>
      </c>
      <c r="K2047" s="1">
        <v>1</v>
      </c>
      <c r="L2047" s="1" t="str">
        <f t="shared" si="1272"/>
        <v>01</v>
      </c>
      <c r="M2047" s="1" t="str">
        <f t="shared" si="1297"/>
        <v>409</v>
      </c>
      <c r="N2047" s="1" t="str">
        <f t="shared" si="1301"/>
        <v>006</v>
      </c>
      <c r="O2047" s="1" t="str">
        <f t="shared" si="1273"/>
        <v>00</v>
      </c>
      <c r="P2047" s="1" t="str">
        <f t="shared" si="1274"/>
        <v>S</v>
      </c>
      <c r="Q2047" s="1" t="str">
        <f t="shared" si="1275"/>
        <v>P</v>
      </c>
      <c r="R2047" s="1" t="str">
        <f t="shared" si="1276"/>
        <v>01</v>
      </c>
      <c r="S2047" s="1" t="str">
        <f t="shared" si="1296"/>
        <v>04</v>
      </c>
      <c r="T2047" s="1" t="str">
        <f t="shared" si="1277"/>
        <v>False</v>
      </c>
      <c r="U2047" s="1" t="str">
        <f t="shared" si="1278"/>
        <v>True</v>
      </c>
      <c r="V2047" s="1" t="str">
        <f>"U0032575"</f>
        <v>U0032575</v>
      </c>
      <c r="W2047" s="1">
        <v>1</v>
      </c>
      <c r="Y2047" s="1">
        <v>0</v>
      </c>
      <c r="Z2047" s="1">
        <v>0</v>
      </c>
      <c r="AB2047" s="1" t="str">
        <f t="shared" si="1298"/>
        <v>SMU</v>
      </c>
      <c r="AI2047" s="1" t="str">
        <f t="shared" si="1292"/>
        <v>F11</v>
      </c>
      <c r="AJ2047" s="1" t="str">
        <f t="shared" si="1299"/>
        <v>MAN</v>
      </c>
      <c r="AK2047" s="1" t="str">
        <f t="shared" si="1279"/>
        <v>PA</v>
      </c>
      <c r="AP2047" s="1" t="str">
        <f t="shared" si="1280"/>
        <v>False</v>
      </c>
      <c r="AR2047" s="1" t="str">
        <f t="shared" si="1302"/>
        <v>GALAN</v>
      </c>
      <c r="AY2047" s="1" t="str">
        <f t="shared" si="1281"/>
        <v>PF</v>
      </c>
      <c r="AZ2047" s="1">
        <v>0</v>
      </c>
      <c r="BA2047" s="1">
        <v>0</v>
      </c>
      <c r="BB2047" s="1">
        <v>0</v>
      </c>
      <c r="BC2047" s="1">
        <v>0</v>
      </c>
      <c r="BD2047" s="1">
        <v>0</v>
      </c>
      <c r="BE2047" s="1" t="str">
        <f t="shared" si="1303"/>
        <v>LAN+TWILL CANVAS + SIN.LEATHER</v>
      </c>
      <c r="BF2047" s="1" t="str">
        <f t="shared" si="1282"/>
        <v>Bonis SpA</v>
      </c>
    </row>
    <row r="2048" spans="2:58" x14ac:dyDescent="0.25">
      <c r="B2048" s="1">
        <v>2536</v>
      </c>
      <c r="C2048" s="1" t="str">
        <f t="shared" si="1293"/>
        <v>GALAN4182S7/CY1</v>
      </c>
      <c r="E2048" s="1" t="str">
        <f>"41"</f>
        <v>41</v>
      </c>
      <c r="F2048" s="1" t="str">
        <f t="shared" si="1271"/>
        <v>BONIS SPA</v>
      </c>
      <c r="G2048" s="1" t="str">
        <f t="shared" si="1294"/>
        <v>STOCK SCAFFALE MP</v>
      </c>
      <c r="H2048" s="1" t="str">
        <f t="shared" si="1300"/>
        <v>DKBL</v>
      </c>
      <c r="K2048" s="1">
        <v>2</v>
      </c>
      <c r="L2048" s="1" t="str">
        <f t="shared" si="1272"/>
        <v>01</v>
      </c>
      <c r="M2048" s="1" t="str">
        <f t="shared" si="1297"/>
        <v>409</v>
      </c>
      <c r="N2048" s="1" t="str">
        <f t="shared" si="1301"/>
        <v>006</v>
      </c>
      <c r="O2048" s="1" t="str">
        <f t="shared" si="1273"/>
        <v>00</v>
      </c>
      <c r="P2048" s="1" t="str">
        <f t="shared" si="1274"/>
        <v>S</v>
      </c>
      <c r="Q2048" s="1" t="str">
        <f t="shared" si="1275"/>
        <v>P</v>
      </c>
      <c r="R2048" s="1" t="str">
        <f t="shared" si="1276"/>
        <v>01</v>
      </c>
      <c r="S2048" s="1" t="str">
        <f t="shared" si="1296"/>
        <v>04</v>
      </c>
      <c r="T2048" s="1" t="str">
        <f t="shared" si="1277"/>
        <v>False</v>
      </c>
      <c r="U2048" s="1" t="str">
        <f t="shared" si="1278"/>
        <v>True</v>
      </c>
      <c r="V2048" s="1" t="str">
        <f>"U0032575"</f>
        <v>U0032575</v>
      </c>
      <c r="W2048" s="1">
        <v>1</v>
      </c>
      <c r="Y2048" s="1">
        <v>0</v>
      </c>
      <c r="Z2048" s="1">
        <v>0</v>
      </c>
      <c r="AB2048" s="1" t="str">
        <f t="shared" si="1298"/>
        <v>SMU</v>
      </c>
      <c r="AI2048" s="1" t="str">
        <f t="shared" si="1292"/>
        <v>F11</v>
      </c>
      <c r="AJ2048" s="1" t="str">
        <f t="shared" si="1299"/>
        <v>MAN</v>
      </c>
      <c r="AK2048" s="1" t="str">
        <f t="shared" si="1279"/>
        <v>PA</v>
      </c>
      <c r="AP2048" s="1" t="str">
        <f t="shared" si="1280"/>
        <v>False</v>
      </c>
      <c r="AR2048" s="1" t="str">
        <f t="shared" si="1302"/>
        <v>GALAN</v>
      </c>
      <c r="AY2048" s="1" t="str">
        <f t="shared" si="1281"/>
        <v>PF</v>
      </c>
      <c r="AZ2048" s="1">
        <v>0</v>
      </c>
      <c r="BA2048" s="1">
        <v>0</v>
      </c>
      <c r="BB2048" s="1">
        <v>0</v>
      </c>
      <c r="BC2048" s="1">
        <v>0</v>
      </c>
      <c r="BD2048" s="1">
        <v>0</v>
      </c>
      <c r="BE2048" s="1" t="str">
        <f t="shared" si="1303"/>
        <v>LAN+TWILL CANVAS + SIN.LEATHER</v>
      </c>
      <c r="BF2048" s="1" t="str">
        <f t="shared" si="1282"/>
        <v>Bonis SpA</v>
      </c>
    </row>
    <row r="2049" spans="2:58" x14ac:dyDescent="0.25">
      <c r="B2049" s="1">
        <v>2536</v>
      </c>
      <c r="C2049" s="1" t="str">
        <f t="shared" si="1293"/>
        <v>GALAN4182S7/CY1</v>
      </c>
      <c r="E2049" s="1" t="str">
        <f>"42"</f>
        <v>42</v>
      </c>
      <c r="F2049" s="1" t="str">
        <f t="shared" si="1271"/>
        <v>BONIS SPA</v>
      </c>
      <c r="G2049" s="1" t="str">
        <f t="shared" si="1294"/>
        <v>STOCK SCAFFALE MP</v>
      </c>
      <c r="H2049" s="1" t="str">
        <f t="shared" si="1300"/>
        <v>DKBL</v>
      </c>
      <c r="K2049" s="1">
        <v>3</v>
      </c>
      <c r="L2049" s="1" t="str">
        <f t="shared" si="1272"/>
        <v>01</v>
      </c>
      <c r="M2049" s="1" t="str">
        <f t="shared" si="1297"/>
        <v>409</v>
      </c>
      <c r="N2049" s="1" t="str">
        <f t="shared" si="1301"/>
        <v>006</v>
      </c>
      <c r="O2049" s="1" t="str">
        <f t="shared" si="1273"/>
        <v>00</v>
      </c>
      <c r="P2049" s="1" t="str">
        <f t="shared" si="1274"/>
        <v>S</v>
      </c>
      <c r="Q2049" s="1" t="str">
        <f t="shared" si="1275"/>
        <v>P</v>
      </c>
      <c r="R2049" s="1" t="str">
        <f t="shared" si="1276"/>
        <v>01</v>
      </c>
      <c r="S2049" s="1" t="str">
        <f t="shared" si="1296"/>
        <v>04</v>
      </c>
      <c r="T2049" s="1" t="str">
        <f t="shared" si="1277"/>
        <v>False</v>
      </c>
      <c r="U2049" s="1" t="str">
        <f t="shared" si="1278"/>
        <v>True</v>
      </c>
      <c r="V2049" s="1" t="str">
        <f>"U0032575"</f>
        <v>U0032575</v>
      </c>
      <c r="W2049" s="1">
        <v>1</v>
      </c>
      <c r="Y2049" s="1">
        <v>0</v>
      </c>
      <c r="Z2049" s="1">
        <v>0</v>
      </c>
      <c r="AB2049" s="1" t="str">
        <f t="shared" si="1298"/>
        <v>SMU</v>
      </c>
      <c r="AI2049" s="1" t="str">
        <f t="shared" si="1292"/>
        <v>F11</v>
      </c>
      <c r="AJ2049" s="1" t="str">
        <f t="shared" si="1299"/>
        <v>MAN</v>
      </c>
      <c r="AK2049" s="1" t="str">
        <f t="shared" si="1279"/>
        <v>PA</v>
      </c>
      <c r="AP2049" s="1" t="str">
        <f t="shared" si="1280"/>
        <v>False</v>
      </c>
      <c r="AR2049" s="1" t="str">
        <f t="shared" si="1302"/>
        <v>GALAN</v>
      </c>
      <c r="AY2049" s="1" t="str">
        <f t="shared" si="1281"/>
        <v>PF</v>
      </c>
      <c r="AZ2049" s="1">
        <v>0</v>
      </c>
      <c r="BA2049" s="1">
        <v>0</v>
      </c>
      <c r="BB2049" s="1">
        <v>0</v>
      </c>
      <c r="BC2049" s="1">
        <v>0</v>
      </c>
      <c r="BD2049" s="1">
        <v>0</v>
      </c>
      <c r="BE2049" s="1" t="str">
        <f t="shared" si="1303"/>
        <v>LAN+TWILL CANVAS + SIN.LEATHER</v>
      </c>
      <c r="BF2049" s="1" t="str">
        <f t="shared" si="1282"/>
        <v>Bonis SpA</v>
      </c>
    </row>
    <row r="2050" spans="2:58" x14ac:dyDescent="0.25">
      <c r="B2050" s="1">
        <v>2536</v>
      </c>
      <c r="C2050" s="1" t="str">
        <f t="shared" si="1293"/>
        <v>GALAN4182S7/CY1</v>
      </c>
      <c r="E2050" s="1" t="str">
        <f>"43"</f>
        <v>43</v>
      </c>
      <c r="F2050" s="1" t="str">
        <f t="shared" ref="F2050:F2113" si="1304">"BONIS SPA"</f>
        <v>BONIS SPA</v>
      </c>
      <c r="G2050" s="1" t="str">
        <f t="shared" si="1294"/>
        <v>STOCK SCAFFALE MP</v>
      </c>
      <c r="H2050" s="1" t="str">
        <f t="shared" si="1300"/>
        <v>DKBL</v>
      </c>
      <c r="K2050" s="1">
        <v>3</v>
      </c>
      <c r="L2050" s="1" t="str">
        <f t="shared" ref="L2050:L2113" si="1305">"01"</f>
        <v>01</v>
      </c>
      <c r="M2050" s="1" t="str">
        <f t="shared" si="1297"/>
        <v>409</v>
      </c>
      <c r="N2050" s="1" t="str">
        <f t="shared" si="1301"/>
        <v>006</v>
      </c>
      <c r="O2050" s="1" t="str">
        <f t="shared" ref="O2050:O2113" si="1306">"00"</f>
        <v>00</v>
      </c>
      <c r="P2050" s="1" t="str">
        <f t="shared" ref="P2050:P2113" si="1307">"S"</f>
        <v>S</v>
      </c>
      <c r="Q2050" s="1" t="str">
        <f t="shared" ref="Q2050:Q2113" si="1308">"P"</f>
        <v>P</v>
      </c>
      <c r="R2050" s="1" t="str">
        <f t="shared" ref="R2050:R2113" si="1309">"01"</f>
        <v>01</v>
      </c>
      <c r="S2050" s="1" t="str">
        <f t="shared" si="1296"/>
        <v>04</v>
      </c>
      <c r="T2050" s="1" t="str">
        <f t="shared" ref="T2050:T2113" si="1310">"False"</f>
        <v>False</v>
      </c>
      <c r="U2050" s="1" t="str">
        <f t="shared" ref="U2050:U2113" si="1311">"True"</f>
        <v>True</v>
      </c>
      <c r="V2050" s="1" t="str">
        <f>"U0032575"</f>
        <v>U0032575</v>
      </c>
      <c r="W2050" s="1">
        <v>1</v>
      </c>
      <c r="Y2050" s="1">
        <v>0</v>
      </c>
      <c r="Z2050" s="1">
        <v>0</v>
      </c>
      <c r="AB2050" s="1" t="str">
        <f t="shared" si="1298"/>
        <v>SMU</v>
      </c>
      <c r="AI2050" s="1" t="str">
        <f t="shared" si="1292"/>
        <v>F11</v>
      </c>
      <c r="AJ2050" s="1" t="str">
        <f t="shared" si="1299"/>
        <v>MAN</v>
      </c>
      <c r="AK2050" s="1" t="str">
        <f t="shared" ref="AK2050:AK2113" si="1312">"PA"</f>
        <v>PA</v>
      </c>
      <c r="AP2050" s="1" t="str">
        <f t="shared" ref="AP2050:AP2113" si="1313">"False"</f>
        <v>False</v>
      </c>
      <c r="AR2050" s="1" t="str">
        <f t="shared" si="1302"/>
        <v>GALAN</v>
      </c>
      <c r="AY2050" s="1" t="str">
        <f t="shared" ref="AY2050:AY2113" si="1314">"PF"</f>
        <v>PF</v>
      </c>
      <c r="AZ2050" s="1">
        <v>0</v>
      </c>
      <c r="BA2050" s="1">
        <v>0</v>
      </c>
      <c r="BB2050" s="1">
        <v>0</v>
      </c>
      <c r="BC2050" s="1">
        <v>0</v>
      </c>
      <c r="BD2050" s="1">
        <v>0</v>
      </c>
      <c r="BE2050" s="1" t="str">
        <f t="shared" si="1303"/>
        <v>LAN+TWILL CANVAS + SIN.LEATHER</v>
      </c>
      <c r="BF2050" s="1" t="str">
        <f t="shared" ref="BF2050:BF2113" si="1315">"Bonis SpA"</f>
        <v>Bonis SpA</v>
      </c>
    </row>
    <row r="2051" spans="2:58" x14ac:dyDescent="0.25">
      <c r="B2051" s="1">
        <v>2536</v>
      </c>
      <c r="C2051" s="1" t="str">
        <f t="shared" si="1293"/>
        <v>GALAN4182S7/CY1</v>
      </c>
      <c r="E2051" s="1" t="str">
        <f>"44"</f>
        <v>44</v>
      </c>
      <c r="F2051" s="1" t="str">
        <f t="shared" si="1304"/>
        <v>BONIS SPA</v>
      </c>
      <c r="G2051" s="1" t="str">
        <f t="shared" si="1294"/>
        <v>STOCK SCAFFALE MP</v>
      </c>
      <c r="H2051" s="1" t="str">
        <f t="shared" si="1300"/>
        <v>DKBL</v>
      </c>
      <c r="K2051" s="1">
        <v>2</v>
      </c>
      <c r="L2051" s="1" t="str">
        <f t="shared" si="1305"/>
        <v>01</v>
      </c>
      <c r="M2051" s="1" t="str">
        <f t="shared" si="1297"/>
        <v>409</v>
      </c>
      <c r="N2051" s="1" t="str">
        <f t="shared" si="1301"/>
        <v>006</v>
      </c>
      <c r="O2051" s="1" t="str">
        <f t="shared" si="1306"/>
        <v>00</v>
      </c>
      <c r="P2051" s="1" t="str">
        <f t="shared" si="1307"/>
        <v>S</v>
      </c>
      <c r="Q2051" s="1" t="str">
        <f t="shared" si="1308"/>
        <v>P</v>
      </c>
      <c r="R2051" s="1" t="str">
        <f t="shared" si="1309"/>
        <v>01</v>
      </c>
      <c r="S2051" s="1" t="str">
        <f t="shared" si="1296"/>
        <v>04</v>
      </c>
      <c r="T2051" s="1" t="str">
        <f t="shared" si="1310"/>
        <v>False</v>
      </c>
      <c r="U2051" s="1" t="str">
        <f t="shared" si="1311"/>
        <v>True</v>
      </c>
      <c r="V2051" s="1" t="str">
        <f>"U0032575"</f>
        <v>U0032575</v>
      </c>
      <c r="W2051" s="1">
        <v>1</v>
      </c>
      <c r="Y2051" s="1">
        <v>0</v>
      </c>
      <c r="Z2051" s="1">
        <v>0</v>
      </c>
      <c r="AB2051" s="1" t="str">
        <f t="shared" si="1298"/>
        <v>SMU</v>
      </c>
      <c r="AI2051" s="1" t="str">
        <f t="shared" si="1292"/>
        <v>F11</v>
      </c>
      <c r="AJ2051" s="1" t="str">
        <f t="shared" si="1299"/>
        <v>MAN</v>
      </c>
      <c r="AK2051" s="1" t="str">
        <f t="shared" si="1312"/>
        <v>PA</v>
      </c>
      <c r="AP2051" s="1" t="str">
        <f t="shared" si="1313"/>
        <v>False</v>
      </c>
      <c r="AR2051" s="1" t="str">
        <f t="shared" si="1302"/>
        <v>GALAN</v>
      </c>
      <c r="AY2051" s="1" t="str">
        <f t="shared" si="1314"/>
        <v>PF</v>
      </c>
      <c r="AZ2051" s="1">
        <v>0</v>
      </c>
      <c r="BA2051" s="1">
        <v>0</v>
      </c>
      <c r="BB2051" s="1">
        <v>0</v>
      </c>
      <c r="BC2051" s="1">
        <v>0</v>
      </c>
      <c r="BD2051" s="1">
        <v>0</v>
      </c>
      <c r="BE2051" s="1" t="str">
        <f t="shared" si="1303"/>
        <v>LAN+TWILL CANVAS + SIN.LEATHER</v>
      </c>
      <c r="BF2051" s="1" t="str">
        <f t="shared" si="1315"/>
        <v>Bonis SpA</v>
      </c>
    </row>
    <row r="2052" spans="2:58" x14ac:dyDescent="0.25">
      <c r="B2052" s="1">
        <v>2536</v>
      </c>
      <c r="C2052" s="1" t="str">
        <f t="shared" si="1293"/>
        <v>GALAN4182S7/CY1</v>
      </c>
      <c r="E2052" s="1" t="str">
        <f>"40"</f>
        <v>40</v>
      </c>
      <c r="F2052" s="1" t="str">
        <f t="shared" si="1304"/>
        <v>BONIS SPA</v>
      </c>
      <c r="G2052" s="1" t="str">
        <f t="shared" si="1294"/>
        <v>STOCK SCAFFALE MP</v>
      </c>
      <c r="H2052" s="1" t="str">
        <f t="shared" si="1300"/>
        <v>DKBL</v>
      </c>
      <c r="K2052" s="1">
        <v>1</v>
      </c>
      <c r="L2052" s="1" t="str">
        <f t="shared" si="1305"/>
        <v>01</v>
      </c>
      <c r="M2052" s="1" t="str">
        <f t="shared" si="1297"/>
        <v>409</v>
      </c>
      <c r="N2052" s="1" t="str">
        <f t="shared" si="1301"/>
        <v>006</v>
      </c>
      <c r="O2052" s="1" t="str">
        <f t="shared" si="1306"/>
        <v>00</v>
      </c>
      <c r="P2052" s="1" t="str">
        <f t="shared" si="1307"/>
        <v>S</v>
      </c>
      <c r="Q2052" s="1" t="str">
        <f t="shared" si="1308"/>
        <v>P</v>
      </c>
      <c r="R2052" s="1" t="str">
        <f t="shared" si="1309"/>
        <v>01</v>
      </c>
      <c r="S2052" s="1" t="str">
        <f t="shared" si="1296"/>
        <v>04</v>
      </c>
      <c r="T2052" s="1" t="str">
        <f t="shared" si="1310"/>
        <v>False</v>
      </c>
      <c r="U2052" s="1" t="str">
        <f t="shared" si="1311"/>
        <v>True</v>
      </c>
      <c r="V2052" s="1" t="str">
        <f>"U0032570"</f>
        <v>U0032570</v>
      </c>
      <c r="W2052" s="1">
        <v>1</v>
      </c>
      <c r="Y2052" s="1">
        <v>0</v>
      </c>
      <c r="Z2052" s="1">
        <v>0</v>
      </c>
      <c r="AB2052" s="1" t="str">
        <f t="shared" si="1298"/>
        <v>SMU</v>
      </c>
      <c r="AI2052" s="1" t="str">
        <f t="shared" si="1292"/>
        <v>F11</v>
      </c>
      <c r="AJ2052" s="1" t="str">
        <f t="shared" si="1299"/>
        <v>MAN</v>
      </c>
      <c r="AK2052" s="1" t="str">
        <f t="shared" si="1312"/>
        <v>PA</v>
      </c>
      <c r="AP2052" s="1" t="str">
        <f t="shared" si="1313"/>
        <v>False</v>
      </c>
      <c r="AR2052" s="1" t="str">
        <f t="shared" si="1302"/>
        <v>GALAN</v>
      </c>
      <c r="AY2052" s="1" t="str">
        <f t="shared" si="1314"/>
        <v>PF</v>
      </c>
      <c r="AZ2052" s="1">
        <v>0</v>
      </c>
      <c r="BA2052" s="1">
        <v>0</v>
      </c>
      <c r="BB2052" s="1">
        <v>0</v>
      </c>
      <c r="BC2052" s="1">
        <v>0</v>
      </c>
      <c r="BD2052" s="1">
        <v>0</v>
      </c>
      <c r="BE2052" s="1" t="str">
        <f t="shared" si="1303"/>
        <v>LAN+TWILL CANVAS + SIN.LEATHER</v>
      </c>
      <c r="BF2052" s="1" t="str">
        <f t="shared" si="1315"/>
        <v>Bonis SpA</v>
      </c>
    </row>
    <row r="2053" spans="2:58" x14ac:dyDescent="0.25">
      <c r="B2053" s="1">
        <v>2536</v>
      </c>
      <c r="C2053" s="1" t="str">
        <f t="shared" si="1293"/>
        <v>GALAN4182S7/CY1</v>
      </c>
      <c r="E2053" s="1" t="str">
        <f>"41"</f>
        <v>41</v>
      </c>
      <c r="F2053" s="1" t="str">
        <f t="shared" si="1304"/>
        <v>BONIS SPA</v>
      </c>
      <c r="G2053" s="1" t="str">
        <f t="shared" si="1294"/>
        <v>STOCK SCAFFALE MP</v>
      </c>
      <c r="H2053" s="1" t="str">
        <f t="shared" si="1300"/>
        <v>DKBL</v>
      </c>
      <c r="K2053" s="1">
        <v>2</v>
      </c>
      <c r="L2053" s="1" t="str">
        <f t="shared" si="1305"/>
        <v>01</v>
      </c>
      <c r="M2053" s="1" t="str">
        <f t="shared" si="1297"/>
        <v>409</v>
      </c>
      <c r="N2053" s="1" t="str">
        <f t="shared" si="1301"/>
        <v>006</v>
      </c>
      <c r="O2053" s="1" t="str">
        <f t="shared" si="1306"/>
        <v>00</v>
      </c>
      <c r="P2053" s="1" t="str">
        <f t="shared" si="1307"/>
        <v>S</v>
      </c>
      <c r="Q2053" s="1" t="str">
        <f t="shared" si="1308"/>
        <v>P</v>
      </c>
      <c r="R2053" s="1" t="str">
        <f t="shared" si="1309"/>
        <v>01</v>
      </c>
      <c r="S2053" s="1" t="str">
        <f t="shared" si="1296"/>
        <v>04</v>
      </c>
      <c r="T2053" s="1" t="str">
        <f t="shared" si="1310"/>
        <v>False</v>
      </c>
      <c r="U2053" s="1" t="str">
        <f t="shared" si="1311"/>
        <v>True</v>
      </c>
      <c r="V2053" s="1" t="str">
        <f>"U0032570"</f>
        <v>U0032570</v>
      </c>
      <c r="W2053" s="1">
        <v>1</v>
      </c>
      <c r="Y2053" s="1">
        <v>0</v>
      </c>
      <c r="Z2053" s="1">
        <v>0</v>
      </c>
      <c r="AB2053" s="1" t="str">
        <f t="shared" si="1298"/>
        <v>SMU</v>
      </c>
      <c r="AI2053" s="1" t="str">
        <f t="shared" si="1292"/>
        <v>F11</v>
      </c>
      <c r="AJ2053" s="1" t="str">
        <f t="shared" si="1299"/>
        <v>MAN</v>
      </c>
      <c r="AK2053" s="1" t="str">
        <f t="shared" si="1312"/>
        <v>PA</v>
      </c>
      <c r="AP2053" s="1" t="str">
        <f t="shared" si="1313"/>
        <v>False</v>
      </c>
      <c r="AR2053" s="1" t="str">
        <f t="shared" si="1302"/>
        <v>GALAN</v>
      </c>
      <c r="AY2053" s="1" t="str">
        <f t="shared" si="1314"/>
        <v>PF</v>
      </c>
      <c r="AZ2053" s="1">
        <v>0</v>
      </c>
      <c r="BA2053" s="1">
        <v>0</v>
      </c>
      <c r="BB2053" s="1">
        <v>0</v>
      </c>
      <c r="BC2053" s="1">
        <v>0</v>
      </c>
      <c r="BD2053" s="1">
        <v>0</v>
      </c>
      <c r="BE2053" s="1" t="str">
        <f t="shared" si="1303"/>
        <v>LAN+TWILL CANVAS + SIN.LEATHER</v>
      </c>
      <c r="BF2053" s="1" t="str">
        <f t="shared" si="1315"/>
        <v>Bonis SpA</v>
      </c>
    </row>
    <row r="2054" spans="2:58" x14ac:dyDescent="0.25">
      <c r="B2054" s="1">
        <v>2536</v>
      </c>
      <c r="C2054" s="1" t="str">
        <f t="shared" si="1293"/>
        <v>GALAN4182S7/CY1</v>
      </c>
      <c r="E2054" s="1" t="str">
        <f>"42"</f>
        <v>42</v>
      </c>
      <c r="F2054" s="1" t="str">
        <f t="shared" si="1304"/>
        <v>BONIS SPA</v>
      </c>
      <c r="G2054" s="1" t="str">
        <f t="shared" si="1294"/>
        <v>STOCK SCAFFALE MP</v>
      </c>
      <c r="H2054" s="1" t="str">
        <f t="shared" si="1300"/>
        <v>DKBL</v>
      </c>
      <c r="K2054" s="1">
        <v>3</v>
      </c>
      <c r="L2054" s="1" t="str">
        <f t="shared" si="1305"/>
        <v>01</v>
      </c>
      <c r="M2054" s="1" t="str">
        <f t="shared" si="1297"/>
        <v>409</v>
      </c>
      <c r="N2054" s="1" t="str">
        <f t="shared" si="1301"/>
        <v>006</v>
      </c>
      <c r="O2054" s="1" t="str">
        <f t="shared" si="1306"/>
        <v>00</v>
      </c>
      <c r="P2054" s="1" t="str">
        <f t="shared" si="1307"/>
        <v>S</v>
      </c>
      <c r="Q2054" s="1" t="str">
        <f t="shared" si="1308"/>
        <v>P</v>
      </c>
      <c r="R2054" s="1" t="str">
        <f t="shared" si="1309"/>
        <v>01</v>
      </c>
      <c r="S2054" s="1" t="str">
        <f t="shared" si="1296"/>
        <v>04</v>
      </c>
      <c r="T2054" s="1" t="str">
        <f t="shared" si="1310"/>
        <v>False</v>
      </c>
      <c r="U2054" s="1" t="str">
        <f t="shared" si="1311"/>
        <v>True</v>
      </c>
      <c r="V2054" s="1" t="str">
        <f>"U0032570"</f>
        <v>U0032570</v>
      </c>
      <c r="W2054" s="1">
        <v>1</v>
      </c>
      <c r="Y2054" s="1">
        <v>0</v>
      </c>
      <c r="Z2054" s="1">
        <v>0</v>
      </c>
      <c r="AB2054" s="1" t="str">
        <f t="shared" si="1298"/>
        <v>SMU</v>
      </c>
      <c r="AI2054" s="1" t="str">
        <f t="shared" si="1292"/>
        <v>F11</v>
      </c>
      <c r="AJ2054" s="1" t="str">
        <f t="shared" si="1299"/>
        <v>MAN</v>
      </c>
      <c r="AK2054" s="1" t="str">
        <f t="shared" si="1312"/>
        <v>PA</v>
      </c>
      <c r="AP2054" s="1" t="str">
        <f t="shared" si="1313"/>
        <v>False</v>
      </c>
      <c r="AR2054" s="1" t="str">
        <f t="shared" si="1302"/>
        <v>GALAN</v>
      </c>
      <c r="AY2054" s="1" t="str">
        <f t="shared" si="1314"/>
        <v>PF</v>
      </c>
      <c r="AZ2054" s="1">
        <v>0</v>
      </c>
      <c r="BA2054" s="1">
        <v>0</v>
      </c>
      <c r="BB2054" s="1">
        <v>0</v>
      </c>
      <c r="BC2054" s="1">
        <v>0</v>
      </c>
      <c r="BD2054" s="1">
        <v>0</v>
      </c>
      <c r="BE2054" s="1" t="str">
        <f t="shared" si="1303"/>
        <v>LAN+TWILL CANVAS + SIN.LEATHER</v>
      </c>
      <c r="BF2054" s="1" t="str">
        <f t="shared" si="1315"/>
        <v>Bonis SpA</v>
      </c>
    </row>
    <row r="2055" spans="2:58" x14ac:dyDescent="0.25">
      <c r="B2055" s="1">
        <v>2536</v>
      </c>
      <c r="C2055" s="1" t="str">
        <f t="shared" si="1293"/>
        <v>GALAN4182S7/CY1</v>
      </c>
      <c r="E2055" s="1" t="str">
        <f>"43"</f>
        <v>43</v>
      </c>
      <c r="F2055" s="1" t="str">
        <f t="shared" si="1304"/>
        <v>BONIS SPA</v>
      </c>
      <c r="G2055" s="1" t="str">
        <f t="shared" si="1294"/>
        <v>STOCK SCAFFALE MP</v>
      </c>
      <c r="H2055" s="1" t="str">
        <f t="shared" si="1300"/>
        <v>DKBL</v>
      </c>
      <c r="K2055" s="1">
        <v>3</v>
      </c>
      <c r="L2055" s="1" t="str">
        <f t="shared" si="1305"/>
        <v>01</v>
      </c>
      <c r="M2055" s="1" t="str">
        <f t="shared" si="1297"/>
        <v>409</v>
      </c>
      <c r="N2055" s="1" t="str">
        <f t="shared" si="1301"/>
        <v>006</v>
      </c>
      <c r="O2055" s="1" t="str">
        <f t="shared" si="1306"/>
        <v>00</v>
      </c>
      <c r="P2055" s="1" t="str">
        <f t="shared" si="1307"/>
        <v>S</v>
      </c>
      <c r="Q2055" s="1" t="str">
        <f t="shared" si="1308"/>
        <v>P</v>
      </c>
      <c r="R2055" s="1" t="str">
        <f t="shared" si="1309"/>
        <v>01</v>
      </c>
      <c r="S2055" s="1" t="str">
        <f t="shared" si="1296"/>
        <v>04</v>
      </c>
      <c r="T2055" s="1" t="str">
        <f t="shared" si="1310"/>
        <v>False</v>
      </c>
      <c r="U2055" s="1" t="str">
        <f t="shared" si="1311"/>
        <v>True</v>
      </c>
      <c r="V2055" s="1" t="str">
        <f>"U0032570"</f>
        <v>U0032570</v>
      </c>
      <c r="W2055" s="1">
        <v>1</v>
      </c>
      <c r="Y2055" s="1">
        <v>0</v>
      </c>
      <c r="Z2055" s="1">
        <v>0</v>
      </c>
      <c r="AB2055" s="1" t="str">
        <f t="shared" si="1298"/>
        <v>SMU</v>
      </c>
      <c r="AI2055" s="1" t="str">
        <f t="shared" si="1292"/>
        <v>F11</v>
      </c>
      <c r="AJ2055" s="1" t="str">
        <f t="shared" si="1299"/>
        <v>MAN</v>
      </c>
      <c r="AK2055" s="1" t="str">
        <f t="shared" si="1312"/>
        <v>PA</v>
      </c>
      <c r="AP2055" s="1" t="str">
        <f t="shared" si="1313"/>
        <v>False</v>
      </c>
      <c r="AR2055" s="1" t="str">
        <f t="shared" si="1302"/>
        <v>GALAN</v>
      </c>
      <c r="AY2055" s="1" t="str">
        <f t="shared" si="1314"/>
        <v>PF</v>
      </c>
      <c r="AZ2055" s="1">
        <v>0</v>
      </c>
      <c r="BA2055" s="1">
        <v>0</v>
      </c>
      <c r="BB2055" s="1">
        <v>0</v>
      </c>
      <c r="BC2055" s="1">
        <v>0</v>
      </c>
      <c r="BD2055" s="1">
        <v>0</v>
      </c>
      <c r="BE2055" s="1" t="str">
        <f t="shared" si="1303"/>
        <v>LAN+TWILL CANVAS + SIN.LEATHER</v>
      </c>
      <c r="BF2055" s="1" t="str">
        <f t="shared" si="1315"/>
        <v>Bonis SpA</v>
      </c>
    </row>
    <row r="2056" spans="2:58" x14ac:dyDescent="0.25">
      <c r="B2056" s="1">
        <v>2536</v>
      </c>
      <c r="C2056" s="1" t="str">
        <f t="shared" si="1293"/>
        <v>GALAN4182S7/CY1</v>
      </c>
      <c r="E2056" s="1" t="str">
        <f>"44"</f>
        <v>44</v>
      </c>
      <c r="F2056" s="1" t="str">
        <f t="shared" si="1304"/>
        <v>BONIS SPA</v>
      </c>
      <c r="G2056" s="1" t="str">
        <f t="shared" si="1294"/>
        <v>STOCK SCAFFALE MP</v>
      </c>
      <c r="H2056" s="1" t="str">
        <f t="shared" si="1300"/>
        <v>DKBL</v>
      </c>
      <c r="K2056" s="1">
        <v>2</v>
      </c>
      <c r="L2056" s="1" t="str">
        <f t="shared" si="1305"/>
        <v>01</v>
      </c>
      <c r="M2056" s="1" t="str">
        <f t="shared" si="1297"/>
        <v>409</v>
      </c>
      <c r="N2056" s="1" t="str">
        <f t="shared" si="1301"/>
        <v>006</v>
      </c>
      <c r="O2056" s="1" t="str">
        <f t="shared" si="1306"/>
        <v>00</v>
      </c>
      <c r="P2056" s="1" t="str">
        <f t="shared" si="1307"/>
        <v>S</v>
      </c>
      <c r="Q2056" s="1" t="str">
        <f t="shared" si="1308"/>
        <v>P</v>
      </c>
      <c r="R2056" s="1" t="str">
        <f t="shared" si="1309"/>
        <v>01</v>
      </c>
      <c r="S2056" s="1" t="str">
        <f t="shared" si="1296"/>
        <v>04</v>
      </c>
      <c r="T2056" s="1" t="str">
        <f t="shared" si="1310"/>
        <v>False</v>
      </c>
      <c r="U2056" s="1" t="str">
        <f t="shared" si="1311"/>
        <v>True</v>
      </c>
      <c r="V2056" s="1" t="str">
        <f>"U0032570"</f>
        <v>U0032570</v>
      </c>
      <c r="W2056" s="1">
        <v>1</v>
      </c>
      <c r="Y2056" s="1">
        <v>0</v>
      </c>
      <c r="Z2056" s="1">
        <v>0</v>
      </c>
      <c r="AB2056" s="1" t="str">
        <f t="shared" si="1298"/>
        <v>SMU</v>
      </c>
      <c r="AI2056" s="1" t="str">
        <f t="shared" si="1292"/>
        <v>F11</v>
      </c>
      <c r="AJ2056" s="1" t="str">
        <f t="shared" si="1299"/>
        <v>MAN</v>
      </c>
      <c r="AK2056" s="1" t="str">
        <f t="shared" si="1312"/>
        <v>PA</v>
      </c>
      <c r="AP2056" s="1" t="str">
        <f t="shared" si="1313"/>
        <v>False</v>
      </c>
      <c r="AR2056" s="1" t="str">
        <f t="shared" si="1302"/>
        <v>GALAN</v>
      </c>
      <c r="AY2056" s="1" t="str">
        <f t="shared" si="1314"/>
        <v>PF</v>
      </c>
      <c r="AZ2056" s="1">
        <v>0</v>
      </c>
      <c r="BA2056" s="1">
        <v>0</v>
      </c>
      <c r="BB2056" s="1">
        <v>0</v>
      </c>
      <c r="BC2056" s="1">
        <v>0</v>
      </c>
      <c r="BD2056" s="1">
        <v>0</v>
      </c>
      <c r="BE2056" s="1" t="str">
        <f t="shared" si="1303"/>
        <v>LAN+TWILL CANVAS + SIN.LEATHER</v>
      </c>
      <c r="BF2056" s="1" t="str">
        <f t="shared" si="1315"/>
        <v>Bonis SpA</v>
      </c>
    </row>
    <row r="2057" spans="2:58" x14ac:dyDescent="0.25">
      <c r="B2057" s="1">
        <v>2536</v>
      </c>
      <c r="C2057" s="1" t="str">
        <f t="shared" si="1293"/>
        <v>GALAN4182S7/CY1</v>
      </c>
      <c r="E2057" s="1" t="str">
        <f>"40"</f>
        <v>40</v>
      </c>
      <c r="F2057" s="1" t="str">
        <f t="shared" si="1304"/>
        <v>BONIS SPA</v>
      </c>
      <c r="G2057" s="1" t="str">
        <f t="shared" si="1294"/>
        <v>STOCK SCAFFALE MP</v>
      </c>
      <c r="H2057" s="1" t="str">
        <f t="shared" si="1300"/>
        <v>DKBL</v>
      </c>
      <c r="K2057" s="1">
        <v>1</v>
      </c>
      <c r="L2057" s="1" t="str">
        <f t="shared" si="1305"/>
        <v>01</v>
      </c>
      <c r="M2057" s="1" t="str">
        <f t="shared" si="1297"/>
        <v>409</v>
      </c>
      <c r="N2057" s="1" t="str">
        <f t="shared" si="1301"/>
        <v>006</v>
      </c>
      <c r="O2057" s="1" t="str">
        <f t="shared" si="1306"/>
        <v>00</v>
      </c>
      <c r="P2057" s="1" t="str">
        <f t="shared" si="1307"/>
        <v>S</v>
      </c>
      <c r="Q2057" s="1" t="str">
        <f t="shared" si="1308"/>
        <v>P</v>
      </c>
      <c r="R2057" s="1" t="str">
        <f t="shared" si="1309"/>
        <v>01</v>
      </c>
      <c r="S2057" s="1" t="str">
        <f t="shared" si="1296"/>
        <v>04</v>
      </c>
      <c r="T2057" s="1" t="str">
        <f t="shared" si="1310"/>
        <v>False</v>
      </c>
      <c r="U2057" s="1" t="str">
        <f t="shared" si="1311"/>
        <v>True</v>
      </c>
      <c r="V2057" s="1" t="str">
        <f>"U0032569"</f>
        <v>U0032569</v>
      </c>
      <c r="W2057" s="1">
        <v>1</v>
      </c>
      <c r="Y2057" s="1">
        <v>0</v>
      </c>
      <c r="Z2057" s="1">
        <v>0</v>
      </c>
      <c r="AB2057" s="1" t="str">
        <f t="shared" si="1298"/>
        <v>SMU</v>
      </c>
      <c r="AI2057" s="1" t="str">
        <f t="shared" si="1292"/>
        <v>F11</v>
      </c>
      <c r="AJ2057" s="1" t="str">
        <f t="shared" si="1299"/>
        <v>MAN</v>
      </c>
      <c r="AK2057" s="1" t="str">
        <f t="shared" si="1312"/>
        <v>PA</v>
      </c>
      <c r="AP2057" s="1" t="str">
        <f t="shared" si="1313"/>
        <v>False</v>
      </c>
      <c r="AR2057" s="1" t="str">
        <f t="shared" si="1302"/>
        <v>GALAN</v>
      </c>
      <c r="AY2057" s="1" t="str">
        <f t="shared" si="1314"/>
        <v>PF</v>
      </c>
      <c r="AZ2057" s="1">
        <v>0</v>
      </c>
      <c r="BA2057" s="1">
        <v>0</v>
      </c>
      <c r="BB2057" s="1">
        <v>0</v>
      </c>
      <c r="BC2057" s="1">
        <v>0</v>
      </c>
      <c r="BD2057" s="1">
        <v>0</v>
      </c>
      <c r="BE2057" s="1" t="str">
        <f t="shared" si="1303"/>
        <v>LAN+TWILL CANVAS + SIN.LEATHER</v>
      </c>
      <c r="BF2057" s="1" t="str">
        <f t="shared" si="1315"/>
        <v>Bonis SpA</v>
      </c>
    </row>
    <row r="2058" spans="2:58" x14ac:dyDescent="0.25">
      <c r="B2058" s="1">
        <v>2536</v>
      </c>
      <c r="C2058" s="1" t="str">
        <f t="shared" si="1293"/>
        <v>GALAN4182S7/CY1</v>
      </c>
      <c r="E2058" s="1" t="str">
        <f>"41"</f>
        <v>41</v>
      </c>
      <c r="F2058" s="1" t="str">
        <f t="shared" si="1304"/>
        <v>BONIS SPA</v>
      </c>
      <c r="G2058" s="1" t="str">
        <f t="shared" si="1294"/>
        <v>STOCK SCAFFALE MP</v>
      </c>
      <c r="H2058" s="1" t="str">
        <f t="shared" si="1300"/>
        <v>DKBL</v>
      </c>
      <c r="K2058" s="1">
        <v>2</v>
      </c>
      <c r="L2058" s="1" t="str">
        <f t="shared" si="1305"/>
        <v>01</v>
      </c>
      <c r="M2058" s="1" t="str">
        <f t="shared" si="1297"/>
        <v>409</v>
      </c>
      <c r="N2058" s="1" t="str">
        <f t="shared" si="1301"/>
        <v>006</v>
      </c>
      <c r="O2058" s="1" t="str">
        <f t="shared" si="1306"/>
        <v>00</v>
      </c>
      <c r="P2058" s="1" t="str">
        <f t="shared" si="1307"/>
        <v>S</v>
      </c>
      <c r="Q2058" s="1" t="str">
        <f t="shared" si="1308"/>
        <v>P</v>
      </c>
      <c r="R2058" s="1" t="str">
        <f t="shared" si="1309"/>
        <v>01</v>
      </c>
      <c r="S2058" s="1" t="str">
        <f t="shared" si="1296"/>
        <v>04</v>
      </c>
      <c r="T2058" s="1" t="str">
        <f t="shared" si="1310"/>
        <v>False</v>
      </c>
      <c r="U2058" s="1" t="str">
        <f t="shared" si="1311"/>
        <v>True</v>
      </c>
      <c r="V2058" s="1" t="str">
        <f>"U0032569"</f>
        <v>U0032569</v>
      </c>
      <c r="W2058" s="1">
        <v>1</v>
      </c>
      <c r="Y2058" s="1">
        <v>0</v>
      </c>
      <c r="Z2058" s="1">
        <v>0</v>
      </c>
      <c r="AB2058" s="1" t="str">
        <f t="shared" si="1298"/>
        <v>SMU</v>
      </c>
      <c r="AI2058" s="1" t="str">
        <f t="shared" si="1292"/>
        <v>F11</v>
      </c>
      <c r="AJ2058" s="1" t="str">
        <f t="shared" si="1299"/>
        <v>MAN</v>
      </c>
      <c r="AK2058" s="1" t="str">
        <f t="shared" si="1312"/>
        <v>PA</v>
      </c>
      <c r="AP2058" s="1" t="str">
        <f t="shared" si="1313"/>
        <v>False</v>
      </c>
      <c r="AR2058" s="1" t="str">
        <f t="shared" si="1302"/>
        <v>GALAN</v>
      </c>
      <c r="AY2058" s="1" t="str">
        <f t="shared" si="1314"/>
        <v>PF</v>
      </c>
      <c r="AZ2058" s="1">
        <v>0</v>
      </c>
      <c r="BA2058" s="1">
        <v>0</v>
      </c>
      <c r="BB2058" s="1">
        <v>0</v>
      </c>
      <c r="BC2058" s="1">
        <v>0</v>
      </c>
      <c r="BD2058" s="1">
        <v>0</v>
      </c>
      <c r="BE2058" s="1" t="str">
        <f t="shared" si="1303"/>
        <v>LAN+TWILL CANVAS + SIN.LEATHER</v>
      </c>
      <c r="BF2058" s="1" t="str">
        <f t="shared" si="1315"/>
        <v>Bonis SpA</v>
      </c>
    </row>
    <row r="2059" spans="2:58" x14ac:dyDescent="0.25">
      <c r="B2059" s="1">
        <v>2536</v>
      </c>
      <c r="C2059" s="1" t="str">
        <f t="shared" si="1293"/>
        <v>GALAN4182S7/CY1</v>
      </c>
      <c r="E2059" s="1" t="str">
        <f>"42"</f>
        <v>42</v>
      </c>
      <c r="F2059" s="1" t="str">
        <f t="shared" si="1304"/>
        <v>BONIS SPA</v>
      </c>
      <c r="G2059" s="1" t="str">
        <f t="shared" si="1294"/>
        <v>STOCK SCAFFALE MP</v>
      </c>
      <c r="H2059" s="1" t="str">
        <f t="shared" si="1300"/>
        <v>DKBL</v>
      </c>
      <c r="K2059" s="1">
        <v>1</v>
      </c>
      <c r="L2059" s="1" t="str">
        <f t="shared" si="1305"/>
        <v>01</v>
      </c>
      <c r="M2059" s="1" t="str">
        <f t="shared" si="1297"/>
        <v>409</v>
      </c>
      <c r="N2059" s="1" t="str">
        <f t="shared" si="1301"/>
        <v>006</v>
      </c>
      <c r="O2059" s="1" t="str">
        <f t="shared" si="1306"/>
        <v>00</v>
      </c>
      <c r="P2059" s="1" t="str">
        <f t="shared" si="1307"/>
        <v>S</v>
      </c>
      <c r="Q2059" s="1" t="str">
        <f t="shared" si="1308"/>
        <v>P</v>
      </c>
      <c r="R2059" s="1" t="str">
        <f t="shared" si="1309"/>
        <v>01</v>
      </c>
      <c r="S2059" s="1" t="str">
        <f t="shared" si="1296"/>
        <v>04</v>
      </c>
      <c r="T2059" s="1" t="str">
        <f t="shared" si="1310"/>
        <v>False</v>
      </c>
      <c r="U2059" s="1" t="str">
        <f t="shared" si="1311"/>
        <v>True</v>
      </c>
      <c r="V2059" s="1" t="str">
        <f>"U0032569"</f>
        <v>U0032569</v>
      </c>
      <c r="W2059" s="1">
        <v>1</v>
      </c>
      <c r="Y2059" s="1">
        <v>0</v>
      </c>
      <c r="Z2059" s="1">
        <v>0</v>
      </c>
      <c r="AB2059" s="1" t="str">
        <f t="shared" si="1298"/>
        <v>SMU</v>
      </c>
      <c r="AI2059" s="1" t="str">
        <f t="shared" si="1292"/>
        <v>F11</v>
      </c>
      <c r="AJ2059" s="1" t="str">
        <f t="shared" si="1299"/>
        <v>MAN</v>
      </c>
      <c r="AK2059" s="1" t="str">
        <f t="shared" si="1312"/>
        <v>PA</v>
      </c>
      <c r="AP2059" s="1" t="str">
        <f t="shared" si="1313"/>
        <v>False</v>
      </c>
      <c r="AR2059" s="1" t="str">
        <f t="shared" si="1302"/>
        <v>GALAN</v>
      </c>
      <c r="AY2059" s="1" t="str">
        <f t="shared" si="1314"/>
        <v>PF</v>
      </c>
      <c r="AZ2059" s="1">
        <v>0</v>
      </c>
      <c r="BA2059" s="1">
        <v>0</v>
      </c>
      <c r="BB2059" s="1">
        <v>0</v>
      </c>
      <c r="BC2059" s="1">
        <v>0</v>
      </c>
      <c r="BD2059" s="1">
        <v>0</v>
      </c>
      <c r="BE2059" s="1" t="str">
        <f t="shared" si="1303"/>
        <v>LAN+TWILL CANVAS + SIN.LEATHER</v>
      </c>
      <c r="BF2059" s="1" t="str">
        <f t="shared" si="1315"/>
        <v>Bonis SpA</v>
      </c>
    </row>
    <row r="2060" spans="2:58" x14ac:dyDescent="0.25">
      <c r="B2060" s="1">
        <v>2536</v>
      </c>
      <c r="C2060" s="1" t="str">
        <f t="shared" si="1293"/>
        <v>GALAN4182S7/CY1</v>
      </c>
      <c r="E2060" s="1" t="str">
        <f>"43"</f>
        <v>43</v>
      </c>
      <c r="F2060" s="1" t="str">
        <f t="shared" si="1304"/>
        <v>BONIS SPA</v>
      </c>
      <c r="G2060" s="1" t="str">
        <f t="shared" si="1294"/>
        <v>STOCK SCAFFALE MP</v>
      </c>
      <c r="H2060" s="1" t="str">
        <f t="shared" si="1300"/>
        <v>DKBL</v>
      </c>
      <c r="K2060" s="1">
        <v>2</v>
      </c>
      <c r="L2060" s="1" t="str">
        <f t="shared" si="1305"/>
        <v>01</v>
      </c>
      <c r="M2060" s="1" t="str">
        <f t="shared" si="1297"/>
        <v>409</v>
      </c>
      <c r="N2060" s="1" t="str">
        <f t="shared" si="1301"/>
        <v>006</v>
      </c>
      <c r="O2060" s="1" t="str">
        <f t="shared" si="1306"/>
        <v>00</v>
      </c>
      <c r="P2060" s="1" t="str">
        <f t="shared" si="1307"/>
        <v>S</v>
      </c>
      <c r="Q2060" s="1" t="str">
        <f t="shared" si="1308"/>
        <v>P</v>
      </c>
      <c r="R2060" s="1" t="str">
        <f t="shared" si="1309"/>
        <v>01</v>
      </c>
      <c r="S2060" s="1" t="str">
        <f t="shared" si="1296"/>
        <v>04</v>
      </c>
      <c r="T2060" s="1" t="str">
        <f t="shared" si="1310"/>
        <v>False</v>
      </c>
      <c r="U2060" s="1" t="str">
        <f t="shared" si="1311"/>
        <v>True</v>
      </c>
      <c r="V2060" s="1" t="str">
        <f>"U0032569"</f>
        <v>U0032569</v>
      </c>
      <c r="W2060" s="1">
        <v>1</v>
      </c>
      <c r="Y2060" s="1">
        <v>0</v>
      </c>
      <c r="Z2060" s="1">
        <v>0</v>
      </c>
      <c r="AB2060" s="1" t="str">
        <f t="shared" si="1298"/>
        <v>SMU</v>
      </c>
      <c r="AI2060" s="1" t="str">
        <f t="shared" si="1292"/>
        <v>F11</v>
      </c>
      <c r="AJ2060" s="1" t="str">
        <f t="shared" si="1299"/>
        <v>MAN</v>
      </c>
      <c r="AK2060" s="1" t="str">
        <f t="shared" si="1312"/>
        <v>PA</v>
      </c>
      <c r="AP2060" s="1" t="str">
        <f t="shared" si="1313"/>
        <v>False</v>
      </c>
      <c r="AR2060" s="1" t="str">
        <f t="shared" si="1302"/>
        <v>GALAN</v>
      </c>
      <c r="AY2060" s="1" t="str">
        <f t="shared" si="1314"/>
        <v>PF</v>
      </c>
      <c r="AZ2060" s="1">
        <v>0</v>
      </c>
      <c r="BA2060" s="1">
        <v>0</v>
      </c>
      <c r="BB2060" s="1">
        <v>0</v>
      </c>
      <c r="BC2060" s="1">
        <v>0</v>
      </c>
      <c r="BD2060" s="1">
        <v>0</v>
      </c>
      <c r="BE2060" s="1" t="str">
        <f t="shared" si="1303"/>
        <v>LAN+TWILL CANVAS + SIN.LEATHER</v>
      </c>
      <c r="BF2060" s="1" t="str">
        <f t="shared" si="1315"/>
        <v>Bonis SpA</v>
      </c>
    </row>
    <row r="2061" spans="2:58" x14ac:dyDescent="0.25">
      <c r="B2061" s="1">
        <v>2536</v>
      </c>
      <c r="C2061" s="1" t="str">
        <f t="shared" si="1293"/>
        <v>GALAN4182S7/CY1</v>
      </c>
      <c r="E2061" s="1" t="str">
        <f>"44"</f>
        <v>44</v>
      </c>
      <c r="F2061" s="1" t="str">
        <f t="shared" si="1304"/>
        <v>BONIS SPA</v>
      </c>
      <c r="G2061" s="1" t="str">
        <f t="shared" si="1294"/>
        <v>STOCK SCAFFALE MP</v>
      </c>
      <c r="H2061" s="1" t="str">
        <f t="shared" si="1300"/>
        <v>DKBL</v>
      </c>
      <c r="K2061" s="1">
        <v>2</v>
      </c>
      <c r="L2061" s="1" t="str">
        <f t="shared" si="1305"/>
        <v>01</v>
      </c>
      <c r="M2061" s="1" t="str">
        <f t="shared" si="1297"/>
        <v>409</v>
      </c>
      <c r="N2061" s="1" t="str">
        <f t="shared" si="1301"/>
        <v>006</v>
      </c>
      <c r="O2061" s="1" t="str">
        <f t="shared" si="1306"/>
        <v>00</v>
      </c>
      <c r="P2061" s="1" t="str">
        <f t="shared" si="1307"/>
        <v>S</v>
      </c>
      <c r="Q2061" s="1" t="str">
        <f t="shared" si="1308"/>
        <v>P</v>
      </c>
      <c r="R2061" s="1" t="str">
        <f t="shared" si="1309"/>
        <v>01</v>
      </c>
      <c r="S2061" s="1" t="str">
        <f t="shared" si="1296"/>
        <v>04</v>
      </c>
      <c r="T2061" s="1" t="str">
        <f t="shared" si="1310"/>
        <v>False</v>
      </c>
      <c r="U2061" s="1" t="str">
        <f t="shared" si="1311"/>
        <v>True</v>
      </c>
      <c r="V2061" s="1" t="str">
        <f>"U0032569"</f>
        <v>U0032569</v>
      </c>
      <c r="W2061" s="1">
        <v>1</v>
      </c>
      <c r="Y2061" s="1">
        <v>0</v>
      </c>
      <c r="Z2061" s="1">
        <v>0</v>
      </c>
      <c r="AB2061" s="1" t="str">
        <f t="shared" si="1298"/>
        <v>SMU</v>
      </c>
      <c r="AI2061" s="1" t="str">
        <f t="shared" si="1292"/>
        <v>F11</v>
      </c>
      <c r="AJ2061" s="1" t="str">
        <f t="shared" si="1299"/>
        <v>MAN</v>
      </c>
      <c r="AK2061" s="1" t="str">
        <f t="shared" si="1312"/>
        <v>PA</v>
      </c>
      <c r="AP2061" s="1" t="str">
        <f t="shared" si="1313"/>
        <v>False</v>
      </c>
      <c r="AR2061" s="1" t="str">
        <f t="shared" si="1302"/>
        <v>GALAN</v>
      </c>
      <c r="AY2061" s="1" t="str">
        <f t="shared" si="1314"/>
        <v>PF</v>
      </c>
      <c r="AZ2061" s="1">
        <v>0</v>
      </c>
      <c r="BA2061" s="1">
        <v>0</v>
      </c>
      <c r="BB2061" s="1">
        <v>0</v>
      </c>
      <c r="BC2061" s="1">
        <v>0</v>
      </c>
      <c r="BD2061" s="1">
        <v>0</v>
      </c>
      <c r="BE2061" s="1" t="str">
        <f t="shared" si="1303"/>
        <v>LAN+TWILL CANVAS + SIN.LEATHER</v>
      </c>
      <c r="BF2061" s="1" t="str">
        <f t="shared" si="1315"/>
        <v>Bonis SpA</v>
      </c>
    </row>
    <row r="2062" spans="2:58" x14ac:dyDescent="0.25">
      <c r="B2062" s="1">
        <v>2536</v>
      </c>
      <c r="C2062" s="1" t="str">
        <f t="shared" si="1293"/>
        <v>GALAN4182S7/CY1</v>
      </c>
      <c r="E2062" s="1" t="str">
        <f>"40"</f>
        <v>40</v>
      </c>
      <c r="F2062" s="1" t="str">
        <f t="shared" si="1304"/>
        <v>BONIS SPA</v>
      </c>
      <c r="G2062" s="1" t="str">
        <f t="shared" si="1294"/>
        <v>STOCK SCAFFALE MP</v>
      </c>
      <c r="H2062" s="1" t="str">
        <f>"BLK"</f>
        <v>BLK</v>
      </c>
      <c r="K2062" s="1">
        <v>1</v>
      </c>
      <c r="L2062" s="1" t="str">
        <f t="shared" si="1305"/>
        <v>01</v>
      </c>
      <c r="M2062" s="1" t="str">
        <f t="shared" si="1297"/>
        <v>409</v>
      </c>
      <c r="N2062" s="1" t="str">
        <f t="shared" si="1301"/>
        <v>006</v>
      </c>
      <c r="O2062" s="1" t="str">
        <f t="shared" si="1306"/>
        <v>00</v>
      </c>
      <c r="P2062" s="1" t="str">
        <f t="shared" si="1307"/>
        <v>S</v>
      </c>
      <c r="Q2062" s="1" t="str">
        <f t="shared" si="1308"/>
        <v>P</v>
      </c>
      <c r="R2062" s="1" t="str">
        <f t="shared" si="1309"/>
        <v>01</v>
      </c>
      <c r="S2062" s="1" t="str">
        <f t="shared" si="1296"/>
        <v>04</v>
      </c>
      <c r="T2062" s="1" t="str">
        <f t="shared" si="1310"/>
        <v>False</v>
      </c>
      <c r="U2062" s="1" t="str">
        <f t="shared" si="1311"/>
        <v>True</v>
      </c>
      <c r="V2062" s="1" t="str">
        <f>"U0032564"</f>
        <v>U0032564</v>
      </c>
      <c r="W2062" s="1">
        <v>1</v>
      </c>
      <c r="Y2062" s="1">
        <v>0</v>
      </c>
      <c r="Z2062" s="1">
        <v>0</v>
      </c>
      <c r="AB2062" s="1" t="str">
        <f t="shared" si="1298"/>
        <v>SMU</v>
      </c>
      <c r="AI2062" s="1" t="str">
        <f>"106"</f>
        <v>106</v>
      </c>
      <c r="AJ2062" s="1" t="str">
        <f t="shared" si="1299"/>
        <v>MAN</v>
      </c>
      <c r="AK2062" s="1" t="str">
        <f t="shared" si="1312"/>
        <v>PA</v>
      </c>
      <c r="AP2062" s="1" t="str">
        <f t="shared" si="1313"/>
        <v>False</v>
      </c>
      <c r="AR2062" s="1" t="str">
        <f t="shared" si="1302"/>
        <v>GALAN</v>
      </c>
      <c r="AY2062" s="1" t="str">
        <f t="shared" si="1314"/>
        <v>PF</v>
      </c>
      <c r="AZ2062" s="1">
        <v>0</v>
      </c>
      <c r="BA2062" s="1">
        <v>0</v>
      </c>
      <c r="BB2062" s="1">
        <v>0</v>
      </c>
      <c r="BC2062" s="1">
        <v>0</v>
      </c>
      <c r="BD2062" s="1">
        <v>0</v>
      </c>
      <c r="BE2062" s="1" t="str">
        <f t="shared" si="1303"/>
        <v>LAN+TWILL CANVAS + SIN.LEATHER</v>
      </c>
      <c r="BF2062" s="1" t="str">
        <f t="shared" si="1315"/>
        <v>Bonis SpA</v>
      </c>
    </row>
    <row r="2063" spans="2:58" x14ac:dyDescent="0.25">
      <c r="B2063" s="1">
        <v>2536</v>
      </c>
      <c r="C2063" s="1" t="str">
        <f t="shared" si="1293"/>
        <v>GALAN4182S7/CY1</v>
      </c>
      <c r="E2063" s="1" t="str">
        <f>"40"</f>
        <v>40</v>
      </c>
      <c r="F2063" s="1" t="str">
        <f t="shared" si="1304"/>
        <v>BONIS SPA</v>
      </c>
      <c r="G2063" s="1" t="str">
        <f t="shared" si="1294"/>
        <v>STOCK SCAFFALE MP</v>
      </c>
      <c r="H2063" s="1" t="str">
        <f>"BLK"</f>
        <v>BLK</v>
      </c>
      <c r="K2063" s="1">
        <v>1</v>
      </c>
      <c r="L2063" s="1" t="str">
        <f t="shared" si="1305"/>
        <v>01</v>
      </c>
      <c r="M2063" s="1" t="str">
        <f t="shared" si="1297"/>
        <v>409</v>
      </c>
      <c r="N2063" s="1" t="str">
        <f t="shared" si="1301"/>
        <v>006</v>
      </c>
      <c r="O2063" s="1" t="str">
        <f t="shared" si="1306"/>
        <v>00</v>
      </c>
      <c r="P2063" s="1" t="str">
        <f t="shared" si="1307"/>
        <v>S</v>
      </c>
      <c r="Q2063" s="1" t="str">
        <f t="shared" si="1308"/>
        <v>P</v>
      </c>
      <c r="R2063" s="1" t="str">
        <f t="shared" si="1309"/>
        <v>01</v>
      </c>
      <c r="S2063" s="1" t="str">
        <f t="shared" si="1296"/>
        <v>04</v>
      </c>
      <c r="T2063" s="1" t="str">
        <f t="shared" si="1310"/>
        <v>False</v>
      </c>
      <c r="U2063" s="1" t="str">
        <f t="shared" si="1311"/>
        <v>True</v>
      </c>
      <c r="V2063" s="1" t="str">
        <f>"U0032566"</f>
        <v>U0032566</v>
      </c>
      <c r="W2063" s="1">
        <v>1</v>
      </c>
      <c r="Y2063" s="1">
        <v>0</v>
      </c>
      <c r="Z2063" s="1">
        <v>0</v>
      </c>
      <c r="AB2063" s="1" t="str">
        <f t="shared" si="1298"/>
        <v>SMU</v>
      </c>
      <c r="AI2063" s="1" t="str">
        <f>"106"</f>
        <v>106</v>
      </c>
      <c r="AJ2063" s="1" t="str">
        <f t="shared" si="1299"/>
        <v>MAN</v>
      </c>
      <c r="AK2063" s="1" t="str">
        <f t="shared" si="1312"/>
        <v>PA</v>
      </c>
      <c r="AP2063" s="1" t="str">
        <f t="shared" si="1313"/>
        <v>False</v>
      </c>
      <c r="AR2063" s="1" t="str">
        <f t="shared" si="1302"/>
        <v>GALAN</v>
      </c>
      <c r="AY2063" s="1" t="str">
        <f t="shared" si="1314"/>
        <v>PF</v>
      </c>
      <c r="AZ2063" s="1">
        <v>0</v>
      </c>
      <c r="BA2063" s="1">
        <v>0</v>
      </c>
      <c r="BB2063" s="1">
        <v>0</v>
      </c>
      <c r="BC2063" s="1">
        <v>0</v>
      </c>
      <c r="BD2063" s="1">
        <v>0</v>
      </c>
      <c r="BE2063" s="1" t="str">
        <f t="shared" si="1303"/>
        <v>LAN+TWILL CANVAS + SIN.LEATHER</v>
      </c>
      <c r="BF2063" s="1" t="str">
        <f t="shared" si="1315"/>
        <v>Bonis SpA</v>
      </c>
    </row>
    <row r="2064" spans="2:58" x14ac:dyDescent="0.25">
      <c r="B2064" s="1">
        <v>2536</v>
      </c>
      <c r="C2064" s="1" t="str">
        <f t="shared" si="1293"/>
        <v>GALAN4182S7/CY1</v>
      </c>
      <c r="E2064" s="1" t="str">
        <f>"41"</f>
        <v>41</v>
      </c>
      <c r="F2064" s="1" t="str">
        <f t="shared" si="1304"/>
        <v>BONIS SPA</v>
      </c>
      <c r="G2064" s="1" t="str">
        <f t="shared" si="1294"/>
        <v>STOCK SCAFFALE MP</v>
      </c>
      <c r="H2064" s="1" t="str">
        <f>"BLK"</f>
        <v>BLK</v>
      </c>
      <c r="K2064" s="1">
        <v>2</v>
      </c>
      <c r="L2064" s="1" t="str">
        <f t="shared" si="1305"/>
        <v>01</v>
      </c>
      <c r="M2064" s="1" t="str">
        <f t="shared" si="1297"/>
        <v>409</v>
      </c>
      <c r="N2064" s="1" t="str">
        <f t="shared" si="1301"/>
        <v>006</v>
      </c>
      <c r="O2064" s="1" t="str">
        <f t="shared" si="1306"/>
        <v>00</v>
      </c>
      <c r="P2064" s="1" t="str">
        <f t="shared" si="1307"/>
        <v>S</v>
      </c>
      <c r="Q2064" s="1" t="str">
        <f t="shared" si="1308"/>
        <v>P</v>
      </c>
      <c r="R2064" s="1" t="str">
        <f t="shared" si="1309"/>
        <v>01</v>
      </c>
      <c r="S2064" s="1" t="str">
        <f t="shared" si="1296"/>
        <v>04</v>
      </c>
      <c r="T2064" s="1" t="str">
        <f t="shared" si="1310"/>
        <v>False</v>
      </c>
      <c r="U2064" s="1" t="str">
        <f t="shared" si="1311"/>
        <v>True</v>
      </c>
      <c r="V2064" s="1" t="str">
        <f>"U0032566"</f>
        <v>U0032566</v>
      </c>
      <c r="W2064" s="1">
        <v>1</v>
      </c>
      <c r="Y2064" s="1">
        <v>0</v>
      </c>
      <c r="Z2064" s="1">
        <v>0</v>
      </c>
      <c r="AB2064" s="1" t="str">
        <f t="shared" si="1298"/>
        <v>SMU</v>
      </c>
      <c r="AI2064" s="1" t="str">
        <f>"106"</f>
        <v>106</v>
      </c>
      <c r="AJ2064" s="1" t="str">
        <f t="shared" si="1299"/>
        <v>MAN</v>
      </c>
      <c r="AK2064" s="1" t="str">
        <f t="shared" si="1312"/>
        <v>PA</v>
      </c>
      <c r="AP2064" s="1" t="str">
        <f t="shared" si="1313"/>
        <v>False</v>
      </c>
      <c r="AR2064" s="1" t="str">
        <f t="shared" si="1302"/>
        <v>GALAN</v>
      </c>
      <c r="AY2064" s="1" t="str">
        <f t="shared" si="1314"/>
        <v>PF</v>
      </c>
      <c r="AZ2064" s="1">
        <v>0</v>
      </c>
      <c r="BA2064" s="1">
        <v>0</v>
      </c>
      <c r="BB2064" s="1">
        <v>0</v>
      </c>
      <c r="BC2064" s="1">
        <v>0</v>
      </c>
      <c r="BD2064" s="1">
        <v>0</v>
      </c>
      <c r="BE2064" s="1" t="str">
        <f t="shared" si="1303"/>
        <v>LAN+TWILL CANVAS + SIN.LEATHER</v>
      </c>
      <c r="BF2064" s="1" t="str">
        <f t="shared" si="1315"/>
        <v>Bonis SpA</v>
      </c>
    </row>
    <row r="2065" spans="2:58" x14ac:dyDescent="0.25">
      <c r="B2065" s="1">
        <v>2536</v>
      </c>
      <c r="C2065" s="1" t="str">
        <f t="shared" si="1293"/>
        <v>GALAN4182S7/CY1</v>
      </c>
      <c r="E2065" s="1" t="str">
        <f>"41"</f>
        <v>41</v>
      </c>
      <c r="F2065" s="1" t="str">
        <f t="shared" si="1304"/>
        <v>BONIS SPA</v>
      </c>
      <c r="G2065" s="1" t="str">
        <f t="shared" si="1294"/>
        <v>STOCK SCAFFALE MP</v>
      </c>
      <c r="H2065" s="1" t="str">
        <f>"BLK"</f>
        <v>BLK</v>
      </c>
      <c r="K2065" s="1">
        <v>1</v>
      </c>
      <c r="L2065" s="1" t="str">
        <f t="shared" si="1305"/>
        <v>01</v>
      </c>
      <c r="M2065" s="1" t="str">
        <f t="shared" si="1297"/>
        <v>409</v>
      </c>
      <c r="N2065" s="1" t="str">
        <f t="shared" si="1301"/>
        <v>006</v>
      </c>
      <c r="O2065" s="1" t="str">
        <f t="shared" si="1306"/>
        <v>00</v>
      </c>
      <c r="P2065" s="1" t="str">
        <f t="shared" si="1307"/>
        <v>S</v>
      </c>
      <c r="Q2065" s="1" t="str">
        <f t="shared" si="1308"/>
        <v>P</v>
      </c>
      <c r="R2065" s="1" t="str">
        <f t="shared" si="1309"/>
        <v>01</v>
      </c>
      <c r="S2065" s="1" t="str">
        <f t="shared" si="1296"/>
        <v>04</v>
      </c>
      <c r="T2065" s="1" t="str">
        <f t="shared" si="1310"/>
        <v>False</v>
      </c>
      <c r="U2065" s="1" t="str">
        <f t="shared" si="1311"/>
        <v>True</v>
      </c>
      <c r="V2065" s="1" t="str">
        <f>"U0032576"</f>
        <v>U0032576</v>
      </c>
      <c r="W2065" s="1">
        <v>1</v>
      </c>
      <c r="Y2065" s="1">
        <v>0</v>
      </c>
      <c r="Z2065" s="1">
        <v>0</v>
      </c>
      <c r="AB2065" s="1" t="str">
        <f t="shared" si="1298"/>
        <v>SMU</v>
      </c>
      <c r="AI2065" s="1" t="str">
        <f>"106"</f>
        <v>106</v>
      </c>
      <c r="AJ2065" s="1" t="str">
        <f t="shared" si="1299"/>
        <v>MAN</v>
      </c>
      <c r="AK2065" s="1" t="str">
        <f t="shared" si="1312"/>
        <v>PA</v>
      </c>
      <c r="AP2065" s="1" t="str">
        <f t="shared" si="1313"/>
        <v>False</v>
      </c>
      <c r="AR2065" s="1" t="str">
        <f t="shared" si="1302"/>
        <v>GALAN</v>
      </c>
      <c r="AY2065" s="1" t="str">
        <f t="shared" si="1314"/>
        <v>PF</v>
      </c>
      <c r="AZ2065" s="1">
        <v>0</v>
      </c>
      <c r="BA2065" s="1">
        <v>0</v>
      </c>
      <c r="BB2065" s="1">
        <v>0</v>
      </c>
      <c r="BC2065" s="1">
        <v>0</v>
      </c>
      <c r="BD2065" s="1">
        <v>0</v>
      </c>
      <c r="BE2065" s="1" t="str">
        <f t="shared" si="1303"/>
        <v>LAN+TWILL CANVAS + SIN.LEATHER</v>
      </c>
      <c r="BF2065" s="1" t="str">
        <f t="shared" si="1315"/>
        <v>Bonis SpA</v>
      </c>
    </row>
    <row r="2066" spans="2:58" x14ac:dyDescent="0.25">
      <c r="B2066" s="1">
        <v>2536</v>
      </c>
      <c r="C2066" s="1" t="str">
        <f t="shared" si="1293"/>
        <v>GALAN4182S7/CY1</v>
      </c>
      <c r="E2066" s="1" t="str">
        <f>"41"</f>
        <v>41</v>
      </c>
      <c r="F2066" s="1" t="str">
        <f t="shared" si="1304"/>
        <v>BONIS SPA</v>
      </c>
      <c r="G2066" s="1" t="str">
        <f t="shared" si="1294"/>
        <v>STOCK SCAFFALE MP</v>
      </c>
      <c r="H2066" s="1" t="str">
        <f>"BLK"</f>
        <v>BLK</v>
      </c>
      <c r="K2066" s="1">
        <v>1</v>
      </c>
      <c r="L2066" s="1" t="str">
        <f t="shared" si="1305"/>
        <v>01</v>
      </c>
      <c r="M2066" s="1" t="str">
        <f t="shared" si="1297"/>
        <v>409</v>
      </c>
      <c r="N2066" s="1" t="str">
        <f t="shared" si="1301"/>
        <v>006</v>
      </c>
      <c r="O2066" s="1" t="str">
        <f t="shared" si="1306"/>
        <v>00</v>
      </c>
      <c r="P2066" s="1" t="str">
        <f t="shared" si="1307"/>
        <v>S</v>
      </c>
      <c r="Q2066" s="1" t="str">
        <f t="shared" si="1308"/>
        <v>P</v>
      </c>
      <c r="R2066" s="1" t="str">
        <f t="shared" si="1309"/>
        <v>01</v>
      </c>
      <c r="S2066" s="1" t="str">
        <f t="shared" si="1296"/>
        <v>04</v>
      </c>
      <c r="T2066" s="1" t="str">
        <f t="shared" si="1310"/>
        <v>False</v>
      </c>
      <c r="U2066" s="1" t="str">
        <f t="shared" si="1311"/>
        <v>True</v>
      </c>
      <c r="V2066" s="1" t="str">
        <f>"U0032577"</f>
        <v>U0032577</v>
      </c>
      <c r="W2066" s="1">
        <v>1</v>
      </c>
      <c r="Y2066" s="1">
        <v>0</v>
      </c>
      <c r="Z2066" s="1">
        <v>0</v>
      </c>
      <c r="AB2066" s="1" t="str">
        <f t="shared" si="1298"/>
        <v>SMU</v>
      </c>
      <c r="AI2066" s="1" t="str">
        <f>"106"</f>
        <v>106</v>
      </c>
      <c r="AJ2066" s="1" t="str">
        <f t="shared" si="1299"/>
        <v>MAN</v>
      </c>
      <c r="AK2066" s="1" t="str">
        <f t="shared" si="1312"/>
        <v>PA</v>
      </c>
      <c r="AP2066" s="1" t="str">
        <f t="shared" si="1313"/>
        <v>False</v>
      </c>
      <c r="AR2066" s="1" t="str">
        <f t="shared" si="1302"/>
        <v>GALAN</v>
      </c>
      <c r="AY2066" s="1" t="str">
        <f t="shared" si="1314"/>
        <v>PF</v>
      </c>
      <c r="AZ2066" s="1">
        <v>0</v>
      </c>
      <c r="BA2066" s="1">
        <v>0</v>
      </c>
      <c r="BB2066" s="1">
        <v>0</v>
      </c>
      <c r="BC2066" s="1">
        <v>0</v>
      </c>
      <c r="BD2066" s="1">
        <v>0</v>
      </c>
      <c r="BE2066" s="1" t="str">
        <f t="shared" si="1303"/>
        <v>LAN+TWILL CANVAS + SIN.LEATHER</v>
      </c>
      <c r="BF2066" s="1" t="str">
        <f t="shared" si="1315"/>
        <v>Bonis SpA</v>
      </c>
    </row>
    <row r="2067" spans="2:58" x14ac:dyDescent="0.25">
      <c r="B2067" s="1">
        <v>2536</v>
      </c>
      <c r="C2067" s="1" t="str">
        <f t="shared" ref="C2067:C2092" si="1316">"SOLAN4189S7/C1"</f>
        <v>SOLAN4189S7/C1</v>
      </c>
      <c r="E2067" s="1" t="str">
        <f>"40"</f>
        <v>40</v>
      </c>
      <c r="F2067" s="1" t="str">
        <f t="shared" si="1304"/>
        <v>BONIS SPA</v>
      </c>
      <c r="G2067" s="1" t="str">
        <f t="shared" si="1294"/>
        <v>STOCK SCAFFALE MP</v>
      </c>
      <c r="H2067" s="1" t="str">
        <f t="shared" ref="H2067:H2076" si="1317">"DKBL"</f>
        <v>DKBL</v>
      </c>
      <c r="K2067" s="1">
        <v>1</v>
      </c>
      <c r="L2067" s="1" t="str">
        <f t="shared" si="1305"/>
        <v>01</v>
      </c>
      <c r="M2067" s="1" t="str">
        <f t="shared" si="1297"/>
        <v>409</v>
      </c>
      <c r="N2067" s="1" t="str">
        <f t="shared" si="1301"/>
        <v>006</v>
      </c>
      <c r="O2067" s="1" t="str">
        <f t="shared" si="1306"/>
        <v>00</v>
      </c>
      <c r="P2067" s="1" t="str">
        <f t="shared" si="1307"/>
        <v>S</v>
      </c>
      <c r="Q2067" s="1" t="str">
        <f t="shared" si="1308"/>
        <v>P</v>
      </c>
      <c r="R2067" s="1" t="str">
        <f t="shared" si="1309"/>
        <v>01</v>
      </c>
      <c r="S2067" s="1" t="str">
        <f t="shared" si="1296"/>
        <v>04</v>
      </c>
      <c r="T2067" s="1" t="str">
        <f t="shared" si="1310"/>
        <v>False</v>
      </c>
      <c r="U2067" s="1" t="str">
        <f t="shared" si="1311"/>
        <v>True</v>
      </c>
      <c r="V2067" s="1" t="str">
        <f>"U0032573"</f>
        <v>U0032573</v>
      </c>
      <c r="W2067" s="1">
        <v>1</v>
      </c>
      <c r="Y2067" s="1">
        <v>0</v>
      </c>
      <c r="Z2067" s="1">
        <v>0</v>
      </c>
      <c r="AB2067" s="1" t="str">
        <f t="shared" si="1298"/>
        <v>SMU</v>
      </c>
      <c r="AI2067" s="1" t="str">
        <f>"F11"</f>
        <v>F11</v>
      </c>
      <c r="AJ2067" s="1" t="str">
        <f t="shared" si="1299"/>
        <v>MAN</v>
      </c>
      <c r="AK2067" s="1" t="str">
        <f t="shared" si="1312"/>
        <v>PA</v>
      </c>
      <c r="AP2067" s="1" t="str">
        <f t="shared" si="1313"/>
        <v>False</v>
      </c>
      <c r="AR2067" s="1" t="str">
        <f t="shared" ref="AR2067:AR2092" si="1318">"SOLAN"</f>
        <v>SOLAN</v>
      </c>
      <c r="AY2067" s="1" t="str">
        <f t="shared" si="1314"/>
        <v>PF</v>
      </c>
      <c r="AZ2067" s="1">
        <v>0</v>
      </c>
      <c r="BA2067" s="1">
        <v>0</v>
      </c>
      <c r="BB2067" s="1">
        <v>0</v>
      </c>
      <c r="BC2067" s="1">
        <v>0</v>
      </c>
      <c r="BD2067" s="1">
        <v>0</v>
      </c>
      <c r="BE2067" s="1" t="str">
        <f t="shared" ref="BE2067:BE2092" si="1319">"S.CADET GOMMA  TWILL CANVAS"</f>
        <v>S.CADET GOMMA  TWILL CANVAS</v>
      </c>
      <c r="BF2067" s="1" t="str">
        <f t="shared" si="1315"/>
        <v>Bonis SpA</v>
      </c>
    </row>
    <row r="2068" spans="2:58" x14ac:dyDescent="0.25">
      <c r="B2068" s="1">
        <v>2536</v>
      </c>
      <c r="C2068" s="1" t="str">
        <f t="shared" si="1316"/>
        <v>SOLAN4189S7/C1</v>
      </c>
      <c r="E2068" s="1" t="str">
        <f>"41"</f>
        <v>41</v>
      </c>
      <c r="F2068" s="1" t="str">
        <f t="shared" si="1304"/>
        <v>BONIS SPA</v>
      </c>
      <c r="G2068" s="1" t="str">
        <f t="shared" si="1294"/>
        <v>STOCK SCAFFALE MP</v>
      </c>
      <c r="H2068" s="1" t="str">
        <f t="shared" si="1317"/>
        <v>DKBL</v>
      </c>
      <c r="K2068" s="1">
        <v>2</v>
      </c>
      <c r="L2068" s="1" t="str">
        <f t="shared" si="1305"/>
        <v>01</v>
      </c>
      <c r="M2068" s="1" t="str">
        <f t="shared" si="1297"/>
        <v>409</v>
      </c>
      <c r="N2068" s="1" t="str">
        <f t="shared" si="1301"/>
        <v>006</v>
      </c>
      <c r="O2068" s="1" t="str">
        <f t="shared" si="1306"/>
        <v>00</v>
      </c>
      <c r="P2068" s="1" t="str">
        <f t="shared" si="1307"/>
        <v>S</v>
      </c>
      <c r="Q2068" s="1" t="str">
        <f t="shared" si="1308"/>
        <v>P</v>
      </c>
      <c r="R2068" s="1" t="str">
        <f t="shared" si="1309"/>
        <v>01</v>
      </c>
      <c r="S2068" s="1" t="str">
        <f t="shared" si="1296"/>
        <v>04</v>
      </c>
      <c r="T2068" s="1" t="str">
        <f t="shared" si="1310"/>
        <v>False</v>
      </c>
      <c r="U2068" s="1" t="str">
        <f t="shared" si="1311"/>
        <v>True</v>
      </c>
      <c r="V2068" s="1" t="str">
        <f>"U0032573"</f>
        <v>U0032573</v>
      </c>
      <c r="W2068" s="1">
        <v>1</v>
      </c>
      <c r="Y2068" s="1">
        <v>0</v>
      </c>
      <c r="Z2068" s="1">
        <v>0</v>
      </c>
      <c r="AB2068" s="1" t="str">
        <f t="shared" si="1298"/>
        <v>SMU</v>
      </c>
      <c r="AI2068" s="1" t="str">
        <f>"F11"</f>
        <v>F11</v>
      </c>
      <c r="AJ2068" s="1" t="str">
        <f t="shared" si="1299"/>
        <v>MAN</v>
      </c>
      <c r="AK2068" s="1" t="str">
        <f t="shared" si="1312"/>
        <v>PA</v>
      </c>
      <c r="AP2068" s="1" t="str">
        <f t="shared" si="1313"/>
        <v>False</v>
      </c>
      <c r="AR2068" s="1" t="str">
        <f t="shared" si="1318"/>
        <v>SOLAN</v>
      </c>
      <c r="AY2068" s="1" t="str">
        <f t="shared" si="1314"/>
        <v>PF</v>
      </c>
      <c r="AZ2068" s="1">
        <v>0</v>
      </c>
      <c r="BA2068" s="1">
        <v>0</v>
      </c>
      <c r="BB2068" s="1">
        <v>0</v>
      </c>
      <c r="BC2068" s="1">
        <v>0</v>
      </c>
      <c r="BD2068" s="1">
        <v>0</v>
      </c>
      <c r="BE2068" s="1" t="str">
        <f t="shared" si="1319"/>
        <v>S.CADET GOMMA  TWILL CANVAS</v>
      </c>
      <c r="BF2068" s="1" t="str">
        <f t="shared" si="1315"/>
        <v>Bonis SpA</v>
      </c>
    </row>
    <row r="2069" spans="2:58" x14ac:dyDescent="0.25">
      <c r="B2069" s="1">
        <v>2536</v>
      </c>
      <c r="C2069" s="1" t="str">
        <f t="shared" si="1316"/>
        <v>SOLAN4189S7/C1</v>
      </c>
      <c r="E2069" s="1" t="str">
        <f>"42"</f>
        <v>42</v>
      </c>
      <c r="F2069" s="1" t="str">
        <f t="shared" si="1304"/>
        <v>BONIS SPA</v>
      </c>
      <c r="G2069" s="1" t="str">
        <f t="shared" si="1294"/>
        <v>STOCK SCAFFALE MP</v>
      </c>
      <c r="H2069" s="1" t="str">
        <f t="shared" si="1317"/>
        <v>DKBL</v>
      </c>
      <c r="K2069" s="1">
        <v>3</v>
      </c>
      <c r="L2069" s="1" t="str">
        <f t="shared" si="1305"/>
        <v>01</v>
      </c>
      <c r="M2069" s="1" t="str">
        <f t="shared" si="1297"/>
        <v>409</v>
      </c>
      <c r="N2069" s="1" t="str">
        <f t="shared" si="1301"/>
        <v>006</v>
      </c>
      <c r="O2069" s="1" t="str">
        <f t="shared" si="1306"/>
        <v>00</v>
      </c>
      <c r="P2069" s="1" t="str">
        <f t="shared" si="1307"/>
        <v>S</v>
      </c>
      <c r="Q2069" s="1" t="str">
        <f t="shared" si="1308"/>
        <v>P</v>
      </c>
      <c r="R2069" s="1" t="str">
        <f t="shared" si="1309"/>
        <v>01</v>
      </c>
      <c r="S2069" s="1" t="str">
        <f t="shared" si="1296"/>
        <v>04</v>
      </c>
      <c r="T2069" s="1" t="str">
        <f t="shared" si="1310"/>
        <v>False</v>
      </c>
      <c r="U2069" s="1" t="str">
        <f t="shared" si="1311"/>
        <v>True</v>
      </c>
      <c r="V2069" s="1" t="str">
        <f>"U0032573"</f>
        <v>U0032573</v>
      </c>
      <c r="W2069" s="1">
        <v>1</v>
      </c>
      <c r="Y2069" s="1">
        <v>0</v>
      </c>
      <c r="Z2069" s="1">
        <v>0</v>
      </c>
      <c r="AB2069" s="1" t="str">
        <f t="shared" si="1298"/>
        <v>SMU</v>
      </c>
      <c r="AI2069" s="1" t="str">
        <f>"F11"</f>
        <v>F11</v>
      </c>
      <c r="AJ2069" s="1" t="str">
        <f t="shared" si="1299"/>
        <v>MAN</v>
      </c>
      <c r="AK2069" s="1" t="str">
        <f t="shared" si="1312"/>
        <v>PA</v>
      </c>
      <c r="AP2069" s="1" t="str">
        <f t="shared" si="1313"/>
        <v>False</v>
      </c>
      <c r="AR2069" s="1" t="str">
        <f t="shared" si="1318"/>
        <v>SOLAN</v>
      </c>
      <c r="AY2069" s="1" t="str">
        <f t="shared" si="1314"/>
        <v>PF</v>
      </c>
      <c r="AZ2069" s="1">
        <v>0</v>
      </c>
      <c r="BA2069" s="1">
        <v>0</v>
      </c>
      <c r="BB2069" s="1">
        <v>0</v>
      </c>
      <c r="BC2069" s="1">
        <v>0</v>
      </c>
      <c r="BD2069" s="1">
        <v>0</v>
      </c>
      <c r="BE2069" s="1" t="str">
        <f t="shared" si="1319"/>
        <v>S.CADET GOMMA  TWILL CANVAS</v>
      </c>
      <c r="BF2069" s="1" t="str">
        <f t="shared" si="1315"/>
        <v>Bonis SpA</v>
      </c>
    </row>
    <row r="2070" spans="2:58" x14ac:dyDescent="0.25">
      <c r="B2070" s="1">
        <v>2536</v>
      </c>
      <c r="C2070" s="1" t="str">
        <f t="shared" si="1316"/>
        <v>SOLAN4189S7/C1</v>
      </c>
      <c r="E2070" s="1" t="str">
        <f>"43"</f>
        <v>43</v>
      </c>
      <c r="F2070" s="1" t="str">
        <f t="shared" si="1304"/>
        <v>BONIS SPA</v>
      </c>
      <c r="G2070" s="1" t="str">
        <f t="shared" si="1294"/>
        <v>STOCK SCAFFALE MP</v>
      </c>
      <c r="H2070" s="1" t="str">
        <f t="shared" si="1317"/>
        <v>DKBL</v>
      </c>
      <c r="K2070" s="1">
        <v>3</v>
      </c>
      <c r="L2070" s="1" t="str">
        <f t="shared" si="1305"/>
        <v>01</v>
      </c>
      <c r="M2070" s="1" t="str">
        <f t="shared" si="1297"/>
        <v>409</v>
      </c>
      <c r="N2070" s="1" t="str">
        <f t="shared" si="1301"/>
        <v>006</v>
      </c>
      <c r="O2070" s="1" t="str">
        <f t="shared" si="1306"/>
        <v>00</v>
      </c>
      <c r="P2070" s="1" t="str">
        <f t="shared" si="1307"/>
        <v>S</v>
      </c>
      <c r="Q2070" s="1" t="str">
        <f t="shared" si="1308"/>
        <v>P</v>
      </c>
      <c r="R2070" s="1" t="str">
        <f t="shared" si="1309"/>
        <v>01</v>
      </c>
      <c r="S2070" s="1" t="str">
        <f t="shared" si="1296"/>
        <v>04</v>
      </c>
      <c r="T2070" s="1" t="str">
        <f t="shared" si="1310"/>
        <v>False</v>
      </c>
      <c r="U2070" s="1" t="str">
        <f t="shared" si="1311"/>
        <v>True</v>
      </c>
      <c r="V2070" s="1" t="str">
        <f>"U0032573"</f>
        <v>U0032573</v>
      </c>
      <c r="W2070" s="1">
        <v>1</v>
      </c>
      <c r="Y2070" s="1">
        <v>0</v>
      </c>
      <c r="Z2070" s="1">
        <v>0</v>
      </c>
      <c r="AB2070" s="1" t="str">
        <f t="shared" si="1298"/>
        <v>SMU</v>
      </c>
      <c r="AI2070" s="1" t="str">
        <f>"F11"</f>
        <v>F11</v>
      </c>
      <c r="AJ2070" s="1" t="str">
        <f t="shared" si="1299"/>
        <v>MAN</v>
      </c>
      <c r="AK2070" s="1" t="str">
        <f t="shared" si="1312"/>
        <v>PA</v>
      </c>
      <c r="AP2070" s="1" t="str">
        <f t="shared" si="1313"/>
        <v>False</v>
      </c>
      <c r="AR2070" s="1" t="str">
        <f t="shared" si="1318"/>
        <v>SOLAN</v>
      </c>
      <c r="AY2070" s="1" t="str">
        <f t="shared" si="1314"/>
        <v>PF</v>
      </c>
      <c r="AZ2070" s="1">
        <v>0</v>
      </c>
      <c r="BA2070" s="1">
        <v>0</v>
      </c>
      <c r="BB2070" s="1">
        <v>0</v>
      </c>
      <c r="BC2070" s="1">
        <v>0</v>
      </c>
      <c r="BD2070" s="1">
        <v>0</v>
      </c>
      <c r="BE2070" s="1" t="str">
        <f t="shared" si="1319"/>
        <v>S.CADET GOMMA  TWILL CANVAS</v>
      </c>
      <c r="BF2070" s="1" t="str">
        <f t="shared" si="1315"/>
        <v>Bonis SpA</v>
      </c>
    </row>
    <row r="2071" spans="2:58" x14ac:dyDescent="0.25">
      <c r="B2071" s="1">
        <v>2536</v>
      </c>
      <c r="C2071" s="1" t="str">
        <f t="shared" si="1316"/>
        <v>SOLAN4189S7/C1</v>
      </c>
      <c r="E2071" s="1" t="str">
        <f>"44"</f>
        <v>44</v>
      </c>
      <c r="F2071" s="1" t="str">
        <f t="shared" si="1304"/>
        <v>BONIS SPA</v>
      </c>
      <c r="G2071" s="1" t="str">
        <f t="shared" si="1294"/>
        <v>STOCK SCAFFALE MP</v>
      </c>
      <c r="H2071" s="1" t="str">
        <f t="shared" si="1317"/>
        <v>DKBL</v>
      </c>
      <c r="K2071" s="1">
        <v>2</v>
      </c>
      <c r="L2071" s="1" t="str">
        <f t="shared" si="1305"/>
        <v>01</v>
      </c>
      <c r="M2071" s="1" t="str">
        <f t="shared" si="1297"/>
        <v>409</v>
      </c>
      <c r="N2071" s="1" t="str">
        <f t="shared" si="1301"/>
        <v>006</v>
      </c>
      <c r="O2071" s="1" t="str">
        <f t="shared" si="1306"/>
        <v>00</v>
      </c>
      <c r="P2071" s="1" t="str">
        <f t="shared" si="1307"/>
        <v>S</v>
      </c>
      <c r="Q2071" s="1" t="str">
        <f t="shared" si="1308"/>
        <v>P</v>
      </c>
      <c r="R2071" s="1" t="str">
        <f t="shared" si="1309"/>
        <v>01</v>
      </c>
      <c r="S2071" s="1" t="str">
        <f t="shared" si="1296"/>
        <v>04</v>
      </c>
      <c r="T2071" s="1" t="str">
        <f t="shared" si="1310"/>
        <v>False</v>
      </c>
      <c r="U2071" s="1" t="str">
        <f t="shared" si="1311"/>
        <v>True</v>
      </c>
      <c r="V2071" s="1" t="str">
        <f>"U0032573"</f>
        <v>U0032573</v>
      </c>
      <c r="W2071" s="1">
        <v>1</v>
      </c>
      <c r="Y2071" s="1">
        <v>0</v>
      </c>
      <c r="Z2071" s="1">
        <v>0</v>
      </c>
      <c r="AB2071" s="1" t="str">
        <f t="shared" si="1298"/>
        <v>SMU</v>
      </c>
      <c r="AI2071" s="1" t="str">
        <f>"F11"</f>
        <v>F11</v>
      </c>
      <c r="AJ2071" s="1" t="str">
        <f t="shared" si="1299"/>
        <v>MAN</v>
      </c>
      <c r="AK2071" s="1" t="str">
        <f t="shared" si="1312"/>
        <v>PA</v>
      </c>
      <c r="AP2071" s="1" t="str">
        <f t="shared" si="1313"/>
        <v>False</v>
      </c>
      <c r="AR2071" s="1" t="str">
        <f t="shared" si="1318"/>
        <v>SOLAN</v>
      </c>
      <c r="AY2071" s="1" t="str">
        <f t="shared" si="1314"/>
        <v>PF</v>
      </c>
      <c r="AZ2071" s="1">
        <v>0</v>
      </c>
      <c r="BA2071" s="1">
        <v>0</v>
      </c>
      <c r="BB2071" s="1">
        <v>0</v>
      </c>
      <c r="BC2071" s="1">
        <v>0</v>
      </c>
      <c r="BD2071" s="1">
        <v>0</v>
      </c>
      <c r="BE2071" s="1" t="str">
        <f t="shared" si="1319"/>
        <v>S.CADET GOMMA  TWILL CANVAS</v>
      </c>
      <c r="BF2071" s="1" t="str">
        <f t="shared" si="1315"/>
        <v>Bonis SpA</v>
      </c>
    </row>
    <row r="2072" spans="2:58" x14ac:dyDescent="0.25">
      <c r="B2072" s="1">
        <v>2536</v>
      </c>
      <c r="C2072" s="1" t="str">
        <f t="shared" si="1316"/>
        <v>SOLAN4189S7/C1</v>
      </c>
      <c r="E2072" s="1" t="str">
        <f>"41"</f>
        <v>41</v>
      </c>
      <c r="F2072" s="1" t="str">
        <f t="shared" si="1304"/>
        <v>BONIS SPA</v>
      </c>
      <c r="G2072" s="1" t="str">
        <f t="shared" si="1294"/>
        <v>STOCK SCAFFALE MP</v>
      </c>
      <c r="H2072" s="1" t="str">
        <f t="shared" si="1317"/>
        <v>DKBL</v>
      </c>
      <c r="K2072" s="1">
        <v>2</v>
      </c>
      <c r="L2072" s="1" t="str">
        <f t="shared" si="1305"/>
        <v>01</v>
      </c>
      <c r="M2072" s="1" t="str">
        <f t="shared" si="1297"/>
        <v>409</v>
      </c>
      <c r="N2072" s="1" t="str">
        <f t="shared" si="1301"/>
        <v>006</v>
      </c>
      <c r="O2072" s="1" t="str">
        <f t="shared" si="1306"/>
        <v>00</v>
      </c>
      <c r="P2072" s="1" t="str">
        <f t="shared" si="1307"/>
        <v>S</v>
      </c>
      <c r="Q2072" s="1" t="str">
        <f t="shared" si="1308"/>
        <v>P</v>
      </c>
      <c r="R2072" s="1" t="str">
        <f t="shared" si="1309"/>
        <v>01</v>
      </c>
      <c r="S2072" s="1" t="str">
        <f t="shared" si="1296"/>
        <v>04</v>
      </c>
      <c r="T2072" s="1" t="str">
        <f t="shared" si="1310"/>
        <v>False</v>
      </c>
      <c r="U2072" s="1" t="str">
        <f t="shared" si="1311"/>
        <v>True</v>
      </c>
      <c r="V2072" s="1" t="str">
        <f>"U0032561"</f>
        <v>U0032561</v>
      </c>
      <c r="W2072" s="1">
        <v>1</v>
      </c>
      <c r="Y2072" s="1">
        <v>0</v>
      </c>
      <c r="Z2072" s="1">
        <v>0</v>
      </c>
      <c r="AB2072" s="1" t="str">
        <f t="shared" si="1298"/>
        <v>SMU</v>
      </c>
      <c r="AI2072" s="1" t="str">
        <f>"106"</f>
        <v>106</v>
      </c>
      <c r="AJ2072" s="1" t="str">
        <f t="shared" si="1299"/>
        <v>MAN</v>
      </c>
      <c r="AK2072" s="1" t="str">
        <f t="shared" si="1312"/>
        <v>PA</v>
      </c>
      <c r="AP2072" s="1" t="str">
        <f t="shared" si="1313"/>
        <v>False</v>
      </c>
      <c r="AR2072" s="1" t="str">
        <f t="shared" si="1318"/>
        <v>SOLAN</v>
      </c>
      <c r="AY2072" s="1" t="str">
        <f t="shared" si="1314"/>
        <v>PF</v>
      </c>
      <c r="AZ2072" s="1">
        <v>0</v>
      </c>
      <c r="BA2072" s="1">
        <v>0</v>
      </c>
      <c r="BB2072" s="1">
        <v>0</v>
      </c>
      <c r="BC2072" s="1">
        <v>0</v>
      </c>
      <c r="BD2072" s="1">
        <v>0</v>
      </c>
      <c r="BE2072" s="1" t="str">
        <f t="shared" si="1319"/>
        <v>S.CADET GOMMA  TWILL CANVAS</v>
      </c>
      <c r="BF2072" s="1" t="str">
        <f t="shared" si="1315"/>
        <v>Bonis SpA</v>
      </c>
    </row>
    <row r="2073" spans="2:58" x14ac:dyDescent="0.25">
      <c r="B2073" s="1">
        <v>2536</v>
      </c>
      <c r="C2073" s="1" t="str">
        <f t="shared" si="1316"/>
        <v>SOLAN4189S7/C1</v>
      </c>
      <c r="E2073" s="1" t="str">
        <f>"42"</f>
        <v>42</v>
      </c>
      <c r="F2073" s="1" t="str">
        <f t="shared" si="1304"/>
        <v>BONIS SPA</v>
      </c>
      <c r="G2073" s="1" t="str">
        <f t="shared" si="1294"/>
        <v>STOCK SCAFFALE MP</v>
      </c>
      <c r="H2073" s="1" t="str">
        <f t="shared" si="1317"/>
        <v>DKBL</v>
      </c>
      <c r="K2073" s="1">
        <v>2</v>
      </c>
      <c r="L2073" s="1" t="str">
        <f t="shared" si="1305"/>
        <v>01</v>
      </c>
      <c r="M2073" s="1" t="str">
        <f t="shared" si="1297"/>
        <v>409</v>
      </c>
      <c r="N2073" s="1" t="str">
        <f t="shared" si="1301"/>
        <v>006</v>
      </c>
      <c r="O2073" s="1" t="str">
        <f t="shared" si="1306"/>
        <v>00</v>
      </c>
      <c r="P2073" s="1" t="str">
        <f t="shared" si="1307"/>
        <v>S</v>
      </c>
      <c r="Q2073" s="1" t="str">
        <f t="shared" si="1308"/>
        <v>P</v>
      </c>
      <c r="R2073" s="1" t="str">
        <f t="shared" si="1309"/>
        <v>01</v>
      </c>
      <c r="S2073" s="1" t="str">
        <f t="shared" si="1296"/>
        <v>04</v>
      </c>
      <c r="T2073" s="1" t="str">
        <f t="shared" si="1310"/>
        <v>False</v>
      </c>
      <c r="U2073" s="1" t="str">
        <f t="shared" si="1311"/>
        <v>True</v>
      </c>
      <c r="V2073" s="1" t="str">
        <f>"U0032561"</f>
        <v>U0032561</v>
      </c>
      <c r="W2073" s="1">
        <v>1</v>
      </c>
      <c r="Y2073" s="1">
        <v>0</v>
      </c>
      <c r="Z2073" s="1">
        <v>0</v>
      </c>
      <c r="AB2073" s="1" t="str">
        <f t="shared" si="1298"/>
        <v>SMU</v>
      </c>
      <c r="AI2073" s="1" t="str">
        <f>"106"</f>
        <v>106</v>
      </c>
      <c r="AJ2073" s="1" t="str">
        <f t="shared" ref="AJ2073:AJ2107" si="1320">"MAN"</f>
        <v>MAN</v>
      </c>
      <c r="AK2073" s="1" t="str">
        <f t="shared" si="1312"/>
        <v>PA</v>
      </c>
      <c r="AP2073" s="1" t="str">
        <f t="shared" si="1313"/>
        <v>False</v>
      </c>
      <c r="AR2073" s="1" t="str">
        <f t="shared" si="1318"/>
        <v>SOLAN</v>
      </c>
      <c r="AY2073" s="1" t="str">
        <f t="shared" si="1314"/>
        <v>PF</v>
      </c>
      <c r="AZ2073" s="1">
        <v>0</v>
      </c>
      <c r="BA2073" s="1">
        <v>0</v>
      </c>
      <c r="BB2073" s="1">
        <v>0</v>
      </c>
      <c r="BC2073" s="1">
        <v>0</v>
      </c>
      <c r="BD2073" s="1">
        <v>0</v>
      </c>
      <c r="BE2073" s="1" t="str">
        <f t="shared" si="1319"/>
        <v>S.CADET GOMMA  TWILL CANVAS</v>
      </c>
      <c r="BF2073" s="1" t="str">
        <f t="shared" si="1315"/>
        <v>Bonis SpA</v>
      </c>
    </row>
    <row r="2074" spans="2:58" x14ac:dyDescent="0.25">
      <c r="B2074" s="1">
        <v>2536</v>
      </c>
      <c r="C2074" s="1" t="str">
        <f t="shared" si="1316"/>
        <v>SOLAN4189S7/C1</v>
      </c>
      <c r="E2074" s="1" t="str">
        <f>"43"</f>
        <v>43</v>
      </c>
      <c r="F2074" s="1" t="str">
        <f t="shared" si="1304"/>
        <v>BONIS SPA</v>
      </c>
      <c r="G2074" s="1" t="str">
        <f t="shared" si="1294"/>
        <v>STOCK SCAFFALE MP</v>
      </c>
      <c r="H2074" s="1" t="str">
        <f t="shared" si="1317"/>
        <v>DKBL</v>
      </c>
      <c r="K2074" s="1">
        <v>2</v>
      </c>
      <c r="L2074" s="1" t="str">
        <f t="shared" si="1305"/>
        <v>01</v>
      </c>
      <c r="M2074" s="1" t="str">
        <f t="shared" si="1297"/>
        <v>409</v>
      </c>
      <c r="N2074" s="1" t="str">
        <f t="shared" ref="N2074:N2107" si="1321">"006"</f>
        <v>006</v>
      </c>
      <c r="O2074" s="1" t="str">
        <f t="shared" si="1306"/>
        <v>00</v>
      </c>
      <c r="P2074" s="1" t="str">
        <f t="shared" si="1307"/>
        <v>S</v>
      </c>
      <c r="Q2074" s="1" t="str">
        <f t="shared" si="1308"/>
        <v>P</v>
      </c>
      <c r="R2074" s="1" t="str">
        <f t="shared" si="1309"/>
        <v>01</v>
      </c>
      <c r="S2074" s="1" t="str">
        <f t="shared" si="1296"/>
        <v>04</v>
      </c>
      <c r="T2074" s="1" t="str">
        <f t="shared" si="1310"/>
        <v>False</v>
      </c>
      <c r="U2074" s="1" t="str">
        <f t="shared" si="1311"/>
        <v>True</v>
      </c>
      <c r="V2074" s="1" t="str">
        <f>"U0032561"</f>
        <v>U0032561</v>
      </c>
      <c r="W2074" s="1">
        <v>1</v>
      </c>
      <c r="Y2074" s="1">
        <v>0</v>
      </c>
      <c r="Z2074" s="1">
        <v>0</v>
      </c>
      <c r="AB2074" s="1" t="str">
        <f t="shared" si="1298"/>
        <v>SMU</v>
      </c>
      <c r="AI2074" s="1" t="str">
        <f>"106"</f>
        <v>106</v>
      </c>
      <c r="AJ2074" s="1" t="str">
        <f t="shared" si="1320"/>
        <v>MAN</v>
      </c>
      <c r="AK2074" s="1" t="str">
        <f t="shared" si="1312"/>
        <v>PA</v>
      </c>
      <c r="AP2074" s="1" t="str">
        <f t="shared" si="1313"/>
        <v>False</v>
      </c>
      <c r="AR2074" s="1" t="str">
        <f t="shared" si="1318"/>
        <v>SOLAN</v>
      </c>
      <c r="AY2074" s="1" t="str">
        <f t="shared" si="1314"/>
        <v>PF</v>
      </c>
      <c r="AZ2074" s="1">
        <v>0</v>
      </c>
      <c r="BA2074" s="1">
        <v>0</v>
      </c>
      <c r="BB2074" s="1">
        <v>0</v>
      </c>
      <c r="BC2074" s="1">
        <v>0</v>
      </c>
      <c r="BD2074" s="1">
        <v>0</v>
      </c>
      <c r="BE2074" s="1" t="str">
        <f t="shared" si="1319"/>
        <v>S.CADET GOMMA  TWILL CANVAS</v>
      </c>
      <c r="BF2074" s="1" t="str">
        <f t="shared" si="1315"/>
        <v>Bonis SpA</v>
      </c>
    </row>
    <row r="2075" spans="2:58" x14ac:dyDescent="0.25">
      <c r="B2075" s="1">
        <v>2536</v>
      </c>
      <c r="C2075" s="1" t="str">
        <f t="shared" si="1316"/>
        <v>SOLAN4189S7/C1</v>
      </c>
      <c r="E2075" s="1" t="str">
        <f>"43"</f>
        <v>43</v>
      </c>
      <c r="F2075" s="1" t="str">
        <f t="shared" si="1304"/>
        <v>BONIS SPA</v>
      </c>
      <c r="G2075" s="1" t="str">
        <f t="shared" si="1294"/>
        <v>STOCK SCAFFALE MP</v>
      </c>
      <c r="H2075" s="1" t="str">
        <f t="shared" si="1317"/>
        <v>DKBL</v>
      </c>
      <c r="K2075" s="1">
        <v>1</v>
      </c>
      <c r="L2075" s="1" t="str">
        <f t="shared" si="1305"/>
        <v>01</v>
      </c>
      <c r="M2075" s="1" t="str">
        <f t="shared" si="1297"/>
        <v>409</v>
      </c>
      <c r="N2075" s="1" t="str">
        <f t="shared" si="1321"/>
        <v>006</v>
      </c>
      <c r="O2075" s="1" t="str">
        <f t="shared" si="1306"/>
        <v>00</v>
      </c>
      <c r="P2075" s="1" t="str">
        <f t="shared" si="1307"/>
        <v>S</v>
      </c>
      <c r="Q2075" s="1" t="str">
        <f t="shared" si="1308"/>
        <v>P</v>
      </c>
      <c r="R2075" s="1" t="str">
        <f t="shared" si="1309"/>
        <v>01</v>
      </c>
      <c r="S2075" s="1" t="str">
        <f t="shared" si="1296"/>
        <v>04</v>
      </c>
      <c r="T2075" s="1" t="str">
        <f t="shared" si="1310"/>
        <v>False</v>
      </c>
      <c r="U2075" s="1" t="str">
        <f t="shared" si="1311"/>
        <v>True</v>
      </c>
      <c r="V2075" s="1" t="str">
        <f>"U0032568"</f>
        <v>U0032568</v>
      </c>
      <c r="W2075" s="1">
        <v>1</v>
      </c>
      <c r="Y2075" s="1">
        <v>0</v>
      </c>
      <c r="Z2075" s="1">
        <v>0</v>
      </c>
      <c r="AB2075" s="1" t="str">
        <f t="shared" si="1298"/>
        <v>SMU</v>
      </c>
      <c r="AI2075" s="1" t="str">
        <f>"106"</f>
        <v>106</v>
      </c>
      <c r="AJ2075" s="1" t="str">
        <f t="shared" si="1320"/>
        <v>MAN</v>
      </c>
      <c r="AK2075" s="1" t="str">
        <f t="shared" si="1312"/>
        <v>PA</v>
      </c>
      <c r="AP2075" s="1" t="str">
        <f t="shared" si="1313"/>
        <v>False</v>
      </c>
      <c r="AR2075" s="1" t="str">
        <f t="shared" si="1318"/>
        <v>SOLAN</v>
      </c>
      <c r="AY2075" s="1" t="str">
        <f t="shared" si="1314"/>
        <v>PF</v>
      </c>
      <c r="AZ2075" s="1">
        <v>0</v>
      </c>
      <c r="BA2075" s="1">
        <v>0</v>
      </c>
      <c r="BB2075" s="1">
        <v>0</v>
      </c>
      <c r="BC2075" s="1">
        <v>0</v>
      </c>
      <c r="BD2075" s="1">
        <v>0</v>
      </c>
      <c r="BE2075" s="1" t="str">
        <f t="shared" si="1319"/>
        <v>S.CADET GOMMA  TWILL CANVAS</v>
      </c>
      <c r="BF2075" s="1" t="str">
        <f t="shared" si="1315"/>
        <v>Bonis SpA</v>
      </c>
    </row>
    <row r="2076" spans="2:58" x14ac:dyDescent="0.25">
      <c r="B2076" s="1">
        <v>2536</v>
      </c>
      <c r="C2076" s="1" t="str">
        <f t="shared" si="1316"/>
        <v>SOLAN4189S7/C1</v>
      </c>
      <c r="E2076" s="1" t="str">
        <f>"44"</f>
        <v>44</v>
      </c>
      <c r="F2076" s="1" t="str">
        <f t="shared" si="1304"/>
        <v>BONIS SPA</v>
      </c>
      <c r="G2076" s="1" t="str">
        <f t="shared" si="1294"/>
        <v>STOCK SCAFFALE MP</v>
      </c>
      <c r="H2076" s="1" t="str">
        <f t="shared" si="1317"/>
        <v>DKBL</v>
      </c>
      <c r="K2076" s="1">
        <v>1</v>
      </c>
      <c r="L2076" s="1" t="str">
        <f t="shared" si="1305"/>
        <v>01</v>
      </c>
      <c r="M2076" s="1" t="str">
        <f t="shared" si="1297"/>
        <v>409</v>
      </c>
      <c r="N2076" s="1" t="str">
        <f t="shared" si="1321"/>
        <v>006</v>
      </c>
      <c r="O2076" s="1" t="str">
        <f t="shared" si="1306"/>
        <v>00</v>
      </c>
      <c r="P2076" s="1" t="str">
        <f t="shared" si="1307"/>
        <v>S</v>
      </c>
      <c r="Q2076" s="1" t="str">
        <f t="shared" si="1308"/>
        <v>P</v>
      </c>
      <c r="R2076" s="1" t="str">
        <f t="shared" si="1309"/>
        <v>01</v>
      </c>
      <c r="S2076" s="1" t="str">
        <f t="shared" si="1296"/>
        <v>04</v>
      </c>
      <c r="T2076" s="1" t="str">
        <f t="shared" si="1310"/>
        <v>False</v>
      </c>
      <c r="U2076" s="1" t="str">
        <f t="shared" si="1311"/>
        <v>True</v>
      </c>
      <c r="V2076" s="1" t="str">
        <f>"U0032567"</f>
        <v>U0032567</v>
      </c>
      <c r="W2076" s="1">
        <v>1</v>
      </c>
      <c r="Y2076" s="1">
        <v>0</v>
      </c>
      <c r="Z2076" s="1">
        <v>0</v>
      </c>
      <c r="AB2076" s="1" t="str">
        <f t="shared" si="1298"/>
        <v>SMU</v>
      </c>
      <c r="AI2076" s="1" t="str">
        <f>"106"</f>
        <v>106</v>
      </c>
      <c r="AJ2076" s="1" t="str">
        <f t="shared" si="1320"/>
        <v>MAN</v>
      </c>
      <c r="AK2076" s="1" t="str">
        <f t="shared" si="1312"/>
        <v>PA</v>
      </c>
      <c r="AP2076" s="1" t="str">
        <f t="shared" si="1313"/>
        <v>False</v>
      </c>
      <c r="AR2076" s="1" t="str">
        <f t="shared" si="1318"/>
        <v>SOLAN</v>
      </c>
      <c r="AY2076" s="1" t="str">
        <f t="shared" si="1314"/>
        <v>PF</v>
      </c>
      <c r="AZ2076" s="1">
        <v>0</v>
      </c>
      <c r="BA2076" s="1">
        <v>0</v>
      </c>
      <c r="BB2076" s="1">
        <v>0</v>
      </c>
      <c r="BC2076" s="1">
        <v>0</v>
      </c>
      <c r="BD2076" s="1">
        <v>0</v>
      </c>
      <c r="BE2076" s="1" t="str">
        <f t="shared" si="1319"/>
        <v>S.CADET GOMMA  TWILL CANVAS</v>
      </c>
      <c r="BF2076" s="1" t="str">
        <f t="shared" si="1315"/>
        <v>Bonis SpA</v>
      </c>
    </row>
    <row r="2077" spans="2:58" x14ac:dyDescent="0.25">
      <c r="B2077" s="1">
        <v>2536</v>
      </c>
      <c r="C2077" s="1" t="str">
        <f t="shared" si="1316"/>
        <v>SOLAN4189S7/C1</v>
      </c>
      <c r="E2077" s="1" t="str">
        <f>"40"</f>
        <v>40</v>
      </c>
      <c r="F2077" s="1" t="str">
        <f t="shared" si="1304"/>
        <v>BONIS SPA</v>
      </c>
      <c r="G2077" s="1" t="str">
        <f t="shared" si="1294"/>
        <v>STOCK SCAFFALE MP</v>
      </c>
      <c r="H2077" s="1" t="str">
        <f t="shared" ref="H2077:H2097" si="1322">"WHI"</f>
        <v>WHI</v>
      </c>
      <c r="K2077" s="1">
        <v>1</v>
      </c>
      <c r="L2077" s="1" t="str">
        <f t="shared" si="1305"/>
        <v>01</v>
      </c>
      <c r="M2077" s="1" t="str">
        <f t="shared" si="1297"/>
        <v>409</v>
      </c>
      <c r="N2077" s="1" t="str">
        <f t="shared" si="1321"/>
        <v>006</v>
      </c>
      <c r="O2077" s="1" t="str">
        <f t="shared" si="1306"/>
        <v>00</v>
      </c>
      <c r="P2077" s="1" t="str">
        <f t="shared" si="1307"/>
        <v>S</v>
      </c>
      <c r="Q2077" s="1" t="str">
        <f t="shared" si="1308"/>
        <v>P</v>
      </c>
      <c r="R2077" s="1" t="str">
        <f t="shared" si="1309"/>
        <v>01</v>
      </c>
      <c r="S2077" s="1" t="str">
        <f t="shared" si="1296"/>
        <v>04</v>
      </c>
      <c r="T2077" s="1" t="str">
        <f t="shared" si="1310"/>
        <v>False</v>
      </c>
      <c r="U2077" s="1" t="str">
        <f t="shared" si="1311"/>
        <v>True</v>
      </c>
      <c r="V2077" s="1" t="str">
        <f>"U0032561"</f>
        <v>U0032561</v>
      </c>
      <c r="W2077" s="1">
        <v>1</v>
      </c>
      <c r="Y2077" s="1">
        <v>0</v>
      </c>
      <c r="Z2077" s="1">
        <v>0</v>
      </c>
      <c r="AB2077" s="1" t="str">
        <f t="shared" si="1298"/>
        <v>SMU</v>
      </c>
      <c r="AI2077" s="1" t="str">
        <f>"F11"</f>
        <v>F11</v>
      </c>
      <c r="AJ2077" s="1" t="str">
        <f t="shared" si="1320"/>
        <v>MAN</v>
      </c>
      <c r="AK2077" s="1" t="str">
        <f t="shared" si="1312"/>
        <v>PA</v>
      </c>
      <c r="AP2077" s="1" t="str">
        <f t="shared" si="1313"/>
        <v>False</v>
      </c>
      <c r="AR2077" s="1" t="str">
        <f t="shared" si="1318"/>
        <v>SOLAN</v>
      </c>
      <c r="AY2077" s="1" t="str">
        <f t="shared" si="1314"/>
        <v>PF</v>
      </c>
      <c r="AZ2077" s="1">
        <v>0</v>
      </c>
      <c r="BA2077" s="1">
        <v>0</v>
      </c>
      <c r="BB2077" s="1">
        <v>0</v>
      </c>
      <c r="BC2077" s="1">
        <v>0</v>
      </c>
      <c r="BD2077" s="1">
        <v>0</v>
      </c>
      <c r="BE2077" s="1" t="str">
        <f t="shared" si="1319"/>
        <v>S.CADET GOMMA  TWILL CANVAS</v>
      </c>
      <c r="BF2077" s="1" t="str">
        <f t="shared" si="1315"/>
        <v>Bonis SpA</v>
      </c>
    </row>
    <row r="2078" spans="2:58" x14ac:dyDescent="0.25">
      <c r="B2078" s="1">
        <v>2536</v>
      </c>
      <c r="C2078" s="1" t="str">
        <f t="shared" si="1316"/>
        <v>SOLAN4189S7/C1</v>
      </c>
      <c r="E2078" s="1" t="str">
        <f>"43"</f>
        <v>43</v>
      </c>
      <c r="F2078" s="1" t="str">
        <f t="shared" si="1304"/>
        <v>BONIS SPA</v>
      </c>
      <c r="G2078" s="1" t="str">
        <f t="shared" si="1294"/>
        <v>STOCK SCAFFALE MP</v>
      </c>
      <c r="H2078" s="1" t="str">
        <f t="shared" si="1322"/>
        <v>WHI</v>
      </c>
      <c r="K2078" s="1">
        <v>2</v>
      </c>
      <c r="L2078" s="1" t="str">
        <f t="shared" si="1305"/>
        <v>01</v>
      </c>
      <c r="M2078" s="1" t="str">
        <f t="shared" si="1297"/>
        <v>409</v>
      </c>
      <c r="N2078" s="1" t="str">
        <f t="shared" si="1321"/>
        <v>006</v>
      </c>
      <c r="O2078" s="1" t="str">
        <f t="shared" si="1306"/>
        <v>00</v>
      </c>
      <c r="P2078" s="1" t="str">
        <f t="shared" si="1307"/>
        <v>S</v>
      </c>
      <c r="Q2078" s="1" t="str">
        <f t="shared" si="1308"/>
        <v>P</v>
      </c>
      <c r="R2078" s="1" t="str">
        <f t="shared" si="1309"/>
        <v>01</v>
      </c>
      <c r="S2078" s="1" t="str">
        <f t="shared" si="1296"/>
        <v>04</v>
      </c>
      <c r="T2078" s="1" t="str">
        <f t="shared" si="1310"/>
        <v>False</v>
      </c>
      <c r="U2078" s="1" t="str">
        <f t="shared" si="1311"/>
        <v>True</v>
      </c>
      <c r="V2078" s="1" t="str">
        <f>"U0032561"</f>
        <v>U0032561</v>
      </c>
      <c r="W2078" s="1">
        <v>1</v>
      </c>
      <c r="Y2078" s="1">
        <v>0</v>
      </c>
      <c r="Z2078" s="1">
        <v>0</v>
      </c>
      <c r="AB2078" s="1" t="str">
        <f t="shared" si="1298"/>
        <v>SMU</v>
      </c>
      <c r="AI2078" s="1" t="str">
        <f>"106"</f>
        <v>106</v>
      </c>
      <c r="AJ2078" s="1" t="str">
        <f t="shared" si="1320"/>
        <v>MAN</v>
      </c>
      <c r="AK2078" s="1" t="str">
        <f t="shared" si="1312"/>
        <v>PA</v>
      </c>
      <c r="AP2078" s="1" t="str">
        <f t="shared" si="1313"/>
        <v>False</v>
      </c>
      <c r="AR2078" s="1" t="str">
        <f t="shared" si="1318"/>
        <v>SOLAN</v>
      </c>
      <c r="AY2078" s="1" t="str">
        <f t="shared" si="1314"/>
        <v>PF</v>
      </c>
      <c r="AZ2078" s="1">
        <v>0</v>
      </c>
      <c r="BA2078" s="1">
        <v>0</v>
      </c>
      <c r="BB2078" s="1">
        <v>0</v>
      </c>
      <c r="BC2078" s="1">
        <v>0</v>
      </c>
      <c r="BD2078" s="1">
        <v>0</v>
      </c>
      <c r="BE2078" s="1" t="str">
        <f t="shared" si="1319"/>
        <v>S.CADET GOMMA  TWILL CANVAS</v>
      </c>
      <c r="BF2078" s="1" t="str">
        <f t="shared" si="1315"/>
        <v>Bonis SpA</v>
      </c>
    </row>
    <row r="2079" spans="2:58" x14ac:dyDescent="0.25">
      <c r="B2079" s="1">
        <v>2536</v>
      </c>
      <c r="C2079" s="1" t="str">
        <f t="shared" si="1316"/>
        <v>SOLAN4189S7/C1</v>
      </c>
      <c r="E2079" s="1" t="str">
        <f>"43"</f>
        <v>43</v>
      </c>
      <c r="F2079" s="1" t="str">
        <f t="shared" si="1304"/>
        <v>BONIS SPA</v>
      </c>
      <c r="G2079" s="1" t="str">
        <f t="shared" si="1294"/>
        <v>STOCK SCAFFALE MP</v>
      </c>
      <c r="H2079" s="1" t="str">
        <f t="shared" si="1322"/>
        <v>WHI</v>
      </c>
      <c r="K2079" s="1">
        <v>1</v>
      </c>
      <c r="L2079" s="1" t="str">
        <f t="shared" si="1305"/>
        <v>01</v>
      </c>
      <c r="M2079" s="1" t="str">
        <f t="shared" si="1297"/>
        <v>409</v>
      </c>
      <c r="N2079" s="1" t="str">
        <f t="shared" si="1321"/>
        <v>006</v>
      </c>
      <c r="O2079" s="1" t="str">
        <f t="shared" si="1306"/>
        <v>00</v>
      </c>
      <c r="P2079" s="1" t="str">
        <f t="shared" si="1307"/>
        <v>S</v>
      </c>
      <c r="Q2079" s="1" t="str">
        <f t="shared" si="1308"/>
        <v>P</v>
      </c>
      <c r="R2079" s="1" t="str">
        <f t="shared" si="1309"/>
        <v>01</v>
      </c>
      <c r="S2079" s="1" t="str">
        <f t="shared" si="1296"/>
        <v>04</v>
      </c>
      <c r="T2079" s="1" t="str">
        <f t="shared" si="1310"/>
        <v>False</v>
      </c>
      <c r="U2079" s="1" t="str">
        <f t="shared" si="1311"/>
        <v>True</v>
      </c>
      <c r="V2079" s="1" t="str">
        <f>"U0032578"</f>
        <v>U0032578</v>
      </c>
      <c r="W2079" s="1">
        <v>1</v>
      </c>
      <c r="Y2079" s="1">
        <v>0</v>
      </c>
      <c r="Z2079" s="1">
        <v>0</v>
      </c>
      <c r="AB2079" s="1" t="str">
        <f t="shared" si="1298"/>
        <v>SMU</v>
      </c>
      <c r="AI2079" s="1" t="str">
        <f>"106"</f>
        <v>106</v>
      </c>
      <c r="AJ2079" s="1" t="str">
        <f t="shared" si="1320"/>
        <v>MAN</v>
      </c>
      <c r="AK2079" s="1" t="str">
        <f t="shared" si="1312"/>
        <v>PA</v>
      </c>
      <c r="AP2079" s="1" t="str">
        <f t="shared" si="1313"/>
        <v>False</v>
      </c>
      <c r="AR2079" s="1" t="str">
        <f t="shared" si="1318"/>
        <v>SOLAN</v>
      </c>
      <c r="AY2079" s="1" t="str">
        <f t="shared" si="1314"/>
        <v>PF</v>
      </c>
      <c r="AZ2079" s="1">
        <v>0</v>
      </c>
      <c r="BA2079" s="1">
        <v>0</v>
      </c>
      <c r="BB2079" s="1">
        <v>0</v>
      </c>
      <c r="BC2079" s="1">
        <v>0</v>
      </c>
      <c r="BD2079" s="1">
        <v>0</v>
      </c>
      <c r="BE2079" s="1" t="str">
        <f t="shared" si="1319"/>
        <v>S.CADET GOMMA  TWILL CANVAS</v>
      </c>
      <c r="BF2079" s="1" t="str">
        <f t="shared" si="1315"/>
        <v>Bonis SpA</v>
      </c>
    </row>
    <row r="2080" spans="2:58" x14ac:dyDescent="0.25">
      <c r="B2080" s="1">
        <v>2536</v>
      </c>
      <c r="C2080" s="1" t="str">
        <f t="shared" si="1316"/>
        <v>SOLAN4189S7/C1</v>
      </c>
      <c r="E2080" s="1" t="str">
        <f>"42"</f>
        <v>42</v>
      </c>
      <c r="F2080" s="1" t="str">
        <f t="shared" si="1304"/>
        <v>BONIS SPA</v>
      </c>
      <c r="G2080" s="1" t="str">
        <f t="shared" si="1294"/>
        <v>STOCK SCAFFALE MP</v>
      </c>
      <c r="H2080" s="1" t="str">
        <f t="shared" si="1322"/>
        <v>WHI</v>
      </c>
      <c r="K2080" s="1">
        <v>1</v>
      </c>
      <c r="L2080" s="1" t="str">
        <f t="shared" si="1305"/>
        <v>01</v>
      </c>
      <c r="M2080" s="1" t="str">
        <f t="shared" si="1297"/>
        <v>409</v>
      </c>
      <c r="N2080" s="1" t="str">
        <f t="shared" si="1321"/>
        <v>006</v>
      </c>
      <c r="O2080" s="1" t="str">
        <f t="shared" si="1306"/>
        <v>00</v>
      </c>
      <c r="P2080" s="1" t="str">
        <f t="shared" si="1307"/>
        <v>S</v>
      </c>
      <c r="Q2080" s="1" t="str">
        <f t="shared" si="1308"/>
        <v>P</v>
      </c>
      <c r="R2080" s="1" t="str">
        <f t="shared" si="1309"/>
        <v>01</v>
      </c>
      <c r="S2080" s="1" t="str">
        <f t="shared" si="1296"/>
        <v>04</v>
      </c>
      <c r="T2080" s="1" t="str">
        <f t="shared" si="1310"/>
        <v>False</v>
      </c>
      <c r="U2080" s="1" t="str">
        <f t="shared" si="1311"/>
        <v>True</v>
      </c>
      <c r="V2080" s="1" t="str">
        <f>"U0032561"</f>
        <v>U0032561</v>
      </c>
      <c r="W2080" s="1">
        <v>1</v>
      </c>
      <c r="Y2080" s="1">
        <v>0</v>
      </c>
      <c r="Z2080" s="1">
        <v>0</v>
      </c>
      <c r="AB2080" s="1" t="str">
        <f t="shared" si="1298"/>
        <v>SMU</v>
      </c>
      <c r="AI2080" s="1" t="str">
        <f>"106"</f>
        <v>106</v>
      </c>
      <c r="AJ2080" s="1" t="str">
        <f t="shared" si="1320"/>
        <v>MAN</v>
      </c>
      <c r="AK2080" s="1" t="str">
        <f t="shared" si="1312"/>
        <v>PA</v>
      </c>
      <c r="AP2080" s="1" t="str">
        <f t="shared" si="1313"/>
        <v>False</v>
      </c>
      <c r="AR2080" s="1" t="str">
        <f t="shared" si="1318"/>
        <v>SOLAN</v>
      </c>
      <c r="AY2080" s="1" t="str">
        <f t="shared" si="1314"/>
        <v>PF</v>
      </c>
      <c r="AZ2080" s="1">
        <v>0</v>
      </c>
      <c r="BA2080" s="1">
        <v>0</v>
      </c>
      <c r="BB2080" s="1">
        <v>0</v>
      </c>
      <c r="BC2080" s="1">
        <v>0</v>
      </c>
      <c r="BD2080" s="1">
        <v>0</v>
      </c>
      <c r="BE2080" s="1" t="str">
        <f t="shared" si="1319"/>
        <v>S.CADET GOMMA  TWILL CANVAS</v>
      </c>
      <c r="BF2080" s="1" t="str">
        <f t="shared" si="1315"/>
        <v>Bonis SpA</v>
      </c>
    </row>
    <row r="2081" spans="2:58" x14ac:dyDescent="0.25">
      <c r="B2081" s="1">
        <v>2536</v>
      </c>
      <c r="C2081" s="1" t="str">
        <f t="shared" si="1316"/>
        <v>SOLAN4189S7/C1</v>
      </c>
      <c r="E2081" s="1" t="str">
        <f>"42"</f>
        <v>42</v>
      </c>
      <c r="F2081" s="1" t="str">
        <f t="shared" si="1304"/>
        <v>BONIS SPA</v>
      </c>
      <c r="G2081" s="1" t="str">
        <f t="shared" si="1294"/>
        <v>STOCK SCAFFALE MP</v>
      </c>
      <c r="H2081" s="1" t="str">
        <f t="shared" si="1322"/>
        <v>WHI</v>
      </c>
      <c r="K2081" s="1">
        <v>1</v>
      </c>
      <c r="L2081" s="1" t="str">
        <f t="shared" si="1305"/>
        <v>01</v>
      </c>
      <c r="M2081" s="1" t="str">
        <f t="shared" si="1297"/>
        <v>409</v>
      </c>
      <c r="N2081" s="1" t="str">
        <f t="shared" si="1321"/>
        <v>006</v>
      </c>
      <c r="O2081" s="1" t="str">
        <f t="shared" si="1306"/>
        <v>00</v>
      </c>
      <c r="P2081" s="1" t="str">
        <f t="shared" si="1307"/>
        <v>S</v>
      </c>
      <c r="Q2081" s="1" t="str">
        <f t="shared" si="1308"/>
        <v>P</v>
      </c>
      <c r="R2081" s="1" t="str">
        <f t="shared" si="1309"/>
        <v>01</v>
      </c>
      <c r="S2081" s="1" t="str">
        <f t="shared" si="1296"/>
        <v>04</v>
      </c>
      <c r="T2081" s="1" t="str">
        <f t="shared" si="1310"/>
        <v>False</v>
      </c>
      <c r="U2081" s="1" t="str">
        <f t="shared" si="1311"/>
        <v>True</v>
      </c>
      <c r="V2081" s="1" t="str">
        <f>"U0032570"</f>
        <v>U0032570</v>
      </c>
      <c r="W2081" s="1">
        <v>1</v>
      </c>
      <c r="Y2081" s="1">
        <v>0</v>
      </c>
      <c r="Z2081" s="1">
        <v>0</v>
      </c>
      <c r="AB2081" s="1" t="str">
        <f t="shared" si="1298"/>
        <v>SMU</v>
      </c>
      <c r="AI2081" s="1" t="str">
        <f>"106"</f>
        <v>106</v>
      </c>
      <c r="AJ2081" s="1" t="str">
        <f t="shared" si="1320"/>
        <v>MAN</v>
      </c>
      <c r="AK2081" s="1" t="str">
        <f t="shared" si="1312"/>
        <v>PA</v>
      </c>
      <c r="AP2081" s="1" t="str">
        <f t="shared" si="1313"/>
        <v>False</v>
      </c>
      <c r="AR2081" s="1" t="str">
        <f t="shared" si="1318"/>
        <v>SOLAN</v>
      </c>
      <c r="AY2081" s="1" t="str">
        <f t="shared" si="1314"/>
        <v>PF</v>
      </c>
      <c r="AZ2081" s="1">
        <v>0</v>
      </c>
      <c r="BA2081" s="1">
        <v>0</v>
      </c>
      <c r="BB2081" s="1">
        <v>0</v>
      </c>
      <c r="BC2081" s="1">
        <v>0</v>
      </c>
      <c r="BD2081" s="1">
        <v>0</v>
      </c>
      <c r="BE2081" s="1" t="str">
        <f t="shared" si="1319"/>
        <v>S.CADET GOMMA  TWILL CANVAS</v>
      </c>
      <c r="BF2081" s="1" t="str">
        <f t="shared" si="1315"/>
        <v>Bonis SpA</v>
      </c>
    </row>
    <row r="2082" spans="2:58" x14ac:dyDescent="0.25">
      <c r="B2082" s="1">
        <v>2536</v>
      </c>
      <c r="C2082" s="1" t="str">
        <f t="shared" si="1316"/>
        <v>SOLAN4189S7/C1</v>
      </c>
      <c r="E2082" s="1" t="str">
        <f>"44"</f>
        <v>44</v>
      </c>
      <c r="F2082" s="1" t="str">
        <f t="shared" si="1304"/>
        <v>BONIS SPA</v>
      </c>
      <c r="G2082" s="1" t="str">
        <f t="shared" si="1294"/>
        <v>STOCK SCAFFALE MP</v>
      </c>
      <c r="H2082" s="1" t="str">
        <f t="shared" si="1322"/>
        <v>WHI</v>
      </c>
      <c r="K2082" s="1">
        <v>2</v>
      </c>
      <c r="L2082" s="1" t="str">
        <f t="shared" si="1305"/>
        <v>01</v>
      </c>
      <c r="M2082" s="1" t="str">
        <f t="shared" si="1297"/>
        <v>409</v>
      </c>
      <c r="N2082" s="1" t="str">
        <f t="shared" si="1321"/>
        <v>006</v>
      </c>
      <c r="O2082" s="1" t="str">
        <f t="shared" si="1306"/>
        <v>00</v>
      </c>
      <c r="P2082" s="1" t="str">
        <f t="shared" si="1307"/>
        <v>S</v>
      </c>
      <c r="Q2082" s="1" t="str">
        <f t="shared" si="1308"/>
        <v>P</v>
      </c>
      <c r="R2082" s="1" t="str">
        <f t="shared" si="1309"/>
        <v>01</v>
      </c>
      <c r="S2082" s="1" t="str">
        <f t="shared" si="1296"/>
        <v>04</v>
      </c>
      <c r="T2082" s="1" t="str">
        <f t="shared" si="1310"/>
        <v>False</v>
      </c>
      <c r="U2082" s="1" t="str">
        <f t="shared" si="1311"/>
        <v>True</v>
      </c>
      <c r="V2082" s="1" t="str">
        <f>"U0032561"</f>
        <v>U0032561</v>
      </c>
      <c r="W2082" s="1">
        <v>1</v>
      </c>
      <c r="Y2082" s="1">
        <v>0</v>
      </c>
      <c r="Z2082" s="1">
        <v>0</v>
      </c>
      <c r="AB2082" s="1" t="str">
        <f t="shared" si="1298"/>
        <v>SMU</v>
      </c>
      <c r="AI2082" s="1" t="str">
        <f>"F11"</f>
        <v>F11</v>
      </c>
      <c r="AJ2082" s="1" t="str">
        <f t="shared" si="1320"/>
        <v>MAN</v>
      </c>
      <c r="AK2082" s="1" t="str">
        <f t="shared" si="1312"/>
        <v>PA</v>
      </c>
      <c r="AP2082" s="1" t="str">
        <f t="shared" si="1313"/>
        <v>False</v>
      </c>
      <c r="AR2082" s="1" t="str">
        <f t="shared" si="1318"/>
        <v>SOLAN</v>
      </c>
      <c r="AY2082" s="1" t="str">
        <f t="shared" si="1314"/>
        <v>PF</v>
      </c>
      <c r="AZ2082" s="1">
        <v>0</v>
      </c>
      <c r="BA2082" s="1">
        <v>0</v>
      </c>
      <c r="BB2082" s="1">
        <v>0</v>
      </c>
      <c r="BC2082" s="1">
        <v>0</v>
      </c>
      <c r="BD2082" s="1">
        <v>0</v>
      </c>
      <c r="BE2082" s="1" t="str">
        <f t="shared" si="1319"/>
        <v>S.CADET GOMMA  TWILL CANVAS</v>
      </c>
      <c r="BF2082" s="1" t="str">
        <f t="shared" si="1315"/>
        <v>Bonis SpA</v>
      </c>
    </row>
    <row r="2083" spans="2:58" x14ac:dyDescent="0.25">
      <c r="B2083" s="1">
        <v>2536</v>
      </c>
      <c r="C2083" s="1" t="str">
        <f t="shared" si="1316"/>
        <v>SOLAN4189S7/C1</v>
      </c>
      <c r="E2083" s="1" t="str">
        <f>"40"</f>
        <v>40</v>
      </c>
      <c r="F2083" s="1" t="str">
        <f t="shared" si="1304"/>
        <v>BONIS SPA</v>
      </c>
      <c r="G2083" s="1" t="str">
        <f t="shared" si="1294"/>
        <v>STOCK SCAFFALE MP</v>
      </c>
      <c r="H2083" s="1" t="str">
        <f t="shared" si="1322"/>
        <v>WHI</v>
      </c>
      <c r="K2083" s="1">
        <v>1</v>
      </c>
      <c r="L2083" s="1" t="str">
        <f t="shared" si="1305"/>
        <v>01</v>
      </c>
      <c r="M2083" s="1" t="str">
        <f t="shared" si="1297"/>
        <v>409</v>
      </c>
      <c r="N2083" s="1" t="str">
        <f t="shared" si="1321"/>
        <v>006</v>
      </c>
      <c r="O2083" s="1" t="str">
        <f t="shared" si="1306"/>
        <v>00</v>
      </c>
      <c r="P2083" s="1" t="str">
        <f t="shared" si="1307"/>
        <v>S</v>
      </c>
      <c r="Q2083" s="1" t="str">
        <f t="shared" si="1308"/>
        <v>P</v>
      </c>
      <c r="R2083" s="1" t="str">
        <f t="shared" si="1309"/>
        <v>01</v>
      </c>
      <c r="S2083" s="1" t="str">
        <f t="shared" si="1296"/>
        <v>04</v>
      </c>
      <c r="T2083" s="1" t="str">
        <f t="shared" si="1310"/>
        <v>False</v>
      </c>
      <c r="U2083" s="1" t="str">
        <f t="shared" si="1311"/>
        <v>True</v>
      </c>
      <c r="V2083" s="1" t="str">
        <f>"U0032563"</f>
        <v>U0032563</v>
      </c>
      <c r="W2083" s="1">
        <v>1</v>
      </c>
      <c r="Y2083" s="1">
        <v>0</v>
      </c>
      <c r="Z2083" s="1">
        <v>0</v>
      </c>
      <c r="AB2083" s="1" t="str">
        <f t="shared" si="1298"/>
        <v>SMU</v>
      </c>
      <c r="AI2083" s="1" t="str">
        <f>"F11"</f>
        <v>F11</v>
      </c>
      <c r="AJ2083" s="1" t="str">
        <f t="shared" si="1320"/>
        <v>MAN</v>
      </c>
      <c r="AK2083" s="1" t="str">
        <f t="shared" si="1312"/>
        <v>PA</v>
      </c>
      <c r="AP2083" s="1" t="str">
        <f t="shared" si="1313"/>
        <v>False</v>
      </c>
      <c r="AR2083" s="1" t="str">
        <f t="shared" si="1318"/>
        <v>SOLAN</v>
      </c>
      <c r="AY2083" s="1" t="str">
        <f t="shared" si="1314"/>
        <v>PF</v>
      </c>
      <c r="AZ2083" s="1">
        <v>0</v>
      </c>
      <c r="BA2083" s="1">
        <v>0</v>
      </c>
      <c r="BB2083" s="1">
        <v>0</v>
      </c>
      <c r="BC2083" s="1">
        <v>0</v>
      </c>
      <c r="BD2083" s="1">
        <v>0</v>
      </c>
      <c r="BE2083" s="1" t="str">
        <f t="shared" si="1319"/>
        <v>S.CADET GOMMA  TWILL CANVAS</v>
      </c>
      <c r="BF2083" s="1" t="str">
        <f t="shared" si="1315"/>
        <v>Bonis SpA</v>
      </c>
    </row>
    <row r="2084" spans="2:58" x14ac:dyDescent="0.25">
      <c r="B2084" s="1">
        <v>2536</v>
      </c>
      <c r="C2084" s="1" t="str">
        <f t="shared" si="1316"/>
        <v>SOLAN4189S7/C1</v>
      </c>
      <c r="E2084" s="1" t="str">
        <f>"41"</f>
        <v>41</v>
      </c>
      <c r="F2084" s="1" t="str">
        <f t="shared" si="1304"/>
        <v>BONIS SPA</v>
      </c>
      <c r="G2084" s="1" t="str">
        <f t="shared" si="1294"/>
        <v>STOCK SCAFFALE MP</v>
      </c>
      <c r="H2084" s="1" t="str">
        <f t="shared" si="1322"/>
        <v>WHI</v>
      </c>
      <c r="K2084" s="1">
        <v>2</v>
      </c>
      <c r="L2084" s="1" t="str">
        <f t="shared" si="1305"/>
        <v>01</v>
      </c>
      <c r="M2084" s="1" t="str">
        <f t="shared" si="1297"/>
        <v>409</v>
      </c>
      <c r="N2084" s="1" t="str">
        <f t="shared" si="1321"/>
        <v>006</v>
      </c>
      <c r="O2084" s="1" t="str">
        <f t="shared" si="1306"/>
        <v>00</v>
      </c>
      <c r="P2084" s="1" t="str">
        <f t="shared" si="1307"/>
        <v>S</v>
      </c>
      <c r="Q2084" s="1" t="str">
        <f t="shared" si="1308"/>
        <v>P</v>
      </c>
      <c r="R2084" s="1" t="str">
        <f t="shared" si="1309"/>
        <v>01</v>
      </c>
      <c r="S2084" s="1" t="str">
        <f t="shared" si="1296"/>
        <v>04</v>
      </c>
      <c r="T2084" s="1" t="str">
        <f t="shared" si="1310"/>
        <v>False</v>
      </c>
      <c r="U2084" s="1" t="str">
        <f t="shared" si="1311"/>
        <v>True</v>
      </c>
      <c r="V2084" s="1" t="str">
        <f>"U0032563"</f>
        <v>U0032563</v>
      </c>
      <c r="W2084" s="1">
        <v>1</v>
      </c>
      <c r="Y2084" s="1">
        <v>0</v>
      </c>
      <c r="Z2084" s="1">
        <v>0</v>
      </c>
      <c r="AB2084" s="1" t="str">
        <f t="shared" si="1298"/>
        <v>SMU</v>
      </c>
      <c r="AI2084" s="1" t="str">
        <f>"F11"</f>
        <v>F11</v>
      </c>
      <c r="AJ2084" s="1" t="str">
        <f t="shared" si="1320"/>
        <v>MAN</v>
      </c>
      <c r="AK2084" s="1" t="str">
        <f t="shared" si="1312"/>
        <v>PA</v>
      </c>
      <c r="AP2084" s="1" t="str">
        <f t="shared" si="1313"/>
        <v>False</v>
      </c>
      <c r="AR2084" s="1" t="str">
        <f t="shared" si="1318"/>
        <v>SOLAN</v>
      </c>
      <c r="AY2084" s="1" t="str">
        <f t="shared" si="1314"/>
        <v>PF</v>
      </c>
      <c r="AZ2084" s="1">
        <v>0</v>
      </c>
      <c r="BA2084" s="1">
        <v>0</v>
      </c>
      <c r="BB2084" s="1">
        <v>0</v>
      </c>
      <c r="BC2084" s="1">
        <v>0</v>
      </c>
      <c r="BD2084" s="1">
        <v>0</v>
      </c>
      <c r="BE2084" s="1" t="str">
        <f t="shared" si="1319"/>
        <v>S.CADET GOMMA  TWILL CANVAS</v>
      </c>
      <c r="BF2084" s="1" t="str">
        <f t="shared" si="1315"/>
        <v>Bonis SpA</v>
      </c>
    </row>
    <row r="2085" spans="2:58" x14ac:dyDescent="0.25">
      <c r="B2085" s="1">
        <v>2536</v>
      </c>
      <c r="C2085" s="1" t="str">
        <f t="shared" si="1316"/>
        <v>SOLAN4189S7/C1</v>
      </c>
      <c r="E2085" s="1" t="str">
        <f>"42"</f>
        <v>42</v>
      </c>
      <c r="F2085" s="1" t="str">
        <f t="shared" si="1304"/>
        <v>BONIS SPA</v>
      </c>
      <c r="G2085" s="1" t="str">
        <f t="shared" si="1294"/>
        <v>STOCK SCAFFALE MP</v>
      </c>
      <c r="H2085" s="1" t="str">
        <f t="shared" si="1322"/>
        <v>WHI</v>
      </c>
      <c r="K2085" s="1">
        <v>4</v>
      </c>
      <c r="L2085" s="1" t="str">
        <f t="shared" si="1305"/>
        <v>01</v>
      </c>
      <c r="M2085" s="1" t="str">
        <f t="shared" si="1297"/>
        <v>409</v>
      </c>
      <c r="N2085" s="1" t="str">
        <f t="shared" si="1321"/>
        <v>006</v>
      </c>
      <c r="O2085" s="1" t="str">
        <f t="shared" si="1306"/>
        <v>00</v>
      </c>
      <c r="P2085" s="1" t="str">
        <f t="shared" si="1307"/>
        <v>S</v>
      </c>
      <c r="Q2085" s="1" t="str">
        <f t="shared" si="1308"/>
        <v>P</v>
      </c>
      <c r="R2085" s="1" t="str">
        <f t="shared" si="1309"/>
        <v>01</v>
      </c>
      <c r="S2085" s="1" t="str">
        <f t="shared" si="1296"/>
        <v>04</v>
      </c>
      <c r="T2085" s="1" t="str">
        <f t="shared" si="1310"/>
        <v>False</v>
      </c>
      <c r="U2085" s="1" t="str">
        <f t="shared" si="1311"/>
        <v>True</v>
      </c>
      <c r="V2085" s="1" t="str">
        <f>"U0032563"</f>
        <v>U0032563</v>
      </c>
      <c r="W2085" s="1">
        <v>1</v>
      </c>
      <c r="Y2085" s="1">
        <v>0</v>
      </c>
      <c r="Z2085" s="1">
        <v>0</v>
      </c>
      <c r="AB2085" s="1" t="str">
        <f t="shared" si="1298"/>
        <v>SMU</v>
      </c>
      <c r="AI2085" s="1" t="str">
        <f>"106"</f>
        <v>106</v>
      </c>
      <c r="AJ2085" s="1" t="str">
        <f t="shared" si="1320"/>
        <v>MAN</v>
      </c>
      <c r="AK2085" s="1" t="str">
        <f t="shared" si="1312"/>
        <v>PA</v>
      </c>
      <c r="AP2085" s="1" t="str">
        <f t="shared" si="1313"/>
        <v>False</v>
      </c>
      <c r="AR2085" s="1" t="str">
        <f t="shared" si="1318"/>
        <v>SOLAN</v>
      </c>
      <c r="AY2085" s="1" t="str">
        <f t="shared" si="1314"/>
        <v>PF</v>
      </c>
      <c r="AZ2085" s="1">
        <v>0</v>
      </c>
      <c r="BA2085" s="1">
        <v>0</v>
      </c>
      <c r="BB2085" s="1">
        <v>0</v>
      </c>
      <c r="BC2085" s="1">
        <v>0</v>
      </c>
      <c r="BD2085" s="1">
        <v>0</v>
      </c>
      <c r="BE2085" s="1" t="str">
        <f t="shared" si="1319"/>
        <v>S.CADET GOMMA  TWILL CANVAS</v>
      </c>
      <c r="BF2085" s="1" t="str">
        <f t="shared" si="1315"/>
        <v>Bonis SpA</v>
      </c>
    </row>
    <row r="2086" spans="2:58" x14ac:dyDescent="0.25">
      <c r="B2086" s="1">
        <v>2536</v>
      </c>
      <c r="C2086" s="1" t="str">
        <f t="shared" si="1316"/>
        <v>SOLAN4189S7/C1</v>
      </c>
      <c r="E2086" s="1" t="str">
        <f>"43"</f>
        <v>43</v>
      </c>
      <c r="F2086" s="1" t="str">
        <f t="shared" si="1304"/>
        <v>BONIS SPA</v>
      </c>
      <c r="G2086" s="1" t="str">
        <f t="shared" si="1294"/>
        <v>STOCK SCAFFALE MP</v>
      </c>
      <c r="H2086" s="1" t="str">
        <f t="shared" si="1322"/>
        <v>WHI</v>
      </c>
      <c r="K2086" s="1">
        <v>3</v>
      </c>
      <c r="L2086" s="1" t="str">
        <f t="shared" si="1305"/>
        <v>01</v>
      </c>
      <c r="M2086" s="1" t="str">
        <f t="shared" si="1297"/>
        <v>409</v>
      </c>
      <c r="N2086" s="1" t="str">
        <f t="shared" si="1321"/>
        <v>006</v>
      </c>
      <c r="O2086" s="1" t="str">
        <f t="shared" si="1306"/>
        <v>00</v>
      </c>
      <c r="P2086" s="1" t="str">
        <f t="shared" si="1307"/>
        <v>S</v>
      </c>
      <c r="Q2086" s="1" t="str">
        <f t="shared" si="1308"/>
        <v>P</v>
      </c>
      <c r="R2086" s="1" t="str">
        <f t="shared" si="1309"/>
        <v>01</v>
      </c>
      <c r="S2086" s="1" t="str">
        <f t="shared" si="1296"/>
        <v>04</v>
      </c>
      <c r="T2086" s="1" t="str">
        <f t="shared" si="1310"/>
        <v>False</v>
      </c>
      <c r="U2086" s="1" t="str">
        <f t="shared" si="1311"/>
        <v>True</v>
      </c>
      <c r="V2086" s="1" t="str">
        <f>"U0032563"</f>
        <v>U0032563</v>
      </c>
      <c r="W2086" s="1">
        <v>1</v>
      </c>
      <c r="Y2086" s="1">
        <v>0</v>
      </c>
      <c r="Z2086" s="1">
        <v>0</v>
      </c>
      <c r="AB2086" s="1" t="str">
        <f t="shared" si="1298"/>
        <v>SMU</v>
      </c>
      <c r="AI2086" s="1" t="str">
        <f t="shared" ref="AI2086:AI2107" si="1323">"F11"</f>
        <v>F11</v>
      </c>
      <c r="AJ2086" s="1" t="str">
        <f t="shared" si="1320"/>
        <v>MAN</v>
      </c>
      <c r="AK2086" s="1" t="str">
        <f t="shared" si="1312"/>
        <v>PA</v>
      </c>
      <c r="AP2086" s="1" t="str">
        <f t="shared" si="1313"/>
        <v>False</v>
      </c>
      <c r="AR2086" s="1" t="str">
        <f t="shared" si="1318"/>
        <v>SOLAN</v>
      </c>
      <c r="AY2086" s="1" t="str">
        <f t="shared" si="1314"/>
        <v>PF</v>
      </c>
      <c r="AZ2086" s="1">
        <v>0</v>
      </c>
      <c r="BA2086" s="1">
        <v>0</v>
      </c>
      <c r="BB2086" s="1">
        <v>0</v>
      </c>
      <c r="BC2086" s="1">
        <v>0</v>
      </c>
      <c r="BD2086" s="1">
        <v>0</v>
      </c>
      <c r="BE2086" s="1" t="str">
        <f t="shared" si="1319"/>
        <v>S.CADET GOMMA  TWILL CANVAS</v>
      </c>
      <c r="BF2086" s="1" t="str">
        <f t="shared" si="1315"/>
        <v>Bonis SpA</v>
      </c>
    </row>
    <row r="2087" spans="2:58" x14ac:dyDescent="0.25">
      <c r="B2087" s="1">
        <v>2536</v>
      </c>
      <c r="C2087" s="1" t="str">
        <f t="shared" si="1316"/>
        <v>SOLAN4189S7/C1</v>
      </c>
      <c r="E2087" s="1" t="str">
        <f>"44"</f>
        <v>44</v>
      </c>
      <c r="F2087" s="1" t="str">
        <f t="shared" si="1304"/>
        <v>BONIS SPA</v>
      </c>
      <c r="G2087" s="1" t="str">
        <f t="shared" si="1294"/>
        <v>STOCK SCAFFALE MP</v>
      </c>
      <c r="H2087" s="1" t="str">
        <f t="shared" si="1322"/>
        <v>WHI</v>
      </c>
      <c r="K2087" s="1">
        <v>2</v>
      </c>
      <c r="L2087" s="1" t="str">
        <f t="shared" si="1305"/>
        <v>01</v>
      </c>
      <c r="M2087" s="1" t="str">
        <f t="shared" si="1297"/>
        <v>409</v>
      </c>
      <c r="N2087" s="1" t="str">
        <f t="shared" si="1321"/>
        <v>006</v>
      </c>
      <c r="O2087" s="1" t="str">
        <f t="shared" si="1306"/>
        <v>00</v>
      </c>
      <c r="P2087" s="1" t="str">
        <f t="shared" si="1307"/>
        <v>S</v>
      </c>
      <c r="Q2087" s="1" t="str">
        <f t="shared" si="1308"/>
        <v>P</v>
      </c>
      <c r="R2087" s="1" t="str">
        <f t="shared" si="1309"/>
        <v>01</v>
      </c>
      <c r="S2087" s="1" t="str">
        <f t="shared" si="1296"/>
        <v>04</v>
      </c>
      <c r="T2087" s="1" t="str">
        <f t="shared" si="1310"/>
        <v>False</v>
      </c>
      <c r="U2087" s="1" t="str">
        <f t="shared" si="1311"/>
        <v>True</v>
      </c>
      <c r="V2087" s="1" t="str">
        <f>"U0032563"</f>
        <v>U0032563</v>
      </c>
      <c r="W2087" s="1">
        <v>1</v>
      </c>
      <c r="Y2087" s="1">
        <v>0</v>
      </c>
      <c r="Z2087" s="1">
        <v>0</v>
      </c>
      <c r="AB2087" s="1" t="str">
        <f t="shared" si="1298"/>
        <v>SMU</v>
      </c>
      <c r="AI2087" s="1" t="str">
        <f t="shared" si="1323"/>
        <v>F11</v>
      </c>
      <c r="AJ2087" s="1" t="str">
        <f t="shared" si="1320"/>
        <v>MAN</v>
      </c>
      <c r="AK2087" s="1" t="str">
        <f t="shared" si="1312"/>
        <v>PA</v>
      </c>
      <c r="AP2087" s="1" t="str">
        <f t="shared" si="1313"/>
        <v>False</v>
      </c>
      <c r="AR2087" s="1" t="str">
        <f t="shared" si="1318"/>
        <v>SOLAN</v>
      </c>
      <c r="AY2087" s="1" t="str">
        <f t="shared" si="1314"/>
        <v>PF</v>
      </c>
      <c r="AZ2087" s="1">
        <v>0</v>
      </c>
      <c r="BA2087" s="1">
        <v>0</v>
      </c>
      <c r="BB2087" s="1">
        <v>0</v>
      </c>
      <c r="BC2087" s="1">
        <v>0</v>
      </c>
      <c r="BD2087" s="1">
        <v>0</v>
      </c>
      <c r="BE2087" s="1" t="str">
        <f t="shared" si="1319"/>
        <v>S.CADET GOMMA  TWILL CANVAS</v>
      </c>
      <c r="BF2087" s="1" t="str">
        <f t="shared" si="1315"/>
        <v>Bonis SpA</v>
      </c>
    </row>
    <row r="2088" spans="2:58" x14ac:dyDescent="0.25">
      <c r="B2088" s="1">
        <v>2536</v>
      </c>
      <c r="C2088" s="1" t="str">
        <f t="shared" si="1316"/>
        <v>SOLAN4189S7/C1</v>
      </c>
      <c r="E2088" s="1" t="str">
        <f>"40"</f>
        <v>40</v>
      </c>
      <c r="F2088" s="1" t="str">
        <f t="shared" si="1304"/>
        <v>BONIS SPA</v>
      </c>
      <c r="G2088" s="1" t="str">
        <f t="shared" si="1294"/>
        <v>STOCK SCAFFALE MP</v>
      </c>
      <c r="H2088" s="1" t="str">
        <f t="shared" si="1322"/>
        <v>WHI</v>
      </c>
      <c r="K2088" s="1">
        <v>1</v>
      </c>
      <c r="L2088" s="1" t="str">
        <f t="shared" si="1305"/>
        <v>01</v>
      </c>
      <c r="M2088" s="1" t="str">
        <f t="shared" si="1297"/>
        <v>409</v>
      </c>
      <c r="N2088" s="1" t="str">
        <f t="shared" si="1321"/>
        <v>006</v>
      </c>
      <c r="O2088" s="1" t="str">
        <f t="shared" si="1306"/>
        <v>00</v>
      </c>
      <c r="P2088" s="1" t="str">
        <f t="shared" si="1307"/>
        <v>S</v>
      </c>
      <c r="Q2088" s="1" t="str">
        <f t="shared" si="1308"/>
        <v>P</v>
      </c>
      <c r="R2088" s="1" t="str">
        <f t="shared" si="1309"/>
        <v>01</v>
      </c>
      <c r="S2088" s="1" t="str">
        <f t="shared" si="1296"/>
        <v>04</v>
      </c>
      <c r="T2088" s="1" t="str">
        <f t="shared" si="1310"/>
        <v>False</v>
      </c>
      <c r="U2088" s="1" t="str">
        <f t="shared" si="1311"/>
        <v>True</v>
      </c>
      <c r="V2088" s="1" t="str">
        <f>"U0032564"</f>
        <v>U0032564</v>
      </c>
      <c r="W2088" s="1">
        <v>1</v>
      </c>
      <c r="Y2088" s="1">
        <v>0</v>
      </c>
      <c r="Z2088" s="1">
        <v>0</v>
      </c>
      <c r="AB2088" s="1" t="str">
        <f t="shared" si="1298"/>
        <v>SMU</v>
      </c>
      <c r="AI2088" s="1" t="str">
        <f t="shared" si="1323"/>
        <v>F11</v>
      </c>
      <c r="AJ2088" s="1" t="str">
        <f t="shared" si="1320"/>
        <v>MAN</v>
      </c>
      <c r="AK2088" s="1" t="str">
        <f t="shared" si="1312"/>
        <v>PA</v>
      </c>
      <c r="AP2088" s="1" t="str">
        <f t="shared" si="1313"/>
        <v>False</v>
      </c>
      <c r="AR2088" s="1" t="str">
        <f t="shared" si="1318"/>
        <v>SOLAN</v>
      </c>
      <c r="AY2088" s="1" t="str">
        <f t="shared" si="1314"/>
        <v>PF</v>
      </c>
      <c r="AZ2088" s="1">
        <v>0</v>
      </c>
      <c r="BA2088" s="1">
        <v>0</v>
      </c>
      <c r="BB2088" s="1">
        <v>0</v>
      </c>
      <c r="BC2088" s="1">
        <v>0</v>
      </c>
      <c r="BD2088" s="1">
        <v>0</v>
      </c>
      <c r="BE2088" s="1" t="str">
        <f t="shared" si="1319"/>
        <v>S.CADET GOMMA  TWILL CANVAS</v>
      </c>
      <c r="BF2088" s="1" t="str">
        <f t="shared" si="1315"/>
        <v>Bonis SpA</v>
      </c>
    </row>
    <row r="2089" spans="2:58" x14ac:dyDescent="0.25">
      <c r="B2089" s="1">
        <v>2536</v>
      </c>
      <c r="C2089" s="1" t="str">
        <f t="shared" si="1316"/>
        <v>SOLAN4189S7/C1</v>
      </c>
      <c r="E2089" s="1" t="str">
        <f>"42"</f>
        <v>42</v>
      </c>
      <c r="F2089" s="1" t="str">
        <f t="shared" si="1304"/>
        <v>BONIS SPA</v>
      </c>
      <c r="G2089" s="1" t="str">
        <f t="shared" si="1294"/>
        <v>STOCK SCAFFALE MP</v>
      </c>
      <c r="H2089" s="1" t="str">
        <f t="shared" si="1322"/>
        <v>WHI</v>
      </c>
      <c r="K2089" s="1">
        <v>3</v>
      </c>
      <c r="L2089" s="1" t="str">
        <f t="shared" si="1305"/>
        <v>01</v>
      </c>
      <c r="M2089" s="1" t="str">
        <f t="shared" si="1297"/>
        <v>409</v>
      </c>
      <c r="N2089" s="1" t="str">
        <f t="shared" si="1321"/>
        <v>006</v>
      </c>
      <c r="O2089" s="1" t="str">
        <f t="shared" si="1306"/>
        <v>00</v>
      </c>
      <c r="P2089" s="1" t="str">
        <f t="shared" si="1307"/>
        <v>S</v>
      </c>
      <c r="Q2089" s="1" t="str">
        <f t="shared" si="1308"/>
        <v>P</v>
      </c>
      <c r="R2089" s="1" t="str">
        <f t="shared" si="1309"/>
        <v>01</v>
      </c>
      <c r="S2089" s="1" t="str">
        <f t="shared" si="1296"/>
        <v>04</v>
      </c>
      <c r="T2089" s="1" t="str">
        <f t="shared" si="1310"/>
        <v>False</v>
      </c>
      <c r="U2089" s="1" t="str">
        <f t="shared" si="1311"/>
        <v>True</v>
      </c>
      <c r="V2089" s="1" t="str">
        <f>"U0032564"</f>
        <v>U0032564</v>
      </c>
      <c r="W2089" s="1">
        <v>1</v>
      </c>
      <c r="Y2089" s="1">
        <v>0</v>
      </c>
      <c r="Z2089" s="1">
        <v>0</v>
      </c>
      <c r="AB2089" s="1" t="str">
        <f t="shared" si="1298"/>
        <v>SMU</v>
      </c>
      <c r="AI2089" s="1" t="str">
        <f t="shared" si="1323"/>
        <v>F11</v>
      </c>
      <c r="AJ2089" s="1" t="str">
        <f t="shared" si="1320"/>
        <v>MAN</v>
      </c>
      <c r="AK2089" s="1" t="str">
        <f t="shared" si="1312"/>
        <v>PA</v>
      </c>
      <c r="AP2089" s="1" t="str">
        <f t="shared" si="1313"/>
        <v>False</v>
      </c>
      <c r="AR2089" s="1" t="str">
        <f t="shared" si="1318"/>
        <v>SOLAN</v>
      </c>
      <c r="AY2089" s="1" t="str">
        <f t="shared" si="1314"/>
        <v>PF</v>
      </c>
      <c r="AZ2089" s="1">
        <v>0</v>
      </c>
      <c r="BA2089" s="1">
        <v>0</v>
      </c>
      <c r="BB2089" s="1">
        <v>0</v>
      </c>
      <c r="BC2089" s="1">
        <v>0</v>
      </c>
      <c r="BD2089" s="1">
        <v>0</v>
      </c>
      <c r="BE2089" s="1" t="str">
        <f t="shared" si="1319"/>
        <v>S.CADET GOMMA  TWILL CANVAS</v>
      </c>
      <c r="BF2089" s="1" t="str">
        <f t="shared" si="1315"/>
        <v>Bonis SpA</v>
      </c>
    </row>
    <row r="2090" spans="2:58" x14ac:dyDescent="0.25">
      <c r="B2090" s="1">
        <v>2536</v>
      </c>
      <c r="C2090" s="1" t="str">
        <f t="shared" si="1316"/>
        <v>SOLAN4189S7/C1</v>
      </c>
      <c r="E2090" s="1" t="str">
        <f>"43"</f>
        <v>43</v>
      </c>
      <c r="F2090" s="1" t="str">
        <f t="shared" si="1304"/>
        <v>BONIS SPA</v>
      </c>
      <c r="G2090" s="1" t="str">
        <f t="shared" si="1294"/>
        <v>STOCK SCAFFALE MP</v>
      </c>
      <c r="H2090" s="1" t="str">
        <f t="shared" si="1322"/>
        <v>WHI</v>
      </c>
      <c r="K2090" s="1">
        <v>3</v>
      </c>
      <c r="L2090" s="1" t="str">
        <f t="shared" si="1305"/>
        <v>01</v>
      </c>
      <c r="M2090" s="1" t="str">
        <f t="shared" si="1297"/>
        <v>409</v>
      </c>
      <c r="N2090" s="1" t="str">
        <f t="shared" si="1321"/>
        <v>006</v>
      </c>
      <c r="O2090" s="1" t="str">
        <f t="shared" si="1306"/>
        <v>00</v>
      </c>
      <c r="P2090" s="1" t="str">
        <f t="shared" si="1307"/>
        <v>S</v>
      </c>
      <c r="Q2090" s="1" t="str">
        <f t="shared" si="1308"/>
        <v>P</v>
      </c>
      <c r="R2090" s="1" t="str">
        <f t="shared" si="1309"/>
        <v>01</v>
      </c>
      <c r="S2090" s="1" t="str">
        <f t="shared" si="1296"/>
        <v>04</v>
      </c>
      <c r="T2090" s="1" t="str">
        <f t="shared" si="1310"/>
        <v>False</v>
      </c>
      <c r="U2090" s="1" t="str">
        <f t="shared" si="1311"/>
        <v>True</v>
      </c>
      <c r="V2090" s="1" t="str">
        <f>"U0032564"</f>
        <v>U0032564</v>
      </c>
      <c r="W2090" s="1">
        <v>1</v>
      </c>
      <c r="Y2090" s="1">
        <v>0</v>
      </c>
      <c r="Z2090" s="1">
        <v>0</v>
      </c>
      <c r="AB2090" s="1" t="str">
        <f t="shared" si="1298"/>
        <v>SMU</v>
      </c>
      <c r="AI2090" s="1" t="str">
        <f t="shared" si="1323"/>
        <v>F11</v>
      </c>
      <c r="AJ2090" s="1" t="str">
        <f t="shared" si="1320"/>
        <v>MAN</v>
      </c>
      <c r="AK2090" s="1" t="str">
        <f t="shared" si="1312"/>
        <v>PA</v>
      </c>
      <c r="AP2090" s="1" t="str">
        <f t="shared" si="1313"/>
        <v>False</v>
      </c>
      <c r="AR2090" s="1" t="str">
        <f t="shared" si="1318"/>
        <v>SOLAN</v>
      </c>
      <c r="AY2090" s="1" t="str">
        <f t="shared" si="1314"/>
        <v>PF</v>
      </c>
      <c r="AZ2090" s="1">
        <v>0</v>
      </c>
      <c r="BA2090" s="1">
        <v>0</v>
      </c>
      <c r="BB2090" s="1">
        <v>0</v>
      </c>
      <c r="BC2090" s="1">
        <v>0</v>
      </c>
      <c r="BD2090" s="1">
        <v>0</v>
      </c>
      <c r="BE2090" s="1" t="str">
        <f t="shared" si="1319"/>
        <v>S.CADET GOMMA  TWILL CANVAS</v>
      </c>
      <c r="BF2090" s="1" t="str">
        <f t="shared" si="1315"/>
        <v>Bonis SpA</v>
      </c>
    </row>
    <row r="2091" spans="2:58" x14ac:dyDescent="0.25">
      <c r="B2091" s="1">
        <v>2536</v>
      </c>
      <c r="C2091" s="1" t="str">
        <f t="shared" si="1316"/>
        <v>SOLAN4189S7/C1</v>
      </c>
      <c r="E2091" s="1" t="str">
        <f>"41"</f>
        <v>41</v>
      </c>
      <c r="F2091" s="1" t="str">
        <f t="shared" si="1304"/>
        <v>BONIS SPA</v>
      </c>
      <c r="G2091" s="1" t="str">
        <f t="shared" si="1294"/>
        <v>STOCK SCAFFALE MP</v>
      </c>
      <c r="H2091" s="1" t="str">
        <f t="shared" si="1322"/>
        <v>WHI</v>
      </c>
      <c r="K2091" s="1">
        <v>2</v>
      </c>
      <c r="L2091" s="1" t="str">
        <f t="shared" si="1305"/>
        <v>01</v>
      </c>
      <c r="M2091" s="1" t="str">
        <f t="shared" si="1297"/>
        <v>409</v>
      </c>
      <c r="N2091" s="1" t="str">
        <f t="shared" si="1321"/>
        <v>006</v>
      </c>
      <c r="O2091" s="1" t="str">
        <f t="shared" si="1306"/>
        <v>00</v>
      </c>
      <c r="P2091" s="1" t="str">
        <f t="shared" si="1307"/>
        <v>S</v>
      </c>
      <c r="Q2091" s="1" t="str">
        <f t="shared" si="1308"/>
        <v>P</v>
      </c>
      <c r="R2091" s="1" t="str">
        <f t="shared" si="1309"/>
        <v>01</v>
      </c>
      <c r="S2091" s="1" t="str">
        <f t="shared" si="1296"/>
        <v>04</v>
      </c>
      <c r="T2091" s="1" t="str">
        <f t="shared" si="1310"/>
        <v>False</v>
      </c>
      <c r="U2091" s="1" t="str">
        <f t="shared" si="1311"/>
        <v>True</v>
      </c>
      <c r="V2091" s="1" t="str">
        <f>"U0032564"</f>
        <v>U0032564</v>
      </c>
      <c r="W2091" s="1">
        <v>1</v>
      </c>
      <c r="Y2091" s="1">
        <v>0</v>
      </c>
      <c r="Z2091" s="1">
        <v>0</v>
      </c>
      <c r="AB2091" s="1" t="str">
        <f t="shared" si="1298"/>
        <v>SMU</v>
      </c>
      <c r="AI2091" s="1" t="str">
        <f t="shared" si="1323"/>
        <v>F11</v>
      </c>
      <c r="AJ2091" s="1" t="str">
        <f t="shared" si="1320"/>
        <v>MAN</v>
      </c>
      <c r="AK2091" s="1" t="str">
        <f t="shared" si="1312"/>
        <v>PA</v>
      </c>
      <c r="AP2091" s="1" t="str">
        <f t="shared" si="1313"/>
        <v>False</v>
      </c>
      <c r="AR2091" s="1" t="str">
        <f t="shared" si="1318"/>
        <v>SOLAN</v>
      </c>
      <c r="AY2091" s="1" t="str">
        <f t="shared" si="1314"/>
        <v>PF</v>
      </c>
      <c r="AZ2091" s="1">
        <v>0</v>
      </c>
      <c r="BA2091" s="1">
        <v>0</v>
      </c>
      <c r="BB2091" s="1">
        <v>0</v>
      </c>
      <c r="BC2091" s="1">
        <v>0</v>
      </c>
      <c r="BD2091" s="1">
        <v>0</v>
      </c>
      <c r="BE2091" s="1" t="str">
        <f t="shared" si="1319"/>
        <v>S.CADET GOMMA  TWILL CANVAS</v>
      </c>
      <c r="BF2091" s="1" t="str">
        <f t="shared" si="1315"/>
        <v>Bonis SpA</v>
      </c>
    </row>
    <row r="2092" spans="2:58" x14ac:dyDescent="0.25">
      <c r="B2092" s="1">
        <v>2536</v>
      </c>
      <c r="C2092" s="1" t="str">
        <f t="shared" si="1316"/>
        <v>SOLAN4189S7/C1</v>
      </c>
      <c r="E2092" s="1" t="str">
        <f>"44"</f>
        <v>44</v>
      </c>
      <c r="F2092" s="1" t="str">
        <f t="shared" si="1304"/>
        <v>BONIS SPA</v>
      </c>
      <c r="G2092" s="1" t="str">
        <f t="shared" si="1294"/>
        <v>STOCK SCAFFALE MP</v>
      </c>
      <c r="H2092" s="1" t="str">
        <f t="shared" si="1322"/>
        <v>WHI</v>
      </c>
      <c r="K2092" s="1">
        <v>2</v>
      </c>
      <c r="L2092" s="1" t="str">
        <f t="shared" si="1305"/>
        <v>01</v>
      </c>
      <c r="M2092" s="1" t="str">
        <f t="shared" si="1297"/>
        <v>409</v>
      </c>
      <c r="N2092" s="1" t="str">
        <f t="shared" si="1321"/>
        <v>006</v>
      </c>
      <c r="O2092" s="1" t="str">
        <f t="shared" si="1306"/>
        <v>00</v>
      </c>
      <c r="P2092" s="1" t="str">
        <f t="shared" si="1307"/>
        <v>S</v>
      </c>
      <c r="Q2092" s="1" t="str">
        <f t="shared" si="1308"/>
        <v>P</v>
      </c>
      <c r="R2092" s="1" t="str">
        <f t="shared" si="1309"/>
        <v>01</v>
      </c>
      <c r="S2092" s="1" t="str">
        <f t="shared" si="1296"/>
        <v>04</v>
      </c>
      <c r="T2092" s="1" t="str">
        <f t="shared" si="1310"/>
        <v>False</v>
      </c>
      <c r="U2092" s="1" t="str">
        <f t="shared" si="1311"/>
        <v>True</v>
      </c>
      <c r="V2092" s="1" t="str">
        <f>"U0032564"</f>
        <v>U0032564</v>
      </c>
      <c r="W2092" s="1">
        <v>1</v>
      </c>
      <c r="Y2092" s="1">
        <v>0</v>
      </c>
      <c r="Z2092" s="1">
        <v>0</v>
      </c>
      <c r="AB2092" s="1" t="str">
        <f t="shared" si="1298"/>
        <v>SMU</v>
      </c>
      <c r="AI2092" s="1" t="str">
        <f t="shared" si="1323"/>
        <v>F11</v>
      </c>
      <c r="AJ2092" s="1" t="str">
        <f t="shared" si="1320"/>
        <v>MAN</v>
      </c>
      <c r="AK2092" s="1" t="str">
        <f t="shared" si="1312"/>
        <v>PA</v>
      </c>
      <c r="AP2092" s="1" t="str">
        <f t="shared" si="1313"/>
        <v>False</v>
      </c>
      <c r="AR2092" s="1" t="str">
        <f t="shared" si="1318"/>
        <v>SOLAN</v>
      </c>
      <c r="AY2092" s="1" t="str">
        <f t="shared" si="1314"/>
        <v>PF</v>
      </c>
      <c r="AZ2092" s="1">
        <v>0</v>
      </c>
      <c r="BA2092" s="1">
        <v>0</v>
      </c>
      <c r="BB2092" s="1">
        <v>0</v>
      </c>
      <c r="BC2092" s="1">
        <v>0</v>
      </c>
      <c r="BD2092" s="1">
        <v>0</v>
      </c>
      <c r="BE2092" s="1" t="str">
        <f t="shared" si="1319"/>
        <v>S.CADET GOMMA  TWILL CANVAS</v>
      </c>
      <c r="BF2092" s="1" t="str">
        <f t="shared" si="1315"/>
        <v>Bonis SpA</v>
      </c>
    </row>
    <row r="2093" spans="2:58" x14ac:dyDescent="0.25">
      <c r="B2093" s="1">
        <v>2536</v>
      </c>
      <c r="C2093" s="1" t="str">
        <f t="shared" ref="C2093:C2107" si="1324">"RUMBO4186S7/C1"</f>
        <v>RUMBO4186S7/C1</v>
      </c>
      <c r="E2093" s="1" t="str">
        <f>"40"</f>
        <v>40</v>
      </c>
      <c r="F2093" s="1" t="str">
        <f t="shared" si="1304"/>
        <v>BONIS SPA</v>
      </c>
      <c r="G2093" s="1" t="str">
        <f t="shared" si="1294"/>
        <v>STOCK SCAFFALE MP</v>
      </c>
      <c r="H2093" s="1" t="str">
        <f t="shared" si="1322"/>
        <v>WHI</v>
      </c>
      <c r="K2093" s="1">
        <v>1</v>
      </c>
      <c r="L2093" s="1" t="str">
        <f t="shared" si="1305"/>
        <v>01</v>
      </c>
      <c r="M2093" s="1" t="str">
        <f t="shared" si="1297"/>
        <v>409</v>
      </c>
      <c r="N2093" s="1" t="str">
        <f t="shared" si="1321"/>
        <v>006</v>
      </c>
      <c r="O2093" s="1" t="str">
        <f t="shared" si="1306"/>
        <v>00</v>
      </c>
      <c r="P2093" s="1" t="str">
        <f t="shared" si="1307"/>
        <v>S</v>
      </c>
      <c r="Q2093" s="1" t="str">
        <f t="shared" si="1308"/>
        <v>P</v>
      </c>
      <c r="R2093" s="1" t="str">
        <f t="shared" si="1309"/>
        <v>01</v>
      </c>
      <c r="S2093" s="1" t="str">
        <f t="shared" si="1296"/>
        <v>04</v>
      </c>
      <c r="T2093" s="1" t="str">
        <f t="shared" si="1310"/>
        <v>False</v>
      </c>
      <c r="U2093" s="1" t="str">
        <f t="shared" si="1311"/>
        <v>True</v>
      </c>
      <c r="V2093" s="1" t="str">
        <f>"U0032566"</f>
        <v>U0032566</v>
      </c>
      <c r="W2093" s="1">
        <v>1</v>
      </c>
      <c r="Y2093" s="1">
        <v>0</v>
      </c>
      <c r="Z2093" s="1">
        <v>0</v>
      </c>
      <c r="AB2093" s="1" t="str">
        <f t="shared" si="1298"/>
        <v>SMU</v>
      </c>
      <c r="AI2093" s="1" t="str">
        <f t="shared" si="1323"/>
        <v>F11</v>
      </c>
      <c r="AJ2093" s="1" t="str">
        <f t="shared" si="1320"/>
        <v>MAN</v>
      </c>
      <c r="AK2093" s="1" t="str">
        <f t="shared" si="1312"/>
        <v>PA</v>
      </c>
      <c r="AP2093" s="1" t="str">
        <f t="shared" si="1313"/>
        <v>False</v>
      </c>
      <c r="AR2093" s="1" t="str">
        <f t="shared" ref="AR2093:AR2107" si="1325">"RUMBO"</f>
        <v>RUMBO</v>
      </c>
      <c r="AY2093" s="1" t="str">
        <f t="shared" si="1314"/>
        <v>PF</v>
      </c>
      <c r="AZ2093" s="1">
        <v>0</v>
      </c>
      <c r="BA2093" s="1">
        <v>0</v>
      </c>
      <c r="BB2093" s="1">
        <v>0</v>
      </c>
      <c r="BC2093" s="1">
        <v>0</v>
      </c>
      <c r="BD2093" s="1">
        <v>0</v>
      </c>
      <c r="BE2093" s="1" t="str">
        <f t="shared" ref="BE2093:BE2107" si="1326">"MBO TWILL CANVAS"</f>
        <v>MBO TWILL CANVAS</v>
      </c>
      <c r="BF2093" s="1" t="str">
        <f t="shared" si="1315"/>
        <v>Bonis SpA</v>
      </c>
    </row>
    <row r="2094" spans="2:58" x14ac:dyDescent="0.25">
      <c r="B2094" s="1">
        <v>2536</v>
      </c>
      <c r="C2094" s="1" t="str">
        <f t="shared" si="1324"/>
        <v>RUMBO4186S7/C1</v>
      </c>
      <c r="E2094" s="1" t="str">
        <f>"41"</f>
        <v>41</v>
      </c>
      <c r="F2094" s="1" t="str">
        <f t="shared" si="1304"/>
        <v>BONIS SPA</v>
      </c>
      <c r="G2094" s="1" t="str">
        <f t="shared" si="1294"/>
        <v>STOCK SCAFFALE MP</v>
      </c>
      <c r="H2094" s="1" t="str">
        <f t="shared" si="1322"/>
        <v>WHI</v>
      </c>
      <c r="K2094" s="1">
        <v>2</v>
      </c>
      <c r="L2094" s="1" t="str">
        <f t="shared" si="1305"/>
        <v>01</v>
      </c>
      <c r="M2094" s="1" t="str">
        <f t="shared" si="1297"/>
        <v>409</v>
      </c>
      <c r="N2094" s="1" t="str">
        <f t="shared" si="1321"/>
        <v>006</v>
      </c>
      <c r="O2094" s="1" t="str">
        <f t="shared" si="1306"/>
        <v>00</v>
      </c>
      <c r="P2094" s="1" t="str">
        <f t="shared" si="1307"/>
        <v>S</v>
      </c>
      <c r="Q2094" s="1" t="str">
        <f t="shared" si="1308"/>
        <v>P</v>
      </c>
      <c r="R2094" s="1" t="str">
        <f t="shared" si="1309"/>
        <v>01</v>
      </c>
      <c r="S2094" s="1" t="str">
        <f t="shared" si="1296"/>
        <v>04</v>
      </c>
      <c r="T2094" s="1" t="str">
        <f t="shared" si="1310"/>
        <v>False</v>
      </c>
      <c r="U2094" s="1" t="str">
        <f t="shared" si="1311"/>
        <v>True</v>
      </c>
      <c r="V2094" s="1" t="str">
        <f>"U0032566"</f>
        <v>U0032566</v>
      </c>
      <c r="W2094" s="1">
        <v>1</v>
      </c>
      <c r="Y2094" s="1">
        <v>0</v>
      </c>
      <c r="Z2094" s="1">
        <v>0</v>
      </c>
      <c r="AB2094" s="1" t="str">
        <f t="shared" si="1298"/>
        <v>SMU</v>
      </c>
      <c r="AI2094" s="1" t="str">
        <f t="shared" si="1323"/>
        <v>F11</v>
      </c>
      <c r="AJ2094" s="1" t="str">
        <f t="shared" si="1320"/>
        <v>MAN</v>
      </c>
      <c r="AK2094" s="1" t="str">
        <f t="shared" si="1312"/>
        <v>PA</v>
      </c>
      <c r="AP2094" s="1" t="str">
        <f t="shared" si="1313"/>
        <v>False</v>
      </c>
      <c r="AR2094" s="1" t="str">
        <f t="shared" si="1325"/>
        <v>RUMBO</v>
      </c>
      <c r="AY2094" s="1" t="str">
        <f t="shared" si="1314"/>
        <v>PF</v>
      </c>
      <c r="AZ2094" s="1">
        <v>0</v>
      </c>
      <c r="BA2094" s="1">
        <v>0</v>
      </c>
      <c r="BB2094" s="1">
        <v>0</v>
      </c>
      <c r="BC2094" s="1">
        <v>0</v>
      </c>
      <c r="BD2094" s="1">
        <v>0</v>
      </c>
      <c r="BE2094" s="1" t="str">
        <f t="shared" si="1326"/>
        <v>MBO TWILL CANVAS</v>
      </c>
      <c r="BF2094" s="1" t="str">
        <f t="shared" si="1315"/>
        <v>Bonis SpA</v>
      </c>
    </row>
    <row r="2095" spans="2:58" x14ac:dyDescent="0.25">
      <c r="B2095" s="1">
        <v>2536</v>
      </c>
      <c r="C2095" s="1" t="str">
        <f t="shared" si="1324"/>
        <v>RUMBO4186S7/C1</v>
      </c>
      <c r="E2095" s="1" t="str">
        <f>"42"</f>
        <v>42</v>
      </c>
      <c r="F2095" s="1" t="str">
        <f t="shared" si="1304"/>
        <v>BONIS SPA</v>
      </c>
      <c r="G2095" s="1" t="str">
        <f t="shared" si="1294"/>
        <v>STOCK SCAFFALE MP</v>
      </c>
      <c r="H2095" s="1" t="str">
        <f t="shared" si="1322"/>
        <v>WHI</v>
      </c>
      <c r="K2095" s="1">
        <v>3</v>
      </c>
      <c r="L2095" s="1" t="str">
        <f t="shared" si="1305"/>
        <v>01</v>
      </c>
      <c r="M2095" s="1" t="str">
        <f t="shared" si="1297"/>
        <v>409</v>
      </c>
      <c r="N2095" s="1" t="str">
        <f t="shared" si="1321"/>
        <v>006</v>
      </c>
      <c r="O2095" s="1" t="str">
        <f t="shared" si="1306"/>
        <v>00</v>
      </c>
      <c r="P2095" s="1" t="str">
        <f t="shared" si="1307"/>
        <v>S</v>
      </c>
      <c r="Q2095" s="1" t="str">
        <f t="shared" si="1308"/>
        <v>P</v>
      </c>
      <c r="R2095" s="1" t="str">
        <f t="shared" si="1309"/>
        <v>01</v>
      </c>
      <c r="S2095" s="1" t="str">
        <f t="shared" si="1296"/>
        <v>04</v>
      </c>
      <c r="T2095" s="1" t="str">
        <f t="shared" si="1310"/>
        <v>False</v>
      </c>
      <c r="U2095" s="1" t="str">
        <f t="shared" si="1311"/>
        <v>True</v>
      </c>
      <c r="V2095" s="1" t="str">
        <f>"U0032566"</f>
        <v>U0032566</v>
      </c>
      <c r="W2095" s="1">
        <v>1</v>
      </c>
      <c r="Y2095" s="1">
        <v>0</v>
      </c>
      <c r="Z2095" s="1">
        <v>0</v>
      </c>
      <c r="AB2095" s="1" t="str">
        <f t="shared" si="1298"/>
        <v>SMU</v>
      </c>
      <c r="AI2095" s="1" t="str">
        <f t="shared" si="1323"/>
        <v>F11</v>
      </c>
      <c r="AJ2095" s="1" t="str">
        <f t="shared" si="1320"/>
        <v>MAN</v>
      </c>
      <c r="AK2095" s="1" t="str">
        <f t="shared" si="1312"/>
        <v>PA</v>
      </c>
      <c r="AP2095" s="1" t="str">
        <f t="shared" si="1313"/>
        <v>False</v>
      </c>
      <c r="AR2095" s="1" t="str">
        <f t="shared" si="1325"/>
        <v>RUMBO</v>
      </c>
      <c r="AY2095" s="1" t="str">
        <f t="shared" si="1314"/>
        <v>PF</v>
      </c>
      <c r="AZ2095" s="1">
        <v>0</v>
      </c>
      <c r="BA2095" s="1">
        <v>0</v>
      </c>
      <c r="BB2095" s="1">
        <v>0</v>
      </c>
      <c r="BC2095" s="1">
        <v>0</v>
      </c>
      <c r="BD2095" s="1">
        <v>0</v>
      </c>
      <c r="BE2095" s="1" t="str">
        <f t="shared" si="1326"/>
        <v>MBO TWILL CANVAS</v>
      </c>
      <c r="BF2095" s="1" t="str">
        <f t="shared" si="1315"/>
        <v>Bonis SpA</v>
      </c>
    </row>
    <row r="2096" spans="2:58" x14ac:dyDescent="0.25">
      <c r="B2096" s="1">
        <v>2536</v>
      </c>
      <c r="C2096" s="1" t="str">
        <f t="shared" si="1324"/>
        <v>RUMBO4186S7/C1</v>
      </c>
      <c r="E2096" s="1" t="str">
        <f>"43"</f>
        <v>43</v>
      </c>
      <c r="F2096" s="1" t="str">
        <f t="shared" si="1304"/>
        <v>BONIS SPA</v>
      </c>
      <c r="G2096" s="1" t="str">
        <f t="shared" ref="G2096:G2159" si="1327">"STOCK SCAFFALE MP"</f>
        <v>STOCK SCAFFALE MP</v>
      </c>
      <c r="H2096" s="1" t="str">
        <f t="shared" si="1322"/>
        <v>WHI</v>
      </c>
      <c r="K2096" s="1">
        <v>1</v>
      </c>
      <c r="L2096" s="1" t="str">
        <f t="shared" si="1305"/>
        <v>01</v>
      </c>
      <c r="M2096" s="1" t="str">
        <f t="shared" si="1297"/>
        <v>409</v>
      </c>
      <c r="N2096" s="1" t="str">
        <f t="shared" si="1321"/>
        <v>006</v>
      </c>
      <c r="O2096" s="1" t="str">
        <f t="shared" si="1306"/>
        <v>00</v>
      </c>
      <c r="P2096" s="1" t="str">
        <f t="shared" si="1307"/>
        <v>S</v>
      </c>
      <c r="Q2096" s="1" t="str">
        <f t="shared" si="1308"/>
        <v>P</v>
      </c>
      <c r="R2096" s="1" t="str">
        <f t="shared" si="1309"/>
        <v>01</v>
      </c>
      <c r="S2096" s="1" t="str">
        <f t="shared" ref="S2096:S2159" si="1328">"04"</f>
        <v>04</v>
      </c>
      <c r="T2096" s="1" t="str">
        <f t="shared" si="1310"/>
        <v>False</v>
      </c>
      <c r="U2096" s="1" t="str">
        <f t="shared" si="1311"/>
        <v>True</v>
      </c>
      <c r="V2096" s="1" t="str">
        <f>"U0032566"</f>
        <v>U0032566</v>
      </c>
      <c r="W2096" s="1">
        <v>1</v>
      </c>
      <c r="Y2096" s="1">
        <v>0</v>
      </c>
      <c r="Z2096" s="1">
        <v>0</v>
      </c>
      <c r="AB2096" s="1" t="str">
        <f t="shared" si="1298"/>
        <v>SMU</v>
      </c>
      <c r="AI2096" s="1" t="str">
        <f t="shared" si="1323"/>
        <v>F11</v>
      </c>
      <c r="AJ2096" s="1" t="str">
        <f t="shared" si="1320"/>
        <v>MAN</v>
      </c>
      <c r="AK2096" s="1" t="str">
        <f t="shared" si="1312"/>
        <v>PA</v>
      </c>
      <c r="AP2096" s="1" t="str">
        <f t="shared" si="1313"/>
        <v>False</v>
      </c>
      <c r="AR2096" s="1" t="str">
        <f t="shared" si="1325"/>
        <v>RUMBO</v>
      </c>
      <c r="AY2096" s="1" t="str">
        <f t="shared" si="1314"/>
        <v>PF</v>
      </c>
      <c r="AZ2096" s="1">
        <v>0</v>
      </c>
      <c r="BA2096" s="1">
        <v>0</v>
      </c>
      <c r="BB2096" s="1">
        <v>0</v>
      </c>
      <c r="BC2096" s="1">
        <v>0</v>
      </c>
      <c r="BD2096" s="1">
        <v>0</v>
      </c>
      <c r="BE2096" s="1" t="str">
        <f t="shared" si="1326"/>
        <v>MBO TWILL CANVAS</v>
      </c>
      <c r="BF2096" s="1" t="str">
        <f t="shared" si="1315"/>
        <v>Bonis SpA</v>
      </c>
    </row>
    <row r="2097" spans="2:58" x14ac:dyDescent="0.25">
      <c r="B2097" s="1">
        <v>2536</v>
      </c>
      <c r="C2097" s="1" t="str">
        <f t="shared" si="1324"/>
        <v>RUMBO4186S7/C1</v>
      </c>
      <c r="E2097" s="1" t="str">
        <f>"44"</f>
        <v>44</v>
      </c>
      <c r="F2097" s="1" t="str">
        <f t="shared" si="1304"/>
        <v>BONIS SPA</v>
      </c>
      <c r="G2097" s="1" t="str">
        <f t="shared" si="1327"/>
        <v>STOCK SCAFFALE MP</v>
      </c>
      <c r="H2097" s="1" t="str">
        <f t="shared" si="1322"/>
        <v>WHI</v>
      </c>
      <c r="K2097" s="1">
        <v>2</v>
      </c>
      <c r="L2097" s="1" t="str">
        <f t="shared" si="1305"/>
        <v>01</v>
      </c>
      <c r="M2097" s="1" t="str">
        <f t="shared" si="1297"/>
        <v>409</v>
      </c>
      <c r="N2097" s="1" t="str">
        <f t="shared" si="1321"/>
        <v>006</v>
      </c>
      <c r="O2097" s="1" t="str">
        <f t="shared" si="1306"/>
        <v>00</v>
      </c>
      <c r="P2097" s="1" t="str">
        <f t="shared" si="1307"/>
        <v>S</v>
      </c>
      <c r="Q2097" s="1" t="str">
        <f t="shared" si="1308"/>
        <v>P</v>
      </c>
      <c r="R2097" s="1" t="str">
        <f t="shared" si="1309"/>
        <v>01</v>
      </c>
      <c r="S2097" s="1" t="str">
        <f t="shared" si="1328"/>
        <v>04</v>
      </c>
      <c r="T2097" s="1" t="str">
        <f t="shared" si="1310"/>
        <v>False</v>
      </c>
      <c r="U2097" s="1" t="str">
        <f t="shared" si="1311"/>
        <v>True</v>
      </c>
      <c r="V2097" s="1" t="str">
        <f>"U0032566"</f>
        <v>U0032566</v>
      </c>
      <c r="W2097" s="1">
        <v>1</v>
      </c>
      <c r="Y2097" s="1">
        <v>0</v>
      </c>
      <c r="Z2097" s="1">
        <v>0</v>
      </c>
      <c r="AB2097" s="1" t="str">
        <f t="shared" si="1298"/>
        <v>SMU</v>
      </c>
      <c r="AI2097" s="1" t="str">
        <f t="shared" si="1323"/>
        <v>F11</v>
      </c>
      <c r="AJ2097" s="1" t="str">
        <f t="shared" si="1320"/>
        <v>MAN</v>
      </c>
      <c r="AK2097" s="1" t="str">
        <f t="shared" si="1312"/>
        <v>PA</v>
      </c>
      <c r="AP2097" s="1" t="str">
        <f t="shared" si="1313"/>
        <v>False</v>
      </c>
      <c r="AR2097" s="1" t="str">
        <f t="shared" si="1325"/>
        <v>RUMBO</v>
      </c>
      <c r="AY2097" s="1" t="str">
        <f t="shared" si="1314"/>
        <v>PF</v>
      </c>
      <c r="AZ2097" s="1">
        <v>0</v>
      </c>
      <c r="BA2097" s="1">
        <v>0</v>
      </c>
      <c r="BB2097" s="1">
        <v>0</v>
      </c>
      <c r="BC2097" s="1">
        <v>0</v>
      </c>
      <c r="BD2097" s="1">
        <v>0</v>
      </c>
      <c r="BE2097" s="1" t="str">
        <f t="shared" si="1326"/>
        <v>MBO TWILL CANVAS</v>
      </c>
      <c r="BF2097" s="1" t="str">
        <f t="shared" si="1315"/>
        <v>Bonis SpA</v>
      </c>
    </row>
    <row r="2098" spans="2:58" x14ac:dyDescent="0.25">
      <c r="B2098" s="1">
        <v>2536</v>
      </c>
      <c r="C2098" s="1" t="str">
        <f t="shared" si="1324"/>
        <v>RUMBO4186S7/C1</v>
      </c>
      <c r="E2098" s="1" t="str">
        <f>"40"</f>
        <v>40</v>
      </c>
      <c r="F2098" s="1" t="str">
        <f t="shared" si="1304"/>
        <v>BONIS SPA</v>
      </c>
      <c r="G2098" s="1" t="str">
        <f t="shared" si="1327"/>
        <v>STOCK SCAFFALE MP</v>
      </c>
      <c r="H2098" s="1" t="str">
        <f>"BLK"</f>
        <v>BLK</v>
      </c>
      <c r="K2098" s="1">
        <v>1</v>
      </c>
      <c r="L2098" s="1" t="str">
        <f t="shared" si="1305"/>
        <v>01</v>
      </c>
      <c r="M2098" s="1" t="str">
        <f t="shared" si="1297"/>
        <v>409</v>
      </c>
      <c r="N2098" s="1" t="str">
        <f t="shared" si="1321"/>
        <v>006</v>
      </c>
      <c r="O2098" s="1" t="str">
        <f t="shared" si="1306"/>
        <v>00</v>
      </c>
      <c r="P2098" s="1" t="str">
        <f t="shared" si="1307"/>
        <v>S</v>
      </c>
      <c r="Q2098" s="1" t="str">
        <f t="shared" si="1308"/>
        <v>P</v>
      </c>
      <c r="R2098" s="1" t="str">
        <f t="shared" si="1309"/>
        <v>01</v>
      </c>
      <c r="S2098" s="1" t="str">
        <f t="shared" si="1328"/>
        <v>04</v>
      </c>
      <c r="T2098" s="1" t="str">
        <f t="shared" si="1310"/>
        <v>False</v>
      </c>
      <c r="U2098" s="1" t="str">
        <f t="shared" si="1311"/>
        <v>True</v>
      </c>
      <c r="V2098" s="1" t="str">
        <f>"U0032568"</f>
        <v>U0032568</v>
      </c>
      <c r="W2098" s="1">
        <v>1</v>
      </c>
      <c r="Y2098" s="1">
        <v>0</v>
      </c>
      <c r="Z2098" s="1">
        <v>0</v>
      </c>
      <c r="AB2098" s="1" t="str">
        <f t="shared" si="1298"/>
        <v>SMU</v>
      </c>
      <c r="AI2098" s="1" t="str">
        <f t="shared" si="1323"/>
        <v>F11</v>
      </c>
      <c r="AJ2098" s="1" t="str">
        <f t="shared" si="1320"/>
        <v>MAN</v>
      </c>
      <c r="AK2098" s="1" t="str">
        <f t="shared" si="1312"/>
        <v>PA</v>
      </c>
      <c r="AP2098" s="1" t="str">
        <f t="shared" si="1313"/>
        <v>False</v>
      </c>
      <c r="AR2098" s="1" t="str">
        <f t="shared" si="1325"/>
        <v>RUMBO</v>
      </c>
      <c r="AY2098" s="1" t="str">
        <f t="shared" si="1314"/>
        <v>PF</v>
      </c>
      <c r="AZ2098" s="1">
        <v>0</v>
      </c>
      <c r="BA2098" s="1">
        <v>0</v>
      </c>
      <c r="BB2098" s="1">
        <v>0</v>
      </c>
      <c r="BC2098" s="1">
        <v>0</v>
      </c>
      <c r="BD2098" s="1">
        <v>0</v>
      </c>
      <c r="BE2098" s="1" t="str">
        <f t="shared" si="1326"/>
        <v>MBO TWILL CANVAS</v>
      </c>
      <c r="BF2098" s="1" t="str">
        <f t="shared" si="1315"/>
        <v>Bonis SpA</v>
      </c>
    </row>
    <row r="2099" spans="2:58" x14ac:dyDescent="0.25">
      <c r="B2099" s="1">
        <v>2536</v>
      </c>
      <c r="C2099" s="1" t="str">
        <f t="shared" si="1324"/>
        <v>RUMBO4186S7/C1</v>
      </c>
      <c r="E2099" s="1" t="str">
        <f>"41"</f>
        <v>41</v>
      </c>
      <c r="F2099" s="1" t="str">
        <f t="shared" si="1304"/>
        <v>BONIS SPA</v>
      </c>
      <c r="G2099" s="1" t="str">
        <f t="shared" si="1327"/>
        <v>STOCK SCAFFALE MP</v>
      </c>
      <c r="H2099" s="1" t="str">
        <f>"BLK"</f>
        <v>BLK</v>
      </c>
      <c r="K2099" s="1">
        <v>2</v>
      </c>
      <c r="L2099" s="1" t="str">
        <f t="shared" si="1305"/>
        <v>01</v>
      </c>
      <c r="M2099" s="1" t="str">
        <f t="shared" si="1297"/>
        <v>409</v>
      </c>
      <c r="N2099" s="1" t="str">
        <f t="shared" si="1321"/>
        <v>006</v>
      </c>
      <c r="O2099" s="1" t="str">
        <f t="shared" si="1306"/>
        <v>00</v>
      </c>
      <c r="P2099" s="1" t="str">
        <f t="shared" si="1307"/>
        <v>S</v>
      </c>
      <c r="Q2099" s="1" t="str">
        <f t="shared" si="1308"/>
        <v>P</v>
      </c>
      <c r="R2099" s="1" t="str">
        <f t="shared" si="1309"/>
        <v>01</v>
      </c>
      <c r="S2099" s="1" t="str">
        <f t="shared" si="1328"/>
        <v>04</v>
      </c>
      <c r="T2099" s="1" t="str">
        <f t="shared" si="1310"/>
        <v>False</v>
      </c>
      <c r="U2099" s="1" t="str">
        <f t="shared" si="1311"/>
        <v>True</v>
      </c>
      <c r="V2099" s="1" t="str">
        <f>"U0032568"</f>
        <v>U0032568</v>
      </c>
      <c r="W2099" s="1">
        <v>1</v>
      </c>
      <c r="Y2099" s="1">
        <v>0</v>
      </c>
      <c r="Z2099" s="1">
        <v>0</v>
      </c>
      <c r="AB2099" s="1" t="str">
        <f t="shared" si="1298"/>
        <v>SMU</v>
      </c>
      <c r="AI2099" s="1" t="str">
        <f t="shared" si="1323"/>
        <v>F11</v>
      </c>
      <c r="AJ2099" s="1" t="str">
        <f t="shared" si="1320"/>
        <v>MAN</v>
      </c>
      <c r="AK2099" s="1" t="str">
        <f t="shared" si="1312"/>
        <v>PA</v>
      </c>
      <c r="AP2099" s="1" t="str">
        <f t="shared" si="1313"/>
        <v>False</v>
      </c>
      <c r="AR2099" s="1" t="str">
        <f t="shared" si="1325"/>
        <v>RUMBO</v>
      </c>
      <c r="AY2099" s="1" t="str">
        <f t="shared" si="1314"/>
        <v>PF</v>
      </c>
      <c r="AZ2099" s="1">
        <v>0</v>
      </c>
      <c r="BA2099" s="1">
        <v>0</v>
      </c>
      <c r="BB2099" s="1">
        <v>0</v>
      </c>
      <c r="BC2099" s="1">
        <v>0</v>
      </c>
      <c r="BD2099" s="1">
        <v>0</v>
      </c>
      <c r="BE2099" s="1" t="str">
        <f t="shared" si="1326"/>
        <v>MBO TWILL CANVAS</v>
      </c>
      <c r="BF2099" s="1" t="str">
        <f t="shared" si="1315"/>
        <v>Bonis SpA</v>
      </c>
    </row>
    <row r="2100" spans="2:58" x14ac:dyDescent="0.25">
      <c r="B2100" s="1">
        <v>2536</v>
      </c>
      <c r="C2100" s="1" t="str">
        <f t="shared" si="1324"/>
        <v>RUMBO4186S7/C1</v>
      </c>
      <c r="E2100" s="1" t="str">
        <f>"42"</f>
        <v>42</v>
      </c>
      <c r="F2100" s="1" t="str">
        <f t="shared" si="1304"/>
        <v>BONIS SPA</v>
      </c>
      <c r="G2100" s="1" t="str">
        <f t="shared" si="1327"/>
        <v>STOCK SCAFFALE MP</v>
      </c>
      <c r="H2100" s="1" t="str">
        <f>"BLK"</f>
        <v>BLK</v>
      </c>
      <c r="K2100" s="1">
        <v>3</v>
      </c>
      <c r="L2100" s="1" t="str">
        <f t="shared" si="1305"/>
        <v>01</v>
      </c>
      <c r="M2100" s="1" t="str">
        <f t="shared" si="1297"/>
        <v>409</v>
      </c>
      <c r="N2100" s="1" t="str">
        <f t="shared" si="1321"/>
        <v>006</v>
      </c>
      <c r="O2100" s="1" t="str">
        <f t="shared" si="1306"/>
        <v>00</v>
      </c>
      <c r="P2100" s="1" t="str">
        <f t="shared" si="1307"/>
        <v>S</v>
      </c>
      <c r="Q2100" s="1" t="str">
        <f t="shared" si="1308"/>
        <v>P</v>
      </c>
      <c r="R2100" s="1" t="str">
        <f t="shared" si="1309"/>
        <v>01</v>
      </c>
      <c r="S2100" s="1" t="str">
        <f t="shared" si="1328"/>
        <v>04</v>
      </c>
      <c r="T2100" s="1" t="str">
        <f t="shared" si="1310"/>
        <v>False</v>
      </c>
      <c r="U2100" s="1" t="str">
        <f t="shared" si="1311"/>
        <v>True</v>
      </c>
      <c r="V2100" s="1" t="str">
        <f>"U0032568"</f>
        <v>U0032568</v>
      </c>
      <c r="W2100" s="1">
        <v>1</v>
      </c>
      <c r="Y2100" s="1">
        <v>0</v>
      </c>
      <c r="Z2100" s="1">
        <v>0</v>
      </c>
      <c r="AB2100" s="1" t="str">
        <f t="shared" si="1298"/>
        <v>SMU</v>
      </c>
      <c r="AI2100" s="1" t="str">
        <f t="shared" si="1323"/>
        <v>F11</v>
      </c>
      <c r="AJ2100" s="1" t="str">
        <f t="shared" si="1320"/>
        <v>MAN</v>
      </c>
      <c r="AK2100" s="1" t="str">
        <f t="shared" si="1312"/>
        <v>PA</v>
      </c>
      <c r="AP2100" s="1" t="str">
        <f t="shared" si="1313"/>
        <v>False</v>
      </c>
      <c r="AR2100" s="1" t="str">
        <f t="shared" si="1325"/>
        <v>RUMBO</v>
      </c>
      <c r="AY2100" s="1" t="str">
        <f t="shared" si="1314"/>
        <v>PF</v>
      </c>
      <c r="AZ2100" s="1">
        <v>0</v>
      </c>
      <c r="BA2100" s="1">
        <v>0</v>
      </c>
      <c r="BB2100" s="1">
        <v>0</v>
      </c>
      <c r="BC2100" s="1">
        <v>0</v>
      </c>
      <c r="BD2100" s="1">
        <v>0</v>
      </c>
      <c r="BE2100" s="1" t="str">
        <f t="shared" si="1326"/>
        <v>MBO TWILL CANVAS</v>
      </c>
      <c r="BF2100" s="1" t="str">
        <f t="shared" si="1315"/>
        <v>Bonis SpA</v>
      </c>
    </row>
    <row r="2101" spans="2:58" x14ac:dyDescent="0.25">
      <c r="B2101" s="1">
        <v>2536</v>
      </c>
      <c r="C2101" s="1" t="str">
        <f t="shared" si="1324"/>
        <v>RUMBO4186S7/C1</v>
      </c>
      <c r="E2101" s="1" t="str">
        <f>"44"</f>
        <v>44</v>
      </c>
      <c r="F2101" s="1" t="str">
        <f t="shared" si="1304"/>
        <v>BONIS SPA</v>
      </c>
      <c r="G2101" s="1" t="str">
        <f t="shared" si="1327"/>
        <v>STOCK SCAFFALE MP</v>
      </c>
      <c r="H2101" s="1" t="str">
        <f>"WHI"</f>
        <v>WHI</v>
      </c>
      <c r="K2101" s="1">
        <v>2</v>
      </c>
      <c r="L2101" s="1" t="str">
        <f t="shared" si="1305"/>
        <v>01</v>
      </c>
      <c r="M2101" s="1" t="str">
        <f t="shared" si="1297"/>
        <v>409</v>
      </c>
      <c r="N2101" s="1" t="str">
        <f t="shared" si="1321"/>
        <v>006</v>
      </c>
      <c r="O2101" s="1" t="str">
        <f t="shared" si="1306"/>
        <v>00</v>
      </c>
      <c r="P2101" s="1" t="str">
        <f t="shared" si="1307"/>
        <v>S</v>
      </c>
      <c r="Q2101" s="1" t="str">
        <f t="shared" si="1308"/>
        <v>P</v>
      </c>
      <c r="R2101" s="1" t="str">
        <f t="shared" si="1309"/>
        <v>01</v>
      </c>
      <c r="S2101" s="1" t="str">
        <f t="shared" si="1328"/>
        <v>04</v>
      </c>
      <c r="T2101" s="1" t="str">
        <f t="shared" si="1310"/>
        <v>False</v>
      </c>
      <c r="U2101" s="1" t="str">
        <f t="shared" si="1311"/>
        <v>True</v>
      </c>
      <c r="V2101" s="1" t="str">
        <f>"U0032568"</f>
        <v>U0032568</v>
      </c>
      <c r="W2101" s="1">
        <v>1</v>
      </c>
      <c r="Y2101" s="1">
        <v>0</v>
      </c>
      <c r="Z2101" s="1">
        <v>0</v>
      </c>
      <c r="AB2101" s="1" t="str">
        <f t="shared" si="1298"/>
        <v>SMU</v>
      </c>
      <c r="AI2101" s="1" t="str">
        <f t="shared" si="1323"/>
        <v>F11</v>
      </c>
      <c r="AJ2101" s="1" t="str">
        <f t="shared" si="1320"/>
        <v>MAN</v>
      </c>
      <c r="AK2101" s="1" t="str">
        <f t="shared" si="1312"/>
        <v>PA</v>
      </c>
      <c r="AP2101" s="1" t="str">
        <f t="shared" si="1313"/>
        <v>False</v>
      </c>
      <c r="AR2101" s="1" t="str">
        <f t="shared" si="1325"/>
        <v>RUMBO</v>
      </c>
      <c r="AY2101" s="1" t="str">
        <f t="shared" si="1314"/>
        <v>PF</v>
      </c>
      <c r="AZ2101" s="1">
        <v>0</v>
      </c>
      <c r="BA2101" s="1">
        <v>0</v>
      </c>
      <c r="BB2101" s="1">
        <v>0</v>
      </c>
      <c r="BC2101" s="1">
        <v>0</v>
      </c>
      <c r="BD2101" s="1">
        <v>0</v>
      </c>
      <c r="BE2101" s="1" t="str">
        <f t="shared" si="1326"/>
        <v>MBO TWILL CANVAS</v>
      </c>
      <c r="BF2101" s="1" t="str">
        <f t="shared" si="1315"/>
        <v>Bonis SpA</v>
      </c>
    </row>
    <row r="2102" spans="2:58" x14ac:dyDescent="0.25">
      <c r="B2102" s="1">
        <v>2536</v>
      </c>
      <c r="C2102" s="1" t="str">
        <f t="shared" si="1324"/>
        <v>RUMBO4186S7/C1</v>
      </c>
      <c r="E2102" s="1" t="str">
        <f>"41"</f>
        <v>41</v>
      </c>
      <c r="F2102" s="1" t="str">
        <f t="shared" si="1304"/>
        <v>BONIS SPA</v>
      </c>
      <c r="G2102" s="1" t="str">
        <f t="shared" si="1327"/>
        <v>STOCK SCAFFALE MP</v>
      </c>
      <c r="H2102" s="1" t="str">
        <f>"WHI"</f>
        <v>WHI</v>
      </c>
      <c r="K2102" s="1">
        <v>2</v>
      </c>
      <c r="L2102" s="1" t="str">
        <f t="shared" si="1305"/>
        <v>01</v>
      </c>
      <c r="M2102" s="1" t="str">
        <f t="shared" ref="M2102:M2159" si="1329">"409"</f>
        <v>409</v>
      </c>
      <c r="N2102" s="1" t="str">
        <f t="shared" si="1321"/>
        <v>006</v>
      </c>
      <c r="O2102" s="1" t="str">
        <f t="shared" si="1306"/>
        <v>00</v>
      </c>
      <c r="P2102" s="1" t="str">
        <f t="shared" si="1307"/>
        <v>S</v>
      </c>
      <c r="Q2102" s="1" t="str">
        <f t="shared" si="1308"/>
        <v>P</v>
      </c>
      <c r="R2102" s="1" t="str">
        <f t="shared" si="1309"/>
        <v>01</v>
      </c>
      <c r="S2102" s="1" t="str">
        <f t="shared" si="1328"/>
        <v>04</v>
      </c>
      <c r="T2102" s="1" t="str">
        <f t="shared" si="1310"/>
        <v>False</v>
      </c>
      <c r="U2102" s="1" t="str">
        <f t="shared" si="1311"/>
        <v>True</v>
      </c>
      <c r="V2102" s="1" t="str">
        <f>"U0032568"</f>
        <v>U0032568</v>
      </c>
      <c r="W2102" s="1">
        <v>1</v>
      </c>
      <c r="Y2102" s="1">
        <v>0</v>
      </c>
      <c r="Z2102" s="1">
        <v>0</v>
      </c>
      <c r="AB2102" s="1" t="str">
        <f t="shared" ref="AB2102:AB2159" si="1330">"SMU"</f>
        <v>SMU</v>
      </c>
      <c r="AI2102" s="1" t="str">
        <f t="shared" si="1323"/>
        <v>F11</v>
      </c>
      <c r="AJ2102" s="1" t="str">
        <f t="shared" si="1320"/>
        <v>MAN</v>
      </c>
      <c r="AK2102" s="1" t="str">
        <f t="shared" si="1312"/>
        <v>PA</v>
      </c>
      <c r="AP2102" s="1" t="str">
        <f t="shared" si="1313"/>
        <v>False</v>
      </c>
      <c r="AR2102" s="1" t="str">
        <f t="shared" si="1325"/>
        <v>RUMBO</v>
      </c>
      <c r="AY2102" s="1" t="str">
        <f t="shared" si="1314"/>
        <v>PF</v>
      </c>
      <c r="AZ2102" s="1">
        <v>0</v>
      </c>
      <c r="BA2102" s="1">
        <v>0</v>
      </c>
      <c r="BB2102" s="1">
        <v>0</v>
      </c>
      <c r="BC2102" s="1">
        <v>0</v>
      </c>
      <c r="BD2102" s="1">
        <v>0</v>
      </c>
      <c r="BE2102" s="1" t="str">
        <f t="shared" si="1326"/>
        <v>MBO TWILL CANVAS</v>
      </c>
      <c r="BF2102" s="1" t="str">
        <f t="shared" si="1315"/>
        <v>Bonis SpA</v>
      </c>
    </row>
    <row r="2103" spans="2:58" x14ac:dyDescent="0.25">
      <c r="B2103" s="1">
        <v>2536</v>
      </c>
      <c r="C2103" s="1" t="str">
        <f t="shared" si="1324"/>
        <v>RUMBO4186S7/C1</v>
      </c>
      <c r="E2103" s="1" t="str">
        <f>"40"</f>
        <v>40</v>
      </c>
      <c r="F2103" s="1" t="str">
        <f t="shared" si="1304"/>
        <v>BONIS SPA</v>
      </c>
      <c r="G2103" s="1" t="str">
        <f t="shared" si="1327"/>
        <v>STOCK SCAFFALE MP</v>
      </c>
      <c r="H2103" s="1" t="str">
        <f t="shared" ref="H2103:H2117" si="1331">"BLK"</f>
        <v>BLK</v>
      </c>
      <c r="K2103" s="1">
        <v>1</v>
      </c>
      <c r="L2103" s="1" t="str">
        <f t="shared" si="1305"/>
        <v>01</v>
      </c>
      <c r="M2103" s="1" t="str">
        <f t="shared" si="1329"/>
        <v>409</v>
      </c>
      <c r="N2103" s="1" t="str">
        <f t="shared" si="1321"/>
        <v>006</v>
      </c>
      <c r="O2103" s="1" t="str">
        <f t="shared" si="1306"/>
        <v>00</v>
      </c>
      <c r="P2103" s="1" t="str">
        <f t="shared" si="1307"/>
        <v>S</v>
      </c>
      <c r="Q2103" s="1" t="str">
        <f t="shared" si="1308"/>
        <v>P</v>
      </c>
      <c r="R2103" s="1" t="str">
        <f t="shared" si="1309"/>
        <v>01</v>
      </c>
      <c r="S2103" s="1" t="str">
        <f t="shared" si="1328"/>
        <v>04</v>
      </c>
      <c r="T2103" s="1" t="str">
        <f t="shared" si="1310"/>
        <v>False</v>
      </c>
      <c r="U2103" s="1" t="str">
        <f t="shared" si="1311"/>
        <v>True</v>
      </c>
      <c r="V2103" s="1" t="str">
        <f>"U0032567"</f>
        <v>U0032567</v>
      </c>
      <c r="W2103" s="1">
        <v>1</v>
      </c>
      <c r="Y2103" s="1">
        <v>0</v>
      </c>
      <c r="Z2103" s="1">
        <v>0</v>
      </c>
      <c r="AB2103" s="1" t="str">
        <f t="shared" si="1330"/>
        <v>SMU</v>
      </c>
      <c r="AI2103" s="1" t="str">
        <f t="shared" si="1323"/>
        <v>F11</v>
      </c>
      <c r="AJ2103" s="1" t="str">
        <f t="shared" si="1320"/>
        <v>MAN</v>
      </c>
      <c r="AK2103" s="1" t="str">
        <f t="shared" si="1312"/>
        <v>PA</v>
      </c>
      <c r="AP2103" s="1" t="str">
        <f t="shared" si="1313"/>
        <v>False</v>
      </c>
      <c r="AR2103" s="1" t="str">
        <f t="shared" si="1325"/>
        <v>RUMBO</v>
      </c>
      <c r="AY2103" s="1" t="str">
        <f t="shared" si="1314"/>
        <v>PF</v>
      </c>
      <c r="AZ2103" s="1">
        <v>0</v>
      </c>
      <c r="BA2103" s="1">
        <v>0</v>
      </c>
      <c r="BB2103" s="1">
        <v>0</v>
      </c>
      <c r="BC2103" s="1">
        <v>0</v>
      </c>
      <c r="BD2103" s="1">
        <v>0</v>
      </c>
      <c r="BE2103" s="1" t="str">
        <f t="shared" si="1326"/>
        <v>MBO TWILL CANVAS</v>
      </c>
      <c r="BF2103" s="1" t="str">
        <f t="shared" si="1315"/>
        <v>Bonis SpA</v>
      </c>
    </row>
    <row r="2104" spans="2:58" x14ac:dyDescent="0.25">
      <c r="B2104" s="1">
        <v>2536</v>
      </c>
      <c r="C2104" s="1" t="str">
        <f t="shared" si="1324"/>
        <v>RUMBO4186S7/C1</v>
      </c>
      <c r="E2104" s="1" t="str">
        <f>"41"</f>
        <v>41</v>
      </c>
      <c r="F2104" s="1" t="str">
        <f t="shared" si="1304"/>
        <v>BONIS SPA</v>
      </c>
      <c r="G2104" s="1" t="str">
        <f t="shared" si="1327"/>
        <v>STOCK SCAFFALE MP</v>
      </c>
      <c r="H2104" s="1" t="str">
        <f t="shared" si="1331"/>
        <v>BLK</v>
      </c>
      <c r="K2104" s="1">
        <v>2</v>
      </c>
      <c r="L2104" s="1" t="str">
        <f t="shared" si="1305"/>
        <v>01</v>
      </c>
      <c r="M2104" s="1" t="str">
        <f t="shared" si="1329"/>
        <v>409</v>
      </c>
      <c r="N2104" s="1" t="str">
        <f t="shared" si="1321"/>
        <v>006</v>
      </c>
      <c r="O2104" s="1" t="str">
        <f t="shared" si="1306"/>
        <v>00</v>
      </c>
      <c r="P2104" s="1" t="str">
        <f t="shared" si="1307"/>
        <v>S</v>
      </c>
      <c r="Q2104" s="1" t="str">
        <f t="shared" si="1308"/>
        <v>P</v>
      </c>
      <c r="R2104" s="1" t="str">
        <f t="shared" si="1309"/>
        <v>01</v>
      </c>
      <c r="S2104" s="1" t="str">
        <f t="shared" si="1328"/>
        <v>04</v>
      </c>
      <c r="T2104" s="1" t="str">
        <f t="shared" si="1310"/>
        <v>False</v>
      </c>
      <c r="U2104" s="1" t="str">
        <f t="shared" si="1311"/>
        <v>True</v>
      </c>
      <c r="V2104" s="1" t="str">
        <f>"U0032567"</f>
        <v>U0032567</v>
      </c>
      <c r="W2104" s="1">
        <v>1</v>
      </c>
      <c r="Y2104" s="1">
        <v>0</v>
      </c>
      <c r="Z2104" s="1">
        <v>0</v>
      </c>
      <c r="AB2104" s="1" t="str">
        <f t="shared" si="1330"/>
        <v>SMU</v>
      </c>
      <c r="AI2104" s="1" t="str">
        <f t="shared" si="1323"/>
        <v>F11</v>
      </c>
      <c r="AJ2104" s="1" t="str">
        <f t="shared" si="1320"/>
        <v>MAN</v>
      </c>
      <c r="AK2104" s="1" t="str">
        <f t="shared" si="1312"/>
        <v>PA</v>
      </c>
      <c r="AP2104" s="1" t="str">
        <f t="shared" si="1313"/>
        <v>False</v>
      </c>
      <c r="AR2104" s="1" t="str">
        <f t="shared" si="1325"/>
        <v>RUMBO</v>
      </c>
      <c r="AY2104" s="1" t="str">
        <f t="shared" si="1314"/>
        <v>PF</v>
      </c>
      <c r="AZ2104" s="1">
        <v>0</v>
      </c>
      <c r="BA2104" s="1">
        <v>0</v>
      </c>
      <c r="BB2104" s="1">
        <v>0</v>
      </c>
      <c r="BC2104" s="1">
        <v>0</v>
      </c>
      <c r="BD2104" s="1">
        <v>0</v>
      </c>
      <c r="BE2104" s="1" t="str">
        <f t="shared" si="1326"/>
        <v>MBO TWILL CANVAS</v>
      </c>
      <c r="BF2104" s="1" t="str">
        <f t="shared" si="1315"/>
        <v>Bonis SpA</v>
      </c>
    </row>
    <row r="2105" spans="2:58" x14ac:dyDescent="0.25">
      <c r="B2105" s="1">
        <v>2536</v>
      </c>
      <c r="C2105" s="1" t="str">
        <f t="shared" si="1324"/>
        <v>RUMBO4186S7/C1</v>
      </c>
      <c r="E2105" s="1" t="str">
        <f>"42"</f>
        <v>42</v>
      </c>
      <c r="F2105" s="1" t="str">
        <f t="shared" si="1304"/>
        <v>BONIS SPA</v>
      </c>
      <c r="G2105" s="1" t="str">
        <f t="shared" si="1327"/>
        <v>STOCK SCAFFALE MP</v>
      </c>
      <c r="H2105" s="1" t="str">
        <f t="shared" si="1331"/>
        <v>BLK</v>
      </c>
      <c r="K2105" s="1">
        <v>3</v>
      </c>
      <c r="L2105" s="1" t="str">
        <f t="shared" si="1305"/>
        <v>01</v>
      </c>
      <c r="M2105" s="1" t="str">
        <f t="shared" si="1329"/>
        <v>409</v>
      </c>
      <c r="N2105" s="1" t="str">
        <f t="shared" si="1321"/>
        <v>006</v>
      </c>
      <c r="O2105" s="1" t="str">
        <f t="shared" si="1306"/>
        <v>00</v>
      </c>
      <c r="P2105" s="1" t="str">
        <f t="shared" si="1307"/>
        <v>S</v>
      </c>
      <c r="Q2105" s="1" t="str">
        <f t="shared" si="1308"/>
        <v>P</v>
      </c>
      <c r="R2105" s="1" t="str">
        <f t="shared" si="1309"/>
        <v>01</v>
      </c>
      <c r="S2105" s="1" t="str">
        <f t="shared" si="1328"/>
        <v>04</v>
      </c>
      <c r="T2105" s="1" t="str">
        <f t="shared" si="1310"/>
        <v>False</v>
      </c>
      <c r="U2105" s="1" t="str">
        <f t="shared" si="1311"/>
        <v>True</v>
      </c>
      <c r="V2105" s="1" t="str">
        <f>"U0032567"</f>
        <v>U0032567</v>
      </c>
      <c r="W2105" s="1">
        <v>1</v>
      </c>
      <c r="Y2105" s="1">
        <v>0</v>
      </c>
      <c r="Z2105" s="1">
        <v>0</v>
      </c>
      <c r="AB2105" s="1" t="str">
        <f t="shared" si="1330"/>
        <v>SMU</v>
      </c>
      <c r="AI2105" s="1" t="str">
        <f t="shared" si="1323"/>
        <v>F11</v>
      </c>
      <c r="AJ2105" s="1" t="str">
        <f t="shared" si="1320"/>
        <v>MAN</v>
      </c>
      <c r="AK2105" s="1" t="str">
        <f t="shared" si="1312"/>
        <v>PA</v>
      </c>
      <c r="AP2105" s="1" t="str">
        <f t="shared" si="1313"/>
        <v>False</v>
      </c>
      <c r="AR2105" s="1" t="str">
        <f t="shared" si="1325"/>
        <v>RUMBO</v>
      </c>
      <c r="AY2105" s="1" t="str">
        <f t="shared" si="1314"/>
        <v>PF</v>
      </c>
      <c r="AZ2105" s="1">
        <v>0</v>
      </c>
      <c r="BA2105" s="1">
        <v>0</v>
      </c>
      <c r="BB2105" s="1">
        <v>0</v>
      </c>
      <c r="BC2105" s="1">
        <v>0</v>
      </c>
      <c r="BD2105" s="1">
        <v>0</v>
      </c>
      <c r="BE2105" s="1" t="str">
        <f t="shared" si="1326"/>
        <v>MBO TWILL CANVAS</v>
      </c>
      <c r="BF2105" s="1" t="str">
        <f t="shared" si="1315"/>
        <v>Bonis SpA</v>
      </c>
    </row>
    <row r="2106" spans="2:58" x14ac:dyDescent="0.25">
      <c r="B2106" s="1">
        <v>2536</v>
      </c>
      <c r="C2106" s="1" t="str">
        <f t="shared" si="1324"/>
        <v>RUMBO4186S7/C1</v>
      </c>
      <c r="E2106" s="1" t="str">
        <f>"43"</f>
        <v>43</v>
      </c>
      <c r="F2106" s="1" t="str">
        <f t="shared" si="1304"/>
        <v>BONIS SPA</v>
      </c>
      <c r="G2106" s="1" t="str">
        <f t="shared" si="1327"/>
        <v>STOCK SCAFFALE MP</v>
      </c>
      <c r="H2106" s="1" t="str">
        <f t="shared" si="1331"/>
        <v>BLK</v>
      </c>
      <c r="K2106" s="1">
        <v>3</v>
      </c>
      <c r="L2106" s="1" t="str">
        <f t="shared" si="1305"/>
        <v>01</v>
      </c>
      <c r="M2106" s="1" t="str">
        <f t="shared" si="1329"/>
        <v>409</v>
      </c>
      <c r="N2106" s="1" t="str">
        <f t="shared" si="1321"/>
        <v>006</v>
      </c>
      <c r="O2106" s="1" t="str">
        <f t="shared" si="1306"/>
        <v>00</v>
      </c>
      <c r="P2106" s="1" t="str">
        <f t="shared" si="1307"/>
        <v>S</v>
      </c>
      <c r="Q2106" s="1" t="str">
        <f t="shared" si="1308"/>
        <v>P</v>
      </c>
      <c r="R2106" s="1" t="str">
        <f t="shared" si="1309"/>
        <v>01</v>
      </c>
      <c r="S2106" s="1" t="str">
        <f t="shared" si="1328"/>
        <v>04</v>
      </c>
      <c r="T2106" s="1" t="str">
        <f t="shared" si="1310"/>
        <v>False</v>
      </c>
      <c r="U2106" s="1" t="str">
        <f t="shared" si="1311"/>
        <v>True</v>
      </c>
      <c r="V2106" s="1" t="str">
        <f>"U0032567"</f>
        <v>U0032567</v>
      </c>
      <c r="W2106" s="1">
        <v>1</v>
      </c>
      <c r="Y2106" s="1">
        <v>0</v>
      </c>
      <c r="Z2106" s="1">
        <v>0</v>
      </c>
      <c r="AB2106" s="1" t="str">
        <f t="shared" si="1330"/>
        <v>SMU</v>
      </c>
      <c r="AI2106" s="1" t="str">
        <f t="shared" si="1323"/>
        <v>F11</v>
      </c>
      <c r="AJ2106" s="1" t="str">
        <f t="shared" si="1320"/>
        <v>MAN</v>
      </c>
      <c r="AK2106" s="1" t="str">
        <f t="shared" si="1312"/>
        <v>PA</v>
      </c>
      <c r="AP2106" s="1" t="str">
        <f t="shared" si="1313"/>
        <v>False</v>
      </c>
      <c r="AR2106" s="1" t="str">
        <f t="shared" si="1325"/>
        <v>RUMBO</v>
      </c>
      <c r="AY2106" s="1" t="str">
        <f t="shared" si="1314"/>
        <v>PF</v>
      </c>
      <c r="AZ2106" s="1">
        <v>0</v>
      </c>
      <c r="BA2106" s="1">
        <v>0</v>
      </c>
      <c r="BB2106" s="1">
        <v>0</v>
      </c>
      <c r="BC2106" s="1">
        <v>0</v>
      </c>
      <c r="BD2106" s="1">
        <v>0</v>
      </c>
      <c r="BE2106" s="1" t="str">
        <f t="shared" si="1326"/>
        <v>MBO TWILL CANVAS</v>
      </c>
      <c r="BF2106" s="1" t="str">
        <f t="shared" si="1315"/>
        <v>Bonis SpA</v>
      </c>
    </row>
    <row r="2107" spans="2:58" x14ac:dyDescent="0.25">
      <c r="B2107" s="1">
        <v>2536</v>
      </c>
      <c r="C2107" s="1" t="str">
        <f t="shared" si="1324"/>
        <v>RUMBO4186S7/C1</v>
      </c>
      <c r="E2107" s="1" t="str">
        <f>"44"</f>
        <v>44</v>
      </c>
      <c r="F2107" s="1" t="str">
        <f t="shared" si="1304"/>
        <v>BONIS SPA</v>
      </c>
      <c r="G2107" s="1" t="str">
        <f t="shared" si="1327"/>
        <v>STOCK SCAFFALE MP</v>
      </c>
      <c r="H2107" s="1" t="str">
        <f t="shared" si="1331"/>
        <v>BLK</v>
      </c>
      <c r="K2107" s="1">
        <v>2</v>
      </c>
      <c r="L2107" s="1" t="str">
        <f t="shared" si="1305"/>
        <v>01</v>
      </c>
      <c r="M2107" s="1" t="str">
        <f t="shared" si="1329"/>
        <v>409</v>
      </c>
      <c r="N2107" s="1" t="str">
        <f t="shared" si="1321"/>
        <v>006</v>
      </c>
      <c r="O2107" s="1" t="str">
        <f t="shared" si="1306"/>
        <v>00</v>
      </c>
      <c r="P2107" s="1" t="str">
        <f t="shared" si="1307"/>
        <v>S</v>
      </c>
      <c r="Q2107" s="1" t="str">
        <f t="shared" si="1308"/>
        <v>P</v>
      </c>
      <c r="R2107" s="1" t="str">
        <f t="shared" si="1309"/>
        <v>01</v>
      </c>
      <c r="S2107" s="1" t="str">
        <f t="shared" si="1328"/>
        <v>04</v>
      </c>
      <c r="T2107" s="1" t="str">
        <f t="shared" si="1310"/>
        <v>False</v>
      </c>
      <c r="U2107" s="1" t="str">
        <f t="shared" si="1311"/>
        <v>True</v>
      </c>
      <c r="V2107" s="1" t="str">
        <f>"U0032567"</f>
        <v>U0032567</v>
      </c>
      <c r="W2107" s="1">
        <v>1</v>
      </c>
      <c r="Y2107" s="1">
        <v>0</v>
      </c>
      <c r="Z2107" s="1">
        <v>0</v>
      </c>
      <c r="AB2107" s="1" t="str">
        <f t="shared" si="1330"/>
        <v>SMU</v>
      </c>
      <c r="AI2107" s="1" t="str">
        <f t="shared" si="1323"/>
        <v>F11</v>
      </c>
      <c r="AJ2107" s="1" t="str">
        <f t="shared" si="1320"/>
        <v>MAN</v>
      </c>
      <c r="AK2107" s="1" t="str">
        <f t="shared" si="1312"/>
        <v>PA</v>
      </c>
      <c r="AP2107" s="1" t="str">
        <f t="shared" si="1313"/>
        <v>False</v>
      </c>
      <c r="AR2107" s="1" t="str">
        <f t="shared" si="1325"/>
        <v>RUMBO</v>
      </c>
      <c r="AY2107" s="1" t="str">
        <f t="shared" si="1314"/>
        <v>PF</v>
      </c>
      <c r="AZ2107" s="1">
        <v>0</v>
      </c>
      <c r="BA2107" s="1">
        <v>0</v>
      </c>
      <c r="BB2107" s="1">
        <v>0</v>
      </c>
      <c r="BC2107" s="1">
        <v>0</v>
      </c>
      <c r="BD2107" s="1">
        <v>0</v>
      </c>
      <c r="BE2107" s="1" t="str">
        <f t="shared" si="1326"/>
        <v>MBO TWILL CANVAS</v>
      </c>
      <c r="BF2107" s="1" t="str">
        <f t="shared" si="1315"/>
        <v>Bonis SpA</v>
      </c>
    </row>
    <row r="2108" spans="2:58" x14ac:dyDescent="0.25">
      <c r="B2108" s="1">
        <v>2530</v>
      </c>
      <c r="C2108" s="1" t="str">
        <f t="shared" ref="C2108:C2117" si="1332">"GALAD4184S7/CY1"</f>
        <v>GALAD4184S7/CY1</v>
      </c>
      <c r="E2108" s="1" t="str">
        <f>"36"</f>
        <v>36</v>
      </c>
      <c r="F2108" s="1" t="str">
        <f t="shared" si="1304"/>
        <v>BONIS SPA</v>
      </c>
      <c r="G2108" s="1" t="str">
        <f t="shared" si="1327"/>
        <v>STOCK SCAFFALE MP</v>
      </c>
      <c r="H2108" s="1" t="str">
        <f t="shared" si="1331"/>
        <v>BLK</v>
      </c>
      <c r="K2108" s="1">
        <v>1</v>
      </c>
      <c r="L2108" s="1" t="str">
        <f t="shared" si="1305"/>
        <v>01</v>
      </c>
      <c r="M2108" s="1" t="str">
        <f t="shared" si="1329"/>
        <v>409</v>
      </c>
      <c r="N2108" s="1" t="str">
        <f t="shared" ref="N2108:N2117" si="1333">"004"</f>
        <v>004</v>
      </c>
      <c r="O2108" s="1" t="str">
        <f t="shared" si="1306"/>
        <v>00</v>
      </c>
      <c r="P2108" s="1" t="str">
        <f t="shared" si="1307"/>
        <v>S</v>
      </c>
      <c r="Q2108" s="1" t="str">
        <f t="shared" si="1308"/>
        <v>P</v>
      </c>
      <c r="R2108" s="1" t="str">
        <f t="shared" si="1309"/>
        <v>01</v>
      </c>
      <c r="S2108" s="1" t="str">
        <f t="shared" si="1328"/>
        <v>04</v>
      </c>
      <c r="T2108" s="1" t="str">
        <f t="shared" si="1310"/>
        <v>False</v>
      </c>
      <c r="U2108" s="1" t="str">
        <f t="shared" si="1311"/>
        <v>True</v>
      </c>
      <c r="V2108" s="1" t="str">
        <f>"U0032565"</f>
        <v>U0032565</v>
      </c>
      <c r="W2108" s="1">
        <v>1</v>
      </c>
      <c r="Y2108" s="1">
        <v>0</v>
      </c>
      <c r="Z2108" s="1">
        <v>0</v>
      </c>
      <c r="AB2108" s="1" t="str">
        <f t="shared" si="1330"/>
        <v>SMU</v>
      </c>
      <c r="AI2108" s="1" t="str">
        <f t="shared" ref="AI2108:AI2120" si="1334">"P11"</f>
        <v>P11</v>
      </c>
      <c r="AJ2108" s="1" t="str">
        <f t="shared" ref="AJ2108:AJ2152" si="1335">"WOMAN"</f>
        <v>WOMAN</v>
      </c>
      <c r="AK2108" s="1" t="str">
        <f t="shared" si="1312"/>
        <v>PA</v>
      </c>
      <c r="AP2108" s="1" t="str">
        <f t="shared" si="1313"/>
        <v>False</v>
      </c>
      <c r="AR2108" s="1" t="str">
        <f t="shared" ref="AR2108:AR2117" si="1336">"GALAD"</f>
        <v>GALAD</v>
      </c>
      <c r="AY2108" s="1" t="str">
        <f t="shared" si="1314"/>
        <v>PF</v>
      </c>
      <c r="AZ2108" s="1">
        <v>0</v>
      </c>
      <c r="BA2108" s="1">
        <v>0</v>
      </c>
      <c r="BB2108" s="1">
        <v>0</v>
      </c>
      <c r="BC2108" s="1">
        <v>0</v>
      </c>
      <c r="BD2108" s="1">
        <v>0</v>
      </c>
      <c r="BE2108" s="1" t="str">
        <f t="shared" ref="BE2108:BE2117" si="1337">"D GOMMA D.H.TWILL CANVAS+SINT."</f>
        <v>D GOMMA D.H.TWILL CANVAS+SINT.</v>
      </c>
      <c r="BF2108" s="1" t="str">
        <f t="shared" si="1315"/>
        <v>Bonis SpA</v>
      </c>
    </row>
    <row r="2109" spans="2:58" x14ac:dyDescent="0.25">
      <c r="B2109" s="1">
        <v>2530</v>
      </c>
      <c r="C2109" s="1" t="str">
        <f t="shared" si="1332"/>
        <v>GALAD4184S7/CY1</v>
      </c>
      <c r="E2109" s="1" t="str">
        <f>"37"</f>
        <v>37</v>
      </c>
      <c r="F2109" s="1" t="str">
        <f t="shared" si="1304"/>
        <v>BONIS SPA</v>
      </c>
      <c r="G2109" s="1" t="str">
        <f t="shared" si="1327"/>
        <v>STOCK SCAFFALE MP</v>
      </c>
      <c r="H2109" s="1" t="str">
        <f t="shared" si="1331"/>
        <v>BLK</v>
      </c>
      <c r="K2109" s="1">
        <v>2</v>
      </c>
      <c r="L2109" s="1" t="str">
        <f t="shared" si="1305"/>
        <v>01</v>
      </c>
      <c r="M2109" s="1" t="str">
        <f t="shared" si="1329"/>
        <v>409</v>
      </c>
      <c r="N2109" s="1" t="str">
        <f t="shared" si="1333"/>
        <v>004</v>
      </c>
      <c r="O2109" s="1" t="str">
        <f t="shared" si="1306"/>
        <v>00</v>
      </c>
      <c r="P2109" s="1" t="str">
        <f t="shared" si="1307"/>
        <v>S</v>
      </c>
      <c r="Q2109" s="1" t="str">
        <f t="shared" si="1308"/>
        <v>P</v>
      </c>
      <c r="R2109" s="1" t="str">
        <f t="shared" si="1309"/>
        <v>01</v>
      </c>
      <c r="S2109" s="1" t="str">
        <f t="shared" si="1328"/>
        <v>04</v>
      </c>
      <c r="T2109" s="1" t="str">
        <f t="shared" si="1310"/>
        <v>False</v>
      </c>
      <c r="U2109" s="1" t="str">
        <f t="shared" si="1311"/>
        <v>True</v>
      </c>
      <c r="V2109" s="1" t="str">
        <f>"U0032565"</f>
        <v>U0032565</v>
      </c>
      <c r="W2109" s="1">
        <v>1</v>
      </c>
      <c r="Y2109" s="1">
        <v>0</v>
      </c>
      <c r="Z2109" s="1">
        <v>0</v>
      </c>
      <c r="AB2109" s="1" t="str">
        <f t="shared" si="1330"/>
        <v>SMU</v>
      </c>
      <c r="AI2109" s="1" t="str">
        <f t="shared" si="1334"/>
        <v>P11</v>
      </c>
      <c r="AJ2109" s="1" t="str">
        <f t="shared" si="1335"/>
        <v>WOMAN</v>
      </c>
      <c r="AK2109" s="1" t="str">
        <f t="shared" si="1312"/>
        <v>PA</v>
      </c>
      <c r="AP2109" s="1" t="str">
        <f t="shared" si="1313"/>
        <v>False</v>
      </c>
      <c r="AR2109" s="1" t="str">
        <f t="shared" si="1336"/>
        <v>GALAD</v>
      </c>
      <c r="AY2109" s="1" t="str">
        <f t="shared" si="1314"/>
        <v>PF</v>
      </c>
      <c r="AZ2109" s="1">
        <v>0</v>
      </c>
      <c r="BA2109" s="1">
        <v>0</v>
      </c>
      <c r="BB2109" s="1">
        <v>0</v>
      </c>
      <c r="BC2109" s="1">
        <v>0</v>
      </c>
      <c r="BD2109" s="1">
        <v>0</v>
      </c>
      <c r="BE2109" s="1" t="str">
        <f t="shared" si="1337"/>
        <v>D GOMMA D.H.TWILL CANVAS+SINT.</v>
      </c>
      <c r="BF2109" s="1" t="str">
        <f t="shared" si="1315"/>
        <v>Bonis SpA</v>
      </c>
    </row>
    <row r="2110" spans="2:58" x14ac:dyDescent="0.25">
      <c r="B2110" s="1">
        <v>2530</v>
      </c>
      <c r="C2110" s="1" t="str">
        <f t="shared" si="1332"/>
        <v>GALAD4184S7/CY1</v>
      </c>
      <c r="E2110" s="1" t="str">
        <f>"40"</f>
        <v>40</v>
      </c>
      <c r="F2110" s="1" t="str">
        <f t="shared" si="1304"/>
        <v>BONIS SPA</v>
      </c>
      <c r="G2110" s="1" t="str">
        <f t="shared" si="1327"/>
        <v>STOCK SCAFFALE MP</v>
      </c>
      <c r="H2110" s="1" t="str">
        <f t="shared" si="1331"/>
        <v>BLK</v>
      </c>
      <c r="K2110" s="1">
        <v>2</v>
      </c>
      <c r="L2110" s="1" t="str">
        <f t="shared" si="1305"/>
        <v>01</v>
      </c>
      <c r="M2110" s="1" t="str">
        <f t="shared" si="1329"/>
        <v>409</v>
      </c>
      <c r="N2110" s="1" t="str">
        <f t="shared" si="1333"/>
        <v>004</v>
      </c>
      <c r="O2110" s="1" t="str">
        <f t="shared" si="1306"/>
        <v>00</v>
      </c>
      <c r="P2110" s="1" t="str">
        <f t="shared" si="1307"/>
        <v>S</v>
      </c>
      <c r="Q2110" s="1" t="str">
        <f t="shared" si="1308"/>
        <v>P</v>
      </c>
      <c r="R2110" s="1" t="str">
        <f t="shared" si="1309"/>
        <v>01</v>
      </c>
      <c r="S2110" s="1" t="str">
        <f t="shared" si="1328"/>
        <v>04</v>
      </c>
      <c r="T2110" s="1" t="str">
        <f t="shared" si="1310"/>
        <v>False</v>
      </c>
      <c r="U2110" s="1" t="str">
        <f t="shared" si="1311"/>
        <v>True</v>
      </c>
      <c r="V2110" s="1" t="str">
        <f>"U0032565"</f>
        <v>U0032565</v>
      </c>
      <c r="W2110" s="1">
        <v>1</v>
      </c>
      <c r="Y2110" s="1">
        <v>0</v>
      </c>
      <c r="Z2110" s="1">
        <v>0</v>
      </c>
      <c r="AB2110" s="1" t="str">
        <f t="shared" si="1330"/>
        <v>SMU</v>
      </c>
      <c r="AI2110" s="1" t="str">
        <f t="shared" si="1334"/>
        <v>P11</v>
      </c>
      <c r="AJ2110" s="1" t="str">
        <f t="shared" si="1335"/>
        <v>WOMAN</v>
      </c>
      <c r="AK2110" s="1" t="str">
        <f t="shared" si="1312"/>
        <v>PA</v>
      </c>
      <c r="AP2110" s="1" t="str">
        <f t="shared" si="1313"/>
        <v>False</v>
      </c>
      <c r="AR2110" s="1" t="str">
        <f t="shared" si="1336"/>
        <v>GALAD</v>
      </c>
      <c r="AY2110" s="1" t="str">
        <f t="shared" si="1314"/>
        <v>PF</v>
      </c>
      <c r="AZ2110" s="1">
        <v>0</v>
      </c>
      <c r="BA2110" s="1">
        <v>0</v>
      </c>
      <c r="BB2110" s="1">
        <v>0</v>
      </c>
      <c r="BC2110" s="1">
        <v>0</v>
      </c>
      <c r="BD2110" s="1">
        <v>0</v>
      </c>
      <c r="BE2110" s="1" t="str">
        <f t="shared" si="1337"/>
        <v>D GOMMA D.H.TWILL CANVAS+SINT.</v>
      </c>
      <c r="BF2110" s="1" t="str">
        <f t="shared" si="1315"/>
        <v>Bonis SpA</v>
      </c>
    </row>
    <row r="2111" spans="2:58" x14ac:dyDescent="0.25">
      <c r="B2111" s="1">
        <v>2530</v>
      </c>
      <c r="C2111" s="1" t="str">
        <f t="shared" si="1332"/>
        <v>GALAD4184S7/CY1</v>
      </c>
      <c r="E2111" s="1" t="str">
        <f>"39"</f>
        <v>39</v>
      </c>
      <c r="F2111" s="1" t="str">
        <f t="shared" si="1304"/>
        <v>BONIS SPA</v>
      </c>
      <c r="G2111" s="1" t="str">
        <f t="shared" si="1327"/>
        <v>STOCK SCAFFALE MP</v>
      </c>
      <c r="H2111" s="1" t="str">
        <f t="shared" si="1331"/>
        <v>BLK</v>
      </c>
      <c r="K2111" s="1">
        <v>3</v>
      </c>
      <c r="L2111" s="1" t="str">
        <f t="shared" si="1305"/>
        <v>01</v>
      </c>
      <c r="M2111" s="1" t="str">
        <f t="shared" si="1329"/>
        <v>409</v>
      </c>
      <c r="N2111" s="1" t="str">
        <f t="shared" si="1333"/>
        <v>004</v>
      </c>
      <c r="O2111" s="1" t="str">
        <f t="shared" si="1306"/>
        <v>00</v>
      </c>
      <c r="P2111" s="1" t="str">
        <f t="shared" si="1307"/>
        <v>S</v>
      </c>
      <c r="Q2111" s="1" t="str">
        <f t="shared" si="1308"/>
        <v>P</v>
      </c>
      <c r="R2111" s="1" t="str">
        <f t="shared" si="1309"/>
        <v>01</v>
      </c>
      <c r="S2111" s="1" t="str">
        <f t="shared" si="1328"/>
        <v>04</v>
      </c>
      <c r="T2111" s="1" t="str">
        <f t="shared" si="1310"/>
        <v>False</v>
      </c>
      <c r="U2111" s="1" t="str">
        <f t="shared" si="1311"/>
        <v>True</v>
      </c>
      <c r="V2111" s="1" t="str">
        <f>"U0032565"</f>
        <v>U0032565</v>
      </c>
      <c r="W2111" s="1">
        <v>1</v>
      </c>
      <c r="Y2111" s="1">
        <v>0</v>
      </c>
      <c r="Z2111" s="1">
        <v>0</v>
      </c>
      <c r="AB2111" s="1" t="str">
        <f t="shared" si="1330"/>
        <v>SMU</v>
      </c>
      <c r="AI2111" s="1" t="str">
        <f t="shared" si="1334"/>
        <v>P11</v>
      </c>
      <c r="AJ2111" s="1" t="str">
        <f t="shared" si="1335"/>
        <v>WOMAN</v>
      </c>
      <c r="AK2111" s="1" t="str">
        <f t="shared" si="1312"/>
        <v>PA</v>
      </c>
      <c r="AP2111" s="1" t="str">
        <f t="shared" si="1313"/>
        <v>False</v>
      </c>
      <c r="AR2111" s="1" t="str">
        <f t="shared" si="1336"/>
        <v>GALAD</v>
      </c>
      <c r="AY2111" s="1" t="str">
        <f t="shared" si="1314"/>
        <v>PF</v>
      </c>
      <c r="AZ2111" s="1">
        <v>0</v>
      </c>
      <c r="BA2111" s="1">
        <v>0</v>
      </c>
      <c r="BB2111" s="1">
        <v>0</v>
      </c>
      <c r="BC2111" s="1">
        <v>0</v>
      </c>
      <c r="BD2111" s="1">
        <v>0</v>
      </c>
      <c r="BE2111" s="1" t="str">
        <f t="shared" si="1337"/>
        <v>D GOMMA D.H.TWILL CANVAS+SINT.</v>
      </c>
      <c r="BF2111" s="1" t="str">
        <f t="shared" si="1315"/>
        <v>Bonis SpA</v>
      </c>
    </row>
    <row r="2112" spans="2:58" x14ac:dyDescent="0.25">
      <c r="B2112" s="1">
        <v>2530</v>
      </c>
      <c r="C2112" s="1" t="str">
        <f t="shared" si="1332"/>
        <v>GALAD4184S7/CY1</v>
      </c>
      <c r="E2112" s="1" t="str">
        <f>"38"</f>
        <v>38</v>
      </c>
      <c r="F2112" s="1" t="str">
        <f t="shared" si="1304"/>
        <v>BONIS SPA</v>
      </c>
      <c r="G2112" s="1" t="str">
        <f t="shared" si="1327"/>
        <v>STOCK SCAFFALE MP</v>
      </c>
      <c r="H2112" s="1" t="str">
        <f t="shared" si="1331"/>
        <v>BLK</v>
      </c>
      <c r="K2112" s="1">
        <v>3</v>
      </c>
      <c r="L2112" s="1" t="str">
        <f t="shared" si="1305"/>
        <v>01</v>
      </c>
      <c r="M2112" s="1" t="str">
        <f t="shared" si="1329"/>
        <v>409</v>
      </c>
      <c r="N2112" s="1" t="str">
        <f t="shared" si="1333"/>
        <v>004</v>
      </c>
      <c r="O2112" s="1" t="str">
        <f t="shared" si="1306"/>
        <v>00</v>
      </c>
      <c r="P2112" s="1" t="str">
        <f t="shared" si="1307"/>
        <v>S</v>
      </c>
      <c r="Q2112" s="1" t="str">
        <f t="shared" si="1308"/>
        <v>P</v>
      </c>
      <c r="R2112" s="1" t="str">
        <f t="shared" si="1309"/>
        <v>01</v>
      </c>
      <c r="S2112" s="1" t="str">
        <f t="shared" si="1328"/>
        <v>04</v>
      </c>
      <c r="T2112" s="1" t="str">
        <f t="shared" si="1310"/>
        <v>False</v>
      </c>
      <c r="U2112" s="1" t="str">
        <f t="shared" si="1311"/>
        <v>True</v>
      </c>
      <c r="V2112" s="1" t="str">
        <f>"U0032565"</f>
        <v>U0032565</v>
      </c>
      <c r="W2112" s="1">
        <v>1</v>
      </c>
      <c r="Y2112" s="1">
        <v>0</v>
      </c>
      <c r="Z2112" s="1">
        <v>0</v>
      </c>
      <c r="AB2112" s="1" t="str">
        <f t="shared" si="1330"/>
        <v>SMU</v>
      </c>
      <c r="AI2112" s="1" t="str">
        <f t="shared" si="1334"/>
        <v>P11</v>
      </c>
      <c r="AJ2112" s="1" t="str">
        <f t="shared" si="1335"/>
        <v>WOMAN</v>
      </c>
      <c r="AK2112" s="1" t="str">
        <f t="shared" si="1312"/>
        <v>PA</v>
      </c>
      <c r="AP2112" s="1" t="str">
        <f t="shared" si="1313"/>
        <v>False</v>
      </c>
      <c r="AR2112" s="1" t="str">
        <f t="shared" si="1336"/>
        <v>GALAD</v>
      </c>
      <c r="AY2112" s="1" t="str">
        <f t="shared" si="1314"/>
        <v>PF</v>
      </c>
      <c r="AZ2112" s="1">
        <v>0</v>
      </c>
      <c r="BA2112" s="1">
        <v>0</v>
      </c>
      <c r="BB2112" s="1">
        <v>0</v>
      </c>
      <c r="BC2112" s="1">
        <v>0</v>
      </c>
      <c r="BD2112" s="1">
        <v>0</v>
      </c>
      <c r="BE2112" s="1" t="str">
        <f t="shared" si="1337"/>
        <v>D GOMMA D.H.TWILL CANVAS+SINT.</v>
      </c>
      <c r="BF2112" s="1" t="str">
        <f t="shared" si="1315"/>
        <v>Bonis SpA</v>
      </c>
    </row>
    <row r="2113" spans="2:58" x14ac:dyDescent="0.25">
      <c r="B2113" s="1">
        <v>2530</v>
      </c>
      <c r="C2113" s="1" t="str">
        <f t="shared" si="1332"/>
        <v>GALAD4184S7/CY1</v>
      </c>
      <c r="E2113" s="1" t="str">
        <f>"36"</f>
        <v>36</v>
      </c>
      <c r="F2113" s="1" t="str">
        <f t="shared" si="1304"/>
        <v>BONIS SPA</v>
      </c>
      <c r="G2113" s="1" t="str">
        <f t="shared" si="1327"/>
        <v>STOCK SCAFFALE MP</v>
      </c>
      <c r="H2113" s="1" t="str">
        <f t="shared" si="1331"/>
        <v>BLK</v>
      </c>
      <c r="K2113" s="1">
        <v>1</v>
      </c>
      <c r="L2113" s="1" t="str">
        <f t="shared" si="1305"/>
        <v>01</v>
      </c>
      <c r="M2113" s="1" t="str">
        <f t="shared" si="1329"/>
        <v>409</v>
      </c>
      <c r="N2113" s="1" t="str">
        <f t="shared" si="1333"/>
        <v>004</v>
      </c>
      <c r="O2113" s="1" t="str">
        <f t="shared" si="1306"/>
        <v>00</v>
      </c>
      <c r="P2113" s="1" t="str">
        <f t="shared" si="1307"/>
        <v>S</v>
      </c>
      <c r="Q2113" s="1" t="str">
        <f t="shared" si="1308"/>
        <v>P</v>
      </c>
      <c r="R2113" s="1" t="str">
        <f t="shared" si="1309"/>
        <v>01</v>
      </c>
      <c r="S2113" s="1" t="str">
        <f t="shared" si="1328"/>
        <v>04</v>
      </c>
      <c r="T2113" s="1" t="str">
        <f t="shared" si="1310"/>
        <v>False</v>
      </c>
      <c r="U2113" s="1" t="str">
        <f t="shared" si="1311"/>
        <v>True</v>
      </c>
      <c r="V2113" s="1" t="str">
        <f>"U0032562"</f>
        <v>U0032562</v>
      </c>
      <c r="W2113" s="1">
        <v>1</v>
      </c>
      <c r="Y2113" s="1">
        <v>0</v>
      </c>
      <c r="Z2113" s="1">
        <v>0</v>
      </c>
      <c r="AB2113" s="1" t="str">
        <f t="shared" si="1330"/>
        <v>SMU</v>
      </c>
      <c r="AI2113" s="1" t="str">
        <f t="shared" si="1334"/>
        <v>P11</v>
      </c>
      <c r="AJ2113" s="1" t="str">
        <f t="shared" si="1335"/>
        <v>WOMAN</v>
      </c>
      <c r="AK2113" s="1" t="str">
        <f t="shared" si="1312"/>
        <v>PA</v>
      </c>
      <c r="AP2113" s="1" t="str">
        <f t="shared" si="1313"/>
        <v>False</v>
      </c>
      <c r="AR2113" s="1" t="str">
        <f t="shared" si="1336"/>
        <v>GALAD</v>
      </c>
      <c r="AY2113" s="1" t="str">
        <f t="shared" si="1314"/>
        <v>PF</v>
      </c>
      <c r="AZ2113" s="1">
        <v>0</v>
      </c>
      <c r="BA2113" s="1">
        <v>0</v>
      </c>
      <c r="BB2113" s="1">
        <v>0</v>
      </c>
      <c r="BC2113" s="1">
        <v>0</v>
      </c>
      <c r="BD2113" s="1">
        <v>0</v>
      </c>
      <c r="BE2113" s="1" t="str">
        <f t="shared" si="1337"/>
        <v>D GOMMA D.H.TWILL CANVAS+SINT.</v>
      </c>
      <c r="BF2113" s="1" t="str">
        <f t="shared" si="1315"/>
        <v>Bonis SpA</v>
      </c>
    </row>
    <row r="2114" spans="2:58" x14ac:dyDescent="0.25">
      <c r="B2114" s="1">
        <v>2530</v>
      </c>
      <c r="C2114" s="1" t="str">
        <f t="shared" si="1332"/>
        <v>GALAD4184S7/CY1</v>
      </c>
      <c r="E2114" s="1" t="str">
        <f>"37"</f>
        <v>37</v>
      </c>
      <c r="F2114" s="1" t="str">
        <f t="shared" ref="F2114:F2159" si="1338">"BONIS SPA"</f>
        <v>BONIS SPA</v>
      </c>
      <c r="G2114" s="1" t="str">
        <f t="shared" si="1327"/>
        <v>STOCK SCAFFALE MP</v>
      </c>
      <c r="H2114" s="1" t="str">
        <f t="shared" si="1331"/>
        <v>BLK</v>
      </c>
      <c r="K2114" s="1">
        <v>2</v>
      </c>
      <c r="L2114" s="1" t="str">
        <f t="shared" ref="L2114:L2159" si="1339">"01"</f>
        <v>01</v>
      </c>
      <c r="M2114" s="1" t="str">
        <f t="shared" si="1329"/>
        <v>409</v>
      </c>
      <c r="N2114" s="1" t="str">
        <f t="shared" si="1333"/>
        <v>004</v>
      </c>
      <c r="O2114" s="1" t="str">
        <f t="shared" ref="O2114:O2159" si="1340">"00"</f>
        <v>00</v>
      </c>
      <c r="P2114" s="1" t="str">
        <f t="shared" ref="P2114:P2159" si="1341">"S"</f>
        <v>S</v>
      </c>
      <c r="Q2114" s="1" t="str">
        <f t="shared" ref="Q2114:Q2159" si="1342">"P"</f>
        <v>P</v>
      </c>
      <c r="R2114" s="1" t="str">
        <f t="shared" ref="R2114:R2159" si="1343">"01"</f>
        <v>01</v>
      </c>
      <c r="S2114" s="1" t="str">
        <f t="shared" si="1328"/>
        <v>04</v>
      </c>
      <c r="T2114" s="1" t="str">
        <f t="shared" ref="T2114:T2159" si="1344">"False"</f>
        <v>False</v>
      </c>
      <c r="U2114" s="1" t="str">
        <f t="shared" ref="U2114:U2159" si="1345">"True"</f>
        <v>True</v>
      </c>
      <c r="V2114" s="1" t="str">
        <f>"U0032562"</f>
        <v>U0032562</v>
      </c>
      <c r="W2114" s="1">
        <v>1</v>
      </c>
      <c r="Y2114" s="1">
        <v>0</v>
      </c>
      <c r="Z2114" s="1">
        <v>0</v>
      </c>
      <c r="AB2114" s="1" t="str">
        <f t="shared" si="1330"/>
        <v>SMU</v>
      </c>
      <c r="AI2114" s="1" t="str">
        <f t="shared" si="1334"/>
        <v>P11</v>
      </c>
      <c r="AJ2114" s="1" t="str">
        <f t="shared" si="1335"/>
        <v>WOMAN</v>
      </c>
      <c r="AK2114" s="1" t="str">
        <f t="shared" ref="AK2114:AK2159" si="1346">"PA"</f>
        <v>PA</v>
      </c>
      <c r="AP2114" s="1" t="str">
        <f t="shared" ref="AP2114:AP2159" si="1347">"False"</f>
        <v>False</v>
      </c>
      <c r="AR2114" s="1" t="str">
        <f t="shared" si="1336"/>
        <v>GALAD</v>
      </c>
      <c r="AY2114" s="1" t="str">
        <f t="shared" ref="AY2114:AY2159" si="1348">"PF"</f>
        <v>PF</v>
      </c>
      <c r="AZ2114" s="1">
        <v>0</v>
      </c>
      <c r="BA2114" s="1">
        <v>0</v>
      </c>
      <c r="BB2114" s="1">
        <v>0</v>
      </c>
      <c r="BC2114" s="1">
        <v>0</v>
      </c>
      <c r="BD2114" s="1">
        <v>0</v>
      </c>
      <c r="BE2114" s="1" t="str">
        <f t="shared" si="1337"/>
        <v>D GOMMA D.H.TWILL CANVAS+SINT.</v>
      </c>
      <c r="BF2114" s="1" t="str">
        <f t="shared" ref="BF2114:BF2159" si="1349">"Bonis SpA"</f>
        <v>Bonis SpA</v>
      </c>
    </row>
    <row r="2115" spans="2:58" x14ac:dyDescent="0.25">
      <c r="B2115" s="1">
        <v>2530</v>
      </c>
      <c r="C2115" s="1" t="str">
        <f t="shared" si="1332"/>
        <v>GALAD4184S7/CY1</v>
      </c>
      <c r="E2115" s="1" t="str">
        <f>"38"</f>
        <v>38</v>
      </c>
      <c r="F2115" s="1" t="str">
        <f t="shared" si="1338"/>
        <v>BONIS SPA</v>
      </c>
      <c r="G2115" s="1" t="str">
        <f t="shared" si="1327"/>
        <v>STOCK SCAFFALE MP</v>
      </c>
      <c r="H2115" s="1" t="str">
        <f t="shared" si="1331"/>
        <v>BLK</v>
      </c>
      <c r="K2115" s="1">
        <v>3</v>
      </c>
      <c r="L2115" s="1" t="str">
        <f t="shared" si="1339"/>
        <v>01</v>
      </c>
      <c r="M2115" s="1" t="str">
        <f t="shared" si="1329"/>
        <v>409</v>
      </c>
      <c r="N2115" s="1" t="str">
        <f t="shared" si="1333"/>
        <v>004</v>
      </c>
      <c r="O2115" s="1" t="str">
        <f t="shared" si="1340"/>
        <v>00</v>
      </c>
      <c r="P2115" s="1" t="str">
        <f t="shared" si="1341"/>
        <v>S</v>
      </c>
      <c r="Q2115" s="1" t="str">
        <f t="shared" si="1342"/>
        <v>P</v>
      </c>
      <c r="R2115" s="1" t="str">
        <f t="shared" si="1343"/>
        <v>01</v>
      </c>
      <c r="S2115" s="1" t="str">
        <f t="shared" si="1328"/>
        <v>04</v>
      </c>
      <c r="T2115" s="1" t="str">
        <f t="shared" si="1344"/>
        <v>False</v>
      </c>
      <c r="U2115" s="1" t="str">
        <f t="shared" si="1345"/>
        <v>True</v>
      </c>
      <c r="V2115" s="1" t="str">
        <f>"U0032562"</f>
        <v>U0032562</v>
      </c>
      <c r="W2115" s="1">
        <v>1</v>
      </c>
      <c r="Y2115" s="1">
        <v>0</v>
      </c>
      <c r="Z2115" s="1">
        <v>0</v>
      </c>
      <c r="AB2115" s="1" t="str">
        <f t="shared" si="1330"/>
        <v>SMU</v>
      </c>
      <c r="AI2115" s="1" t="str">
        <f t="shared" si="1334"/>
        <v>P11</v>
      </c>
      <c r="AJ2115" s="1" t="str">
        <f t="shared" si="1335"/>
        <v>WOMAN</v>
      </c>
      <c r="AK2115" s="1" t="str">
        <f t="shared" si="1346"/>
        <v>PA</v>
      </c>
      <c r="AP2115" s="1" t="str">
        <f t="shared" si="1347"/>
        <v>False</v>
      </c>
      <c r="AR2115" s="1" t="str">
        <f t="shared" si="1336"/>
        <v>GALAD</v>
      </c>
      <c r="AY2115" s="1" t="str">
        <f t="shared" si="1348"/>
        <v>PF</v>
      </c>
      <c r="AZ2115" s="1">
        <v>0</v>
      </c>
      <c r="BA2115" s="1">
        <v>0</v>
      </c>
      <c r="BB2115" s="1">
        <v>0</v>
      </c>
      <c r="BC2115" s="1">
        <v>0</v>
      </c>
      <c r="BD2115" s="1">
        <v>0</v>
      </c>
      <c r="BE2115" s="1" t="str">
        <f t="shared" si="1337"/>
        <v>D GOMMA D.H.TWILL CANVAS+SINT.</v>
      </c>
      <c r="BF2115" s="1" t="str">
        <f t="shared" si="1349"/>
        <v>Bonis SpA</v>
      </c>
    </row>
    <row r="2116" spans="2:58" x14ac:dyDescent="0.25">
      <c r="B2116" s="1">
        <v>2530</v>
      </c>
      <c r="C2116" s="1" t="str">
        <f t="shared" si="1332"/>
        <v>GALAD4184S7/CY1</v>
      </c>
      <c r="E2116" s="1" t="str">
        <f>"39"</f>
        <v>39</v>
      </c>
      <c r="F2116" s="1" t="str">
        <f t="shared" si="1338"/>
        <v>BONIS SPA</v>
      </c>
      <c r="G2116" s="1" t="str">
        <f t="shared" si="1327"/>
        <v>STOCK SCAFFALE MP</v>
      </c>
      <c r="H2116" s="1" t="str">
        <f t="shared" si="1331"/>
        <v>BLK</v>
      </c>
      <c r="K2116" s="1">
        <v>3</v>
      </c>
      <c r="L2116" s="1" t="str">
        <f t="shared" si="1339"/>
        <v>01</v>
      </c>
      <c r="M2116" s="1" t="str">
        <f t="shared" si="1329"/>
        <v>409</v>
      </c>
      <c r="N2116" s="1" t="str">
        <f t="shared" si="1333"/>
        <v>004</v>
      </c>
      <c r="O2116" s="1" t="str">
        <f t="shared" si="1340"/>
        <v>00</v>
      </c>
      <c r="P2116" s="1" t="str">
        <f t="shared" si="1341"/>
        <v>S</v>
      </c>
      <c r="Q2116" s="1" t="str">
        <f t="shared" si="1342"/>
        <v>P</v>
      </c>
      <c r="R2116" s="1" t="str">
        <f t="shared" si="1343"/>
        <v>01</v>
      </c>
      <c r="S2116" s="1" t="str">
        <f t="shared" si="1328"/>
        <v>04</v>
      </c>
      <c r="T2116" s="1" t="str">
        <f t="shared" si="1344"/>
        <v>False</v>
      </c>
      <c r="U2116" s="1" t="str">
        <f t="shared" si="1345"/>
        <v>True</v>
      </c>
      <c r="V2116" s="1" t="str">
        <f>"U0032562"</f>
        <v>U0032562</v>
      </c>
      <c r="W2116" s="1">
        <v>1</v>
      </c>
      <c r="Y2116" s="1">
        <v>0</v>
      </c>
      <c r="Z2116" s="1">
        <v>0</v>
      </c>
      <c r="AB2116" s="1" t="str">
        <f t="shared" si="1330"/>
        <v>SMU</v>
      </c>
      <c r="AI2116" s="1" t="str">
        <f t="shared" si="1334"/>
        <v>P11</v>
      </c>
      <c r="AJ2116" s="1" t="str">
        <f t="shared" si="1335"/>
        <v>WOMAN</v>
      </c>
      <c r="AK2116" s="1" t="str">
        <f t="shared" si="1346"/>
        <v>PA</v>
      </c>
      <c r="AP2116" s="1" t="str">
        <f t="shared" si="1347"/>
        <v>False</v>
      </c>
      <c r="AR2116" s="1" t="str">
        <f t="shared" si="1336"/>
        <v>GALAD</v>
      </c>
      <c r="AY2116" s="1" t="str">
        <f t="shared" si="1348"/>
        <v>PF</v>
      </c>
      <c r="AZ2116" s="1">
        <v>0</v>
      </c>
      <c r="BA2116" s="1">
        <v>0</v>
      </c>
      <c r="BB2116" s="1">
        <v>0</v>
      </c>
      <c r="BC2116" s="1">
        <v>0</v>
      </c>
      <c r="BD2116" s="1">
        <v>0</v>
      </c>
      <c r="BE2116" s="1" t="str">
        <f t="shared" si="1337"/>
        <v>D GOMMA D.H.TWILL CANVAS+SINT.</v>
      </c>
      <c r="BF2116" s="1" t="str">
        <f t="shared" si="1349"/>
        <v>Bonis SpA</v>
      </c>
    </row>
    <row r="2117" spans="2:58" x14ac:dyDescent="0.25">
      <c r="B2117" s="1">
        <v>2530</v>
      </c>
      <c r="C2117" s="1" t="str">
        <f t="shared" si="1332"/>
        <v>GALAD4184S7/CY1</v>
      </c>
      <c r="E2117" s="1" t="str">
        <f>"40"</f>
        <v>40</v>
      </c>
      <c r="F2117" s="1" t="str">
        <f t="shared" si="1338"/>
        <v>BONIS SPA</v>
      </c>
      <c r="G2117" s="1" t="str">
        <f t="shared" si="1327"/>
        <v>STOCK SCAFFALE MP</v>
      </c>
      <c r="H2117" s="1" t="str">
        <f t="shared" si="1331"/>
        <v>BLK</v>
      </c>
      <c r="K2117" s="1">
        <v>2</v>
      </c>
      <c r="L2117" s="1" t="str">
        <f t="shared" si="1339"/>
        <v>01</v>
      </c>
      <c r="M2117" s="1" t="str">
        <f t="shared" si="1329"/>
        <v>409</v>
      </c>
      <c r="N2117" s="1" t="str">
        <f t="shared" si="1333"/>
        <v>004</v>
      </c>
      <c r="O2117" s="1" t="str">
        <f t="shared" si="1340"/>
        <v>00</v>
      </c>
      <c r="P2117" s="1" t="str">
        <f t="shared" si="1341"/>
        <v>S</v>
      </c>
      <c r="Q2117" s="1" t="str">
        <f t="shared" si="1342"/>
        <v>P</v>
      </c>
      <c r="R2117" s="1" t="str">
        <f t="shared" si="1343"/>
        <v>01</v>
      </c>
      <c r="S2117" s="1" t="str">
        <f t="shared" si="1328"/>
        <v>04</v>
      </c>
      <c r="T2117" s="1" t="str">
        <f t="shared" si="1344"/>
        <v>False</v>
      </c>
      <c r="U2117" s="1" t="str">
        <f t="shared" si="1345"/>
        <v>True</v>
      </c>
      <c r="V2117" s="1" t="str">
        <f>"U0032562"</f>
        <v>U0032562</v>
      </c>
      <c r="W2117" s="1">
        <v>1</v>
      </c>
      <c r="Y2117" s="1">
        <v>0</v>
      </c>
      <c r="Z2117" s="1">
        <v>0</v>
      </c>
      <c r="AB2117" s="1" t="str">
        <f t="shared" si="1330"/>
        <v>SMU</v>
      </c>
      <c r="AI2117" s="1" t="str">
        <f t="shared" si="1334"/>
        <v>P11</v>
      </c>
      <c r="AJ2117" s="1" t="str">
        <f t="shared" si="1335"/>
        <v>WOMAN</v>
      </c>
      <c r="AK2117" s="1" t="str">
        <f t="shared" si="1346"/>
        <v>PA</v>
      </c>
      <c r="AP2117" s="1" t="str">
        <f t="shared" si="1347"/>
        <v>False</v>
      </c>
      <c r="AR2117" s="1" t="str">
        <f t="shared" si="1336"/>
        <v>GALAD</v>
      </c>
      <c r="AY2117" s="1" t="str">
        <f t="shared" si="1348"/>
        <v>PF</v>
      </c>
      <c r="AZ2117" s="1">
        <v>0</v>
      </c>
      <c r="BA2117" s="1">
        <v>0</v>
      </c>
      <c r="BB2117" s="1">
        <v>0</v>
      </c>
      <c r="BC2117" s="1">
        <v>0</v>
      </c>
      <c r="BD2117" s="1">
        <v>0</v>
      </c>
      <c r="BE2117" s="1" t="str">
        <f t="shared" si="1337"/>
        <v>D GOMMA D.H.TWILL CANVAS+SINT.</v>
      </c>
      <c r="BF2117" s="1" t="str">
        <f t="shared" si="1349"/>
        <v>Bonis SpA</v>
      </c>
    </row>
    <row r="2118" spans="2:58" x14ac:dyDescent="0.25">
      <c r="B2118" s="1">
        <v>2521</v>
      </c>
      <c r="C2118" s="1" t="str">
        <f t="shared" ref="C2118:C2130" si="1350">"DYON4190S7/C1"</f>
        <v>DYON4190S7/C1</v>
      </c>
      <c r="E2118" s="1" t="str">
        <f>"36"</f>
        <v>36</v>
      </c>
      <c r="F2118" s="1" t="str">
        <f t="shared" si="1338"/>
        <v>BONIS SPA</v>
      </c>
      <c r="G2118" s="1" t="str">
        <f t="shared" si="1327"/>
        <v>STOCK SCAFFALE MP</v>
      </c>
      <c r="H2118" s="1" t="str">
        <f t="shared" ref="H2118:H2130" si="1351">"WHI"</f>
        <v>WHI</v>
      </c>
      <c r="K2118" s="1">
        <v>1</v>
      </c>
      <c r="L2118" s="1" t="str">
        <f t="shared" si="1339"/>
        <v>01</v>
      </c>
      <c r="M2118" s="1" t="str">
        <f t="shared" si="1329"/>
        <v>409</v>
      </c>
      <c r="N2118" s="1" t="str">
        <f t="shared" ref="N2118:N2130" si="1352">"001"</f>
        <v>001</v>
      </c>
      <c r="O2118" s="1" t="str">
        <f t="shared" si="1340"/>
        <v>00</v>
      </c>
      <c r="P2118" s="1" t="str">
        <f t="shared" si="1341"/>
        <v>S</v>
      </c>
      <c r="Q2118" s="1" t="str">
        <f t="shared" si="1342"/>
        <v>P</v>
      </c>
      <c r="R2118" s="1" t="str">
        <f t="shared" si="1343"/>
        <v>01</v>
      </c>
      <c r="S2118" s="1" t="str">
        <f t="shared" si="1328"/>
        <v>04</v>
      </c>
      <c r="T2118" s="1" t="str">
        <f t="shared" si="1344"/>
        <v>False</v>
      </c>
      <c r="U2118" s="1" t="str">
        <f t="shared" si="1345"/>
        <v>True</v>
      </c>
      <c r="V2118" s="1" t="str">
        <f>"U0032557"</f>
        <v>U0032557</v>
      </c>
      <c r="W2118" s="1">
        <v>1</v>
      </c>
      <c r="Y2118" s="1">
        <v>0</v>
      </c>
      <c r="Z2118" s="1">
        <v>0</v>
      </c>
      <c r="AB2118" s="1" t="str">
        <f t="shared" si="1330"/>
        <v>SMU</v>
      </c>
      <c r="AI2118" s="1" t="str">
        <f t="shared" si="1334"/>
        <v>P11</v>
      </c>
      <c r="AJ2118" s="1" t="str">
        <f t="shared" si="1335"/>
        <v>WOMAN</v>
      </c>
      <c r="AK2118" s="1" t="str">
        <f t="shared" si="1346"/>
        <v>PA</v>
      </c>
      <c r="AP2118" s="1" t="str">
        <f t="shared" si="1347"/>
        <v>False</v>
      </c>
      <c r="AR2118" s="1" t="str">
        <f t="shared" ref="AR2118:AR2130" si="1353">"DYON"</f>
        <v>DYON</v>
      </c>
      <c r="AY2118" s="1" t="str">
        <f t="shared" si="1348"/>
        <v>PF</v>
      </c>
      <c r="AZ2118" s="1">
        <v>0</v>
      </c>
      <c r="BA2118" s="1">
        <v>0</v>
      </c>
      <c r="BB2118" s="1">
        <v>0</v>
      </c>
      <c r="BC2118" s="1">
        <v>0</v>
      </c>
      <c r="BD2118" s="1">
        <v>0</v>
      </c>
      <c r="BE2118" s="1" t="str">
        <f t="shared" ref="BE2118:BE2130" si="1354">"ION GOMMA TWILL CANVAS"</f>
        <v>ION GOMMA TWILL CANVAS</v>
      </c>
      <c r="BF2118" s="1" t="str">
        <f t="shared" si="1349"/>
        <v>Bonis SpA</v>
      </c>
    </row>
    <row r="2119" spans="2:58" x14ac:dyDescent="0.25">
      <c r="B2119" s="1">
        <v>2521</v>
      </c>
      <c r="C2119" s="1" t="str">
        <f t="shared" si="1350"/>
        <v>DYON4190S7/C1</v>
      </c>
      <c r="E2119" s="1" t="str">
        <f>"38"</f>
        <v>38</v>
      </c>
      <c r="F2119" s="1" t="str">
        <f t="shared" si="1338"/>
        <v>BONIS SPA</v>
      </c>
      <c r="G2119" s="1" t="str">
        <f t="shared" si="1327"/>
        <v>STOCK SCAFFALE MP</v>
      </c>
      <c r="H2119" s="1" t="str">
        <f t="shared" si="1351"/>
        <v>WHI</v>
      </c>
      <c r="K2119" s="1">
        <v>3</v>
      </c>
      <c r="L2119" s="1" t="str">
        <f t="shared" si="1339"/>
        <v>01</v>
      </c>
      <c r="M2119" s="1" t="str">
        <f t="shared" si="1329"/>
        <v>409</v>
      </c>
      <c r="N2119" s="1" t="str">
        <f t="shared" si="1352"/>
        <v>001</v>
      </c>
      <c r="O2119" s="1" t="str">
        <f t="shared" si="1340"/>
        <v>00</v>
      </c>
      <c r="P2119" s="1" t="str">
        <f t="shared" si="1341"/>
        <v>S</v>
      </c>
      <c r="Q2119" s="1" t="str">
        <f t="shared" si="1342"/>
        <v>P</v>
      </c>
      <c r="R2119" s="1" t="str">
        <f t="shared" si="1343"/>
        <v>01</v>
      </c>
      <c r="S2119" s="1" t="str">
        <f t="shared" si="1328"/>
        <v>04</v>
      </c>
      <c r="T2119" s="1" t="str">
        <f t="shared" si="1344"/>
        <v>False</v>
      </c>
      <c r="U2119" s="1" t="str">
        <f t="shared" si="1345"/>
        <v>True</v>
      </c>
      <c r="V2119" s="1" t="str">
        <f>"U0032557"</f>
        <v>U0032557</v>
      </c>
      <c r="W2119" s="1">
        <v>1</v>
      </c>
      <c r="Y2119" s="1">
        <v>0</v>
      </c>
      <c r="Z2119" s="1">
        <v>0</v>
      </c>
      <c r="AB2119" s="1" t="str">
        <f t="shared" si="1330"/>
        <v>SMU</v>
      </c>
      <c r="AI2119" s="1" t="str">
        <f t="shared" si="1334"/>
        <v>P11</v>
      </c>
      <c r="AJ2119" s="1" t="str">
        <f t="shared" si="1335"/>
        <v>WOMAN</v>
      </c>
      <c r="AK2119" s="1" t="str">
        <f t="shared" si="1346"/>
        <v>PA</v>
      </c>
      <c r="AP2119" s="1" t="str">
        <f t="shared" si="1347"/>
        <v>False</v>
      </c>
      <c r="AR2119" s="1" t="str">
        <f t="shared" si="1353"/>
        <v>DYON</v>
      </c>
      <c r="AY2119" s="1" t="str">
        <f t="shared" si="1348"/>
        <v>PF</v>
      </c>
      <c r="AZ2119" s="1">
        <v>0</v>
      </c>
      <c r="BA2119" s="1">
        <v>0</v>
      </c>
      <c r="BB2119" s="1">
        <v>0</v>
      </c>
      <c r="BC2119" s="1">
        <v>0</v>
      </c>
      <c r="BD2119" s="1">
        <v>0</v>
      </c>
      <c r="BE2119" s="1" t="str">
        <f t="shared" si="1354"/>
        <v>ION GOMMA TWILL CANVAS</v>
      </c>
      <c r="BF2119" s="1" t="str">
        <f t="shared" si="1349"/>
        <v>Bonis SpA</v>
      </c>
    </row>
    <row r="2120" spans="2:58" x14ac:dyDescent="0.25">
      <c r="B2120" s="1">
        <v>2521</v>
      </c>
      <c r="C2120" s="1" t="str">
        <f t="shared" si="1350"/>
        <v>DYON4190S7/C1</v>
      </c>
      <c r="E2120" s="1" t="str">
        <f>"39"</f>
        <v>39</v>
      </c>
      <c r="F2120" s="1" t="str">
        <f t="shared" si="1338"/>
        <v>BONIS SPA</v>
      </c>
      <c r="G2120" s="1" t="str">
        <f t="shared" si="1327"/>
        <v>STOCK SCAFFALE MP</v>
      </c>
      <c r="H2120" s="1" t="str">
        <f t="shared" si="1351"/>
        <v>WHI</v>
      </c>
      <c r="K2120" s="1">
        <v>3</v>
      </c>
      <c r="L2120" s="1" t="str">
        <f t="shared" si="1339"/>
        <v>01</v>
      </c>
      <c r="M2120" s="1" t="str">
        <f t="shared" si="1329"/>
        <v>409</v>
      </c>
      <c r="N2120" s="1" t="str">
        <f t="shared" si="1352"/>
        <v>001</v>
      </c>
      <c r="O2120" s="1" t="str">
        <f t="shared" si="1340"/>
        <v>00</v>
      </c>
      <c r="P2120" s="1" t="str">
        <f t="shared" si="1341"/>
        <v>S</v>
      </c>
      <c r="Q2120" s="1" t="str">
        <f t="shared" si="1342"/>
        <v>P</v>
      </c>
      <c r="R2120" s="1" t="str">
        <f t="shared" si="1343"/>
        <v>01</v>
      </c>
      <c r="S2120" s="1" t="str">
        <f t="shared" si="1328"/>
        <v>04</v>
      </c>
      <c r="T2120" s="1" t="str">
        <f t="shared" si="1344"/>
        <v>False</v>
      </c>
      <c r="U2120" s="1" t="str">
        <f t="shared" si="1345"/>
        <v>True</v>
      </c>
      <c r="V2120" s="1" t="str">
        <f>"U0032557"</f>
        <v>U0032557</v>
      </c>
      <c r="W2120" s="1">
        <v>1</v>
      </c>
      <c r="Y2120" s="1">
        <v>0</v>
      </c>
      <c r="Z2120" s="1">
        <v>0</v>
      </c>
      <c r="AB2120" s="1" t="str">
        <f t="shared" si="1330"/>
        <v>SMU</v>
      </c>
      <c r="AI2120" s="1" t="str">
        <f t="shared" si="1334"/>
        <v>P11</v>
      </c>
      <c r="AJ2120" s="1" t="str">
        <f t="shared" si="1335"/>
        <v>WOMAN</v>
      </c>
      <c r="AK2120" s="1" t="str">
        <f t="shared" si="1346"/>
        <v>PA</v>
      </c>
      <c r="AP2120" s="1" t="str">
        <f t="shared" si="1347"/>
        <v>False</v>
      </c>
      <c r="AR2120" s="1" t="str">
        <f t="shared" si="1353"/>
        <v>DYON</v>
      </c>
      <c r="AY2120" s="1" t="str">
        <f t="shared" si="1348"/>
        <v>PF</v>
      </c>
      <c r="AZ2120" s="1">
        <v>0</v>
      </c>
      <c r="BA2120" s="1">
        <v>0</v>
      </c>
      <c r="BB2120" s="1">
        <v>0</v>
      </c>
      <c r="BC2120" s="1">
        <v>0</v>
      </c>
      <c r="BD2120" s="1">
        <v>0</v>
      </c>
      <c r="BE2120" s="1" t="str">
        <f t="shared" si="1354"/>
        <v>ION GOMMA TWILL CANVAS</v>
      </c>
      <c r="BF2120" s="1" t="str">
        <f t="shared" si="1349"/>
        <v>Bonis SpA</v>
      </c>
    </row>
    <row r="2121" spans="2:58" x14ac:dyDescent="0.25">
      <c r="B2121" s="1">
        <v>2521</v>
      </c>
      <c r="C2121" s="1" t="str">
        <f t="shared" si="1350"/>
        <v>DYON4190S7/C1</v>
      </c>
      <c r="E2121" s="1" t="str">
        <f>"40"</f>
        <v>40</v>
      </c>
      <c r="F2121" s="1" t="str">
        <f t="shared" si="1338"/>
        <v>BONIS SPA</v>
      </c>
      <c r="G2121" s="1" t="str">
        <f t="shared" si="1327"/>
        <v>STOCK SCAFFALE MP</v>
      </c>
      <c r="H2121" s="1" t="str">
        <f t="shared" si="1351"/>
        <v>WHI</v>
      </c>
      <c r="K2121" s="1">
        <v>4</v>
      </c>
      <c r="L2121" s="1" t="str">
        <f t="shared" si="1339"/>
        <v>01</v>
      </c>
      <c r="M2121" s="1" t="str">
        <f t="shared" si="1329"/>
        <v>409</v>
      </c>
      <c r="N2121" s="1" t="str">
        <f t="shared" si="1352"/>
        <v>001</v>
      </c>
      <c r="O2121" s="1" t="str">
        <f t="shared" si="1340"/>
        <v>00</v>
      </c>
      <c r="P2121" s="1" t="str">
        <f t="shared" si="1341"/>
        <v>S</v>
      </c>
      <c r="Q2121" s="1" t="str">
        <f t="shared" si="1342"/>
        <v>P</v>
      </c>
      <c r="R2121" s="1" t="str">
        <f t="shared" si="1343"/>
        <v>01</v>
      </c>
      <c r="S2121" s="1" t="str">
        <f t="shared" si="1328"/>
        <v>04</v>
      </c>
      <c r="T2121" s="1" t="str">
        <f t="shared" si="1344"/>
        <v>False</v>
      </c>
      <c r="U2121" s="1" t="str">
        <f t="shared" si="1345"/>
        <v>True</v>
      </c>
      <c r="V2121" s="1" t="str">
        <f>"U0032557"</f>
        <v>U0032557</v>
      </c>
      <c r="W2121" s="1">
        <v>1</v>
      </c>
      <c r="Y2121" s="1">
        <v>0</v>
      </c>
      <c r="Z2121" s="1">
        <v>0</v>
      </c>
      <c r="AB2121" s="1" t="str">
        <f t="shared" si="1330"/>
        <v>SMU</v>
      </c>
      <c r="AI2121" s="1" t="str">
        <f>"106"</f>
        <v>106</v>
      </c>
      <c r="AJ2121" s="1" t="str">
        <f t="shared" si="1335"/>
        <v>WOMAN</v>
      </c>
      <c r="AK2121" s="1" t="str">
        <f t="shared" si="1346"/>
        <v>PA</v>
      </c>
      <c r="AP2121" s="1" t="str">
        <f t="shared" si="1347"/>
        <v>False</v>
      </c>
      <c r="AR2121" s="1" t="str">
        <f t="shared" si="1353"/>
        <v>DYON</v>
      </c>
      <c r="AY2121" s="1" t="str">
        <f t="shared" si="1348"/>
        <v>PF</v>
      </c>
      <c r="AZ2121" s="1">
        <v>0</v>
      </c>
      <c r="BA2121" s="1">
        <v>0</v>
      </c>
      <c r="BB2121" s="1">
        <v>0</v>
      </c>
      <c r="BC2121" s="1">
        <v>0</v>
      </c>
      <c r="BD2121" s="1">
        <v>0</v>
      </c>
      <c r="BE2121" s="1" t="str">
        <f t="shared" si="1354"/>
        <v>ION GOMMA TWILL CANVAS</v>
      </c>
      <c r="BF2121" s="1" t="str">
        <f t="shared" si="1349"/>
        <v>Bonis SpA</v>
      </c>
    </row>
    <row r="2122" spans="2:58" x14ac:dyDescent="0.25">
      <c r="B2122" s="1">
        <v>2521</v>
      </c>
      <c r="C2122" s="1" t="str">
        <f t="shared" si="1350"/>
        <v>DYON4190S7/C1</v>
      </c>
      <c r="E2122" s="1" t="str">
        <f>"41"</f>
        <v>41</v>
      </c>
      <c r="F2122" s="1" t="str">
        <f t="shared" si="1338"/>
        <v>BONIS SPA</v>
      </c>
      <c r="G2122" s="1" t="str">
        <f t="shared" si="1327"/>
        <v>STOCK SCAFFALE MP</v>
      </c>
      <c r="H2122" s="1" t="str">
        <f t="shared" si="1351"/>
        <v>WHI</v>
      </c>
      <c r="K2122" s="1">
        <v>1</v>
      </c>
      <c r="L2122" s="1" t="str">
        <f t="shared" si="1339"/>
        <v>01</v>
      </c>
      <c r="M2122" s="1" t="str">
        <f t="shared" si="1329"/>
        <v>409</v>
      </c>
      <c r="N2122" s="1" t="str">
        <f t="shared" si="1352"/>
        <v>001</v>
      </c>
      <c r="O2122" s="1" t="str">
        <f t="shared" si="1340"/>
        <v>00</v>
      </c>
      <c r="P2122" s="1" t="str">
        <f t="shared" si="1341"/>
        <v>S</v>
      </c>
      <c r="Q2122" s="1" t="str">
        <f t="shared" si="1342"/>
        <v>P</v>
      </c>
      <c r="R2122" s="1" t="str">
        <f t="shared" si="1343"/>
        <v>01</v>
      </c>
      <c r="S2122" s="1" t="str">
        <f t="shared" si="1328"/>
        <v>04</v>
      </c>
      <c r="T2122" s="1" t="str">
        <f t="shared" si="1344"/>
        <v>False</v>
      </c>
      <c r="U2122" s="1" t="str">
        <f t="shared" si="1345"/>
        <v>True</v>
      </c>
      <c r="V2122" s="1" t="str">
        <f>"U0032557"</f>
        <v>U0032557</v>
      </c>
      <c r="W2122" s="1">
        <v>1</v>
      </c>
      <c r="Y2122" s="1">
        <v>0</v>
      </c>
      <c r="Z2122" s="1">
        <v>0</v>
      </c>
      <c r="AB2122" s="1" t="str">
        <f t="shared" si="1330"/>
        <v>SMU</v>
      </c>
      <c r="AI2122" s="1" t="str">
        <f>"P11"</f>
        <v>P11</v>
      </c>
      <c r="AJ2122" s="1" t="str">
        <f t="shared" si="1335"/>
        <v>WOMAN</v>
      </c>
      <c r="AK2122" s="1" t="str">
        <f t="shared" si="1346"/>
        <v>PA</v>
      </c>
      <c r="AP2122" s="1" t="str">
        <f t="shared" si="1347"/>
        <v>False</v>
      </c>
      <c r="AR2122" s="1" t="str">
        <f t="shared" si="1353"/>
        <v>DYON</v>
      </c>
      <c r="AY2122" s="1" t="str">
        <f t="shared" si="1348"/>
        <v>PF</v>
      </c>
      <c r="AZ2122" s="1">
        <v>0</v>
      </c>
      <c r="BA2122" s="1">
        <v>0</v>
      </c>
      <c r="BB2122" s="1">
        <v>0</v>
      </c>
      <c r="BC2122" s="1">
        <v>0</v>
      </c>
      <c r="BD2122" s="1">
        <v>0</v>
      </c>
      <c r="BE2122" s="1" t="str">
        <f t="shared" si="1354"/>
        <v>ION GOMMA TWILL CANVAS</v>
      </c>
      <c r="BF2122" s="1" t="str">
        <f t="shared" si="1349"/>
        <v>Bonis SpA</v>
      </c>
    </row>
    <row r="2123" spans="2:58" x14ac:dyDescent="0.25">
      <c r="B2123" s="1">
        <v>2521</v>
      </c>
      <c r="C2123" s="1" t="str">
        <f t="shared" si="1350"/>
        <v>DYON4190S7/C1</v>
      </c>
      <c r="E2123" s="1" t="str">
        <f>"39"</f>
        <v>39</v>
      </c>
      <c r="F2123" s="1" t="str">
        <f t="shared" si="1338"/>
        <v>BONIS SPA</v>
      </c>
      <c r="G2123" s="1" t="str">
        <f t="shared" si="1327"/>
        <v>STOCK SCAFFALE MP</v>
      </c>
      <c r="H2123" s="1" t="str">
        <f t="shared" si="1351"/>
        <v>WHI</v>
      </c>
      <c r="K2123" s="1">
        <v>1</v>
      </c>
      <c r="L2123" s="1" t="str">
        <f t="shared" si="1339"/>
        <v>01</v>
      </c>
      <c r="M2123" s="1" t="str">
        <f t="shared" si="1329"/>
        <v>409</v>
      </c>
      <c r="N2123" s="1" t="str">
        <f t="shared" si="1352"/>
        <v>001</v>
      </c>
      <c r="O2123" s="1" t="str">
        <f t="shared" si="1340"/>
        <v>00</v>
      </c>
      <c r="P2123" s="1" t="str">
        <f t="shared" si="1341"/>
        <v>S</v>
      </c>
      <c r="Q2123" s="1" t="str">
        <f t="shared" si="1342"/>
        <v>P</v>
      </c>
      <c r="R2123" s="1" t="str">
        <f t="shared" si="1343"/>
        <v>01</v>
      </c>
      <c r="S2123" s="1" t="str">
        <f t="shared" si="1328"/>
        <v>04</v>
      </c>
      <c r="T2123" s="1" t="str">
        <f t="shared" si="1344"/>
        <v>False</v>
      </c>
      <c r="U2123" s="1" t="str">
        <f t="shared" si="1345"/>
        <v>True</v>
      </c>
      <c r="V2123" s="1" t="str">
        <f>"U0022756"</f>
        <v>U0022756</v>
      </c>
      <c r="W2123" s="1">
        <v>1</v>
      </c>
      <c r="Y2123" s="1">
        <v>0</v>
      </c>
      <c r="Z2123" s="1">
        <v>0</v>
      </c>
      <c r="AB2123" s="1" t="str">
        <f t="shared" si="1330"/>
        <v>SMU</v>
      </c>
      <c r="AI2123" s="1" t="str">
        <f>"106"</f>
        <v>106</v>
      </c>
      <c r="AJ2123" s="1" t="str">
        <f t="shared" si="1335"/>
        <v>WOMAN</v>
      </c>
      <c r="AK2123" s="1" t="str">
        <f t="shared" si="1346"/>
        <v>PA</v>
      </c>
      <c r="AP2123" s="1" t="str">
        <f t="shared" si="1347"/>
        <v>False</v>
      </c>
      <c r="AR2123" s="1" t="str">
        <f t="shared" si="1353"/>
        <v>DYON</v>
      </c>
      <c r="AY2123" s="1" t="str">
        <f t="shared" si="1348"/>
        <v>PF</v>
      </c>
      <c r="AZ2123" s="1">
        <v>0</v>
      </c>
      <c r="BA2123" s="1">
        <v>0</v>
      </c>
      <c r="BB2123" s="1">
        <v>0</v>
      </c>
      <c r="BC2123" s="1">
        <v>0</v>
      </c>
      <c r="BD2123" s="1">
        <v>0</v>
      </c>
      <c r="BE2123" s="1" t="str">
        <f t="shared" si="1354"/>
        <v>ION GOMMA TWILL CANVAS</v>
      </c>
      <c r="BF2123" s="1" t="str">
        <f t="shared" si="1349"/>
        <v>Bonis SpA</v>
      </c>
    </row>
    <row r="2124" spans="2:58" x14ac:dyDescent="0.25">
      <c r="B2124" s="1">
        <v>2521</v>
      </c>
      <c r="C2124" s="1" t="str">
        <f t="shared" si="1350"/>
        <v>DYON4190S7/C1</v>
      </c>
      <c r="E2124" s="1" t="str">
        <f>"39"</f>
        <v>39</v>
      </c>
      <c r="F2124" s="1" t="str">
        <f t="shared" si="1338"/>
        <v>BONIS SPA</v>
      </c>
      <c r="G2124" s="1" t="str">
        <f t="shared" si="1327"/>
        <v>STOCK SCAFFALE MP</v>
      </c>
      <c r="H2124" s="1" t="str">
        <f t="shared" si="1351"/>
        <v>WHI</v>
      </c>
      <c r="K2124" s="1">
        <v>2</v>
      </c>
      <c r="L2124" s="1" t="str">
        <f t="shared" si="1339"/>
        <v>01</v>
      </c>
      <c r="M2124" s="1" t="str">
        <f t="shared" si="1329"/>
        <v>409</v>
      </c>
      <c r="N2124" s="1" t="str">
        <f t="shared" si="1352"/>
        <v>001</v>
      </c>
      <c r="O2124" s="1" t="str">
        <f t="shared" si="1340"/>
        <v>00</v>
      </c>
      <c r="P2124" s="1" t="str">
        <f t="shared" si="1341"/>
        <v>S</v>
      </c>
      <c r="Q2124" s="1" t="str">
        <f t="shared" si="1342"/>
        <v>P</v>
      </c>
      <c r="R2124" s="1" t="str">
        <f t="shared" si="1343"/>
        <v>01</v>
      </c>
      <c r="S2124" s="1" t="str">
        <f t="shared" si="1328"/>
        <v>04</v>
      </c>
      <c r="T2124" s="1" t="str">
        <f t="shared" si="1344"/>
        <v>False</v>
      </c>
      <c r="U2124" s="1" t="str">
        <f t="shared" si="1345"/>
        <v>True</v>
      </c>
      <c r="V2124" s="1" t="str">
        <f>"U0032589"</f>
        <v>U0032589</v>
      </c>
      <c r="W2124" s="1">
        <v>1</v>
      </c>
      <c r="Y2124" s="1">
        <v>0</v>
      </c>
      <c r="Z2124" s="1">
        <v>0</v>
      </c>
      <c r="AB2124" s="1" t="str">
        <f t="shared" si="1330"/>
        <v>SMU</v>
      </c>
      <c r="AI2124" s="1" t="str">
        <f>"106"</f>
        <v>106</v>
      </c>
      <c r="AJ2124" s="1" t="str">
        <f t="shared" si="1335"/>
        <v>WOMAN</v>
      </c>
      <c r="AK2124" s="1" t="str">
        <f t="shared" si="1346"/>
        <v>PA</v>
      </c>
      <c r="AP2124" s="1" t="str">
        <f t="shared" si="1347"/>
        <v>False</v>
      </c>
      <c r="AR2124" s="1" t="str">
        <f t="shared" si="1353"/>
        <v>DYON</v>
      </c>
      <c r="AY2124" s="1" t="str">
        <f t="shared" si="1348"/>
        <v>PF</v>
      </c>
      <c r="AZ2124" s="1">
        <v>0</v>
      </c>
      <c r="BA2124" s="1">
        <v>0</v>
      </c>
      <c r="BB2124" s="1">
        <v>0</v>
      </c>
      <c r="BC2124" s="1">
        <v>0</v>
      </c>
      <c r="BD2124" s="1">
        <v>0</v>
      </c>
      <c r="BE2124" s="1" t="str">
        <f t="shared" si="1354"/>
        <v>ION GOMMA TWILL CANVAS</v>
      </c>
      <c r="BF2124" s="1" t="str">
        <f t="shared" si="1349"/>
        <v>Bonis SpA</v>
      </c>
    </row>
    <row r="2125" spans="2:58" x14ac:dyDescent="0.25">
      <c r="B2125" s="1">
        <v>2521</v>
      </c>
      <c r="C2125" s="1" t="str">
        <f t="shared" si="1350"/>
        <v>DYON4190S7/C1</v>
      </c>
      <c r="E2125" s="1" t="str">
        <f>"41"</f>
        <v>41</v>
      </c>
      <c r="F2125" s="1" t="str">
        <f t="shared" si="1338"/>
        <v>BONIS SPA</v>
      </c>
      <c r="G2125" s="1" t="str">
        <f t="shared" si="1327"/>
        <v>STOCK SCAFFALE MP</v>
      </c>
      <c r="H2125" s="1" t="str">
        <f t="shared" si="1351"/>
        <v>WHI</v>
      </c>
      <c r="K2125" s="1">
        <v>2</v>
      </c>
      <c r="L2125" s="1" t="str">
        <f t="shared" si="1339"/>
        <v>01</v>
      </c>
      <c r="M2125" s="1" t="str">
        <f t="shared" si="1329"/>
        <v>409</v>
      </c>
      <c r="N2125" s="1" t="str">
        <f t="shared" si="1352"/>
        <v>001</v>
      </c>
      <c r="O2125" s="1" t="str">
        <f t="shared" si="1340"/>
        <v>00</v>
      </c>
      <c r="P2125" s="1" t="str">
        <f t="shared" si="1341"/>
        <v>S</v>
      </c>
      <c r="Q2125" s="1" t="str">
        <f t="shared" si="1342"/>
        <v>P</v>
      </c>
      <c r="R2125" s="1" t="str">
        <f t="shared" si="1343"/>
        <v>01</v>
      </c>
      <c r="S2125" s="1" t="str">
        <f t="shared" si="1328"/>
        <v>04</v>
      </c>
      <c r="T2125" s="1" t="str">
        <f t="shared" si="1344"/>
        <v>False</v>
      </c>
      <c r="U2125" s="1" t="str">
        <f t="shared" si="1345"/>
        <v>True</v>
      </c>
      <c r="V2125" s="1" t="str">
        <f>"U0022756"</f>
        <v>U0022756</v>
      </c>
      <c r="W2125" s="1">
        <v>1</v>
      </c>
      <c r="Y2125" s="1">
        <v>0</v>
      </c>
      <c r="Z2125" s="1">
        <v>0</v>
      </c>
      <c r="AB2125" s="1" t="str">
        <f t="shared" si="1330"/>
        <v>SMU</v>
      </c>
      <c r="AI2125" s="1" t="str">
        <f>"106"</f>
        <v>106</v>
      </c>
      <c r="AJ2125" s="1" t="str">
        <f t="shared" si="1335"/>
        <v>WOMAN</v>
      </c>
      <c r="AK2125" s="1" t="str">
        <f t="shared" si="1346"/>
        <v>PA</v>
      </c>
      <c r="AP2125" s="1" t="str">
        <f t="shared" si="1347"/>
        <v>False</v>
      </c>
      <c r="AR2125" s="1" t="str">
        <f t="shared" si="1353"/>
        <v>DYON</v>
      </c>
      <c r="AY2125" s="1" t="str">
        <f t="shared" si="1348"/>
        <v>PF</v>
      </c>
      <c r="AZ2125" s="1">
        <v>0</v>
      </c>
      <c r="BA2125" s="1">
        <v>0</v>
      </c>
      <c r="BB2125" s="1">
        <v>0</v>
      </c>
      <c r="BC2125" s="1">
        <v>0</v>
      </c>
      <c r="BD2125" s="1">
        <v>0</v>
      </c>
      <c r="BE2125" s="1" t="str">
        <f t="shared" si="1354"/>
        <v>ION GOMMA TWILL CANVAS</v>
      </c>
      <c r="BF2125" s="1" t="str">
        <f t="shared" si="1349"/>
        <v>Bonis SpA</v>
      </c>
    </row>
    <row r="2126" spans="2:58" x14ac:dyDescent="0.25">
      <c r="B2126" s="1">
        <v>2521</v>
      </c>
      <c r="C2126" s="1" t="str">
        <f t="shared" si="1350"/>
        <v>DYON4190S7/C1</v>
      </c>
      <c r="E2126" s="1" t="str">
        <f>"36"</f>
        <v>36</v>
      </c>
      <c r="F2126" s="1" t="str">
        <f t="shared" si="1338"/>
        <v>BONIS SPA</v>
      </c>
      <c r="G2126" s="1" t="str">
        <f t="shared" si="1327"/>
        <v>STOCK SCAFFALE MP</v>
      </c>
      <c r="H2126" s="1" t="str">
        <f t="shared" si="1351"/>
        <v>WHI</v>
      </c>
      <c r="K2126" s="1">
        <v>1</v>
      </c>
      <c r="L2126" s="1" t="str">
        <f t="shared" si="1339"/>
        <v>01</v>
      </c>
      <c r="M2126" s="1" t="str">
        <f t="shared" si="1329"/>
        <v>409</v>
      </c>
      <c r="N2126" s="1" t="str">
        <f t="shared" si="1352"/>
        <v>001</v>
      </c>
      <c r="O2126" s="1" t="str">
        <f t="shared" si="1340"/>
        <v>00</v>
      </c>
      <c r="P2126" s="1" t="str">
        <f t="shared" si="1341"/>
        <v>S</v>
      </c>
      <c r="Q2126" s="1" t="str">
        <f t="shared" si="1342"/>
        <v>P</v>
      </c>
      <c r="R2126" s="1" t="str">
        <f t="shared" si="1343"/>
        <v>01</v>
      </c>
      <c r="S2126" s="1" t="str">
        <f t="shared" si="1328"/>
        <v>04</v>
      </c>
      <c r="T2126" s="1" t="str">
        <f t="shared" si="1344"/>
        <v>False</v>
      </c>
      <c r="U2126" s="1" t="str">
        <f t="shared" si="1345"/>
        <v>True</v>
      </c>
      <c r="V2126" s="1" t="str">
        <f>"U0032560"</f>
        <v>U0032560</v>
      </c>
      <c r="W2126" s="1">
        <v>1</v>
      </c>
      <c r="Y2126" s="1">
        <v>0</v>
      </c>
      <c r="Z2126" s="1">
        <v>0</v>
      </c>
      <c r="AB2126" s="1" t="str">
        <f t="shared" si="1330"/>
        <v>SMU</v>
      </c>
      <c r="AI2126" s="1" t="str">
        <f>"P11"</f>
        <v>P11</v>
      </c>
      <c r="AJ2126" s="1" t="str">
        <f t="shared" si="1335"/>
        <v>WOMAN</v>
      </c>
      <c r="AK2126" s="1" t="str">
        <f t="shared" si="1346"/>
        <v>PA</v>
      </c>
      <c r="AP2126" s="1" t="str">
        <f t="shared" si="1347"/>
        <v>False</v>
      </c>
      <c r="AR2126" s="1" t="str">
        <f t="shared" si="1353"/>
        <v>DYON</v>
      </c>
      <c r="AY2126" s="1" t="str">
        <f t="shared" si="1348"/>
        <v>PF</v>
      </c>
      <c r="AZ2126" s="1">
        <v>0</v>
      </c>
      <c r="BA2126" s="1">
        <v>0</v>
      </c>
      <c r="BB2126" s="1">
        <v>0</v>
      </c>
      <c r="BC2126" s="1">
        <v>0</v>
      </c>
      <c r="BD2126" s="1">
        <v>0</v>
      </c>
      <c r="BE2126" s="1" t="str">
        <f t="shared" si="1354"/>
        <v>ION GOMMA TWILL CANVAS</v>
      </c>
      <c r="BF2126" s="1" t="str">
        <f t="shared" si="1349"/>
        <v>Bonis SpA</v>
      </c>
    </row>
    <row r="2127" spans="2:58" x14ac:dyDescent="0.25">
      <c r="B2127" s="1">
        <v>2521</v>
      </c>
      <c r="C2127" s="1" t="str">
        <f t="shared" si="1350"/>
        <v>DYON4190S7/C1</v>
      </c>
      <c r="E2127" s="1" t="str">
        <f>"38"</f>
        <v>38</v>
      </c>
      <c r="F2127" s="1" t="str">
        <f t="shared" si="1338"/>
        <v>BONIS SPA</v>
      </c>
      <c r="G2127" s="1" t="str">
        <f t="shared" si="1327"/>
        <v>STOCK SCAFFALE MP</v>
      </c>
      <c r="H2127" s="1" t="str">
        <f t="shared" si="1351"/>
        <v>WHI</v>
      </c>
      <c r="K2127" s="1">
        <v>3</v>
      </c>
      <c r="L2127" s="1" t="str">
        <f t="shared" si="1339"/>
        <v>01</v>
      </c>
      <c r="M2127" s="1" t="str">
        <f t="shared" si="1329"/>
        <v>409</v>
      </c>
      <c r="N2127" s="1" t="str">
        <f t="shared" si="1352"/>
        <v>001</v>
      </c>
      <c r="O2127" s="1" t="str">
        <f t="shared" si="1340"/>
        <v>00</v>
      </c>
      <c r="P2127" s="1" t="str">
        <f t="shared" si="1341"/>
        <v>S</v>
      </c>
      <c r="Q2127" s="1" t="str">
        <f t="shared" si="1342"/>
        <v>P</v>
      </c>
      <c r="R2127" s="1" t="str">
        <f t="shared" si="1343"/>
        <v>01</v>
      </c>
      <c r="S2127" s="1" t="str">
        <f t="shared" si="1328"/>
        <v>04</v>
      </c>
      <c r="T2127" s="1" t="str">
        <f t="shared" si="1344"/>
        <v>False</v>
      </c>
      <c r="U2127" s="1" t="str">
        <f t="shared" si="1345"/>
        <v>True</v>
      </c>
      <c r="V2127" s="1" t="str">
        <f>"U0032560"</f>
        <v>U0032560</v>
      </c>
      <c r="W2127" s="1">
        <v>1</v>
      </c>
      <c r="Y2127" s="1">
        <v>0</v>
      </c>
      <c r="Z2127" s="1">
        <v>0</v>
      </c>
      <c r="AB2127" s="1" t="str">
        <f t="shared" si="1330"/>
        <v>SMU</v>
      </c>
      <c r="AI2127" s="1" t="str">
        <f>"P11"</f>
        <v>P11</v>
      </c>
      <c r="AJ2127" s="1" t="str">
        <f t="shared" si="1335"/>
        <v>WOMAN</v>
      </c>
      <c r="AK2127" s="1" t="str">
        <f t="shared" si="1346"/>
        <v>PA</v>
      </c>
      <c r="AP2127" s="1" t="str">
        <f t="shared" si="1347"/>
        <v>False</v>
      </c>
      <c r="AR2127" s="1" t="str">
        <f t="shared" si="1353"/>
        <v>DYON</v>
      </c>
      <c r="AY2127" s="1" t="str">
        <f t="shared" si="1348"/>
        <v>PF</v>
      </c>
      <c r="AZ2127" s="1">
        <v>0</v>
      </c>
      <c r="BA2127" s="1">
        <v>0</v>
      </c>
      <c r="BB2127" s="1">
        <v>0</v>
      </c>
      <c r="BC2127" s="1">
        <v>0</v>
      </c>
      <c r="BD2127" s="1">
        <v>0</v>
      </c>
      <c r="BE2127" s="1" t="str">
        <f t="shared" si="1354"/>
        <v>ION GOMMA TWILL CANVAS</v>
      </c>
      <c r="BF2127" s="1" t="str">
        <f t="shared" si="1349"/>
        <v>Bonis SpA</v>
      </c>
    </row>
    <row r="2128" spans="2:58" x14ac:dyDescent="0.25">
      <c r="B2128" s="1">
        <v>2521</v>
      </c>
      <c r="C2128" s="1" t="str">
        <f t="shared" si="1350"/>
        <v>DYON4190S7/C1</v>
      </c>
      <c r="E2128" s="1" t="str">
        <f>"39"</f>
        <v>39</v>
      </c>
      <c r="F2128" s="1" t="str">
        <f t="shared" si="1338"/>
        <v>BONIS SPA</v>
      </c>
      <c r="G2128" s="1" t="str">
        <f t="shared" si="1327"/>
        <v>STOCK SCAFFALE MP</v>
      </c>
      <c r="H2128" s="1" t="str">
        <f t="shared" si="1351"/>
        <v>WHI</v>
      </c>
      <c r="K2128" s="1">
        <v>3</v>
      </c>
      <c r="L2128" s="1" t="str">
        <f t="shared" si="1339"/>
        <v>01</v>
      </c>
      <c r="M2128" s="1" t="str">
        <f t="shared" si="1329"/>
        <v>409</v>
      </c>
      <c r="N2128" s="1" t="str">
        <f t="shared" si="1352"/>
        <v>001</v>
      </c>
      <c r="O2128" s="1" t="str">
        <f t="shared" si="1340"/>
        <v>00</v>
      </c>
      <c r="P2128" s="1" t="str">
        <f t="shared" si="1341"/>
        <v>S</v>
      </c>
      <c r="Q2128" s="1" t="str">
        <f t="shared" si="1342"/>
        <v>P</v>
      </c>
      <c r="R2128" s="1" t="str">
        <f t="shared" si="1343"/>
        <v>01</v>
      </c>
      <c r="S2128" s="1" t="str">
        <f t="shared" si="1328"/>
        <v>04</v>
      </c>
      <c r="T2128" s="1" t="str">
        <f t="shared" si="1344"/>
        <v>False</v>
      </c>
      <c r="U2128" s="1" t="str">
        <f t="shared" si="1345"/>
        <v>True</v>
      </c>
      <c r="V2128" s="1" t="str">
        <f>"U0032560"</f>
        <v>U0032560</v>
      </c>
      <c r="W2128" s="1">
        <v>1</v>
      </c>
      <c r="Y2128" s="1">
        <v>0</v>
      </c>
      <c r="Z2128" s="1">
        <v>0</v>
      </c>
      <c r="AB2128" s="1" t="str">
        <f t="shared" si="1330"/>
        <v>SMU</v>
      </c>
      <c r="AI2128" s="1" t="str">
        <f>"P11"</f>
        <v>P11</v>
      </c>
      <c r="AJ2128" s="1" t="str">
        <f t="shared" si="1335"/>
        <v>WOMAN</v>
      </c>
      <c r="AK2128" s="1" t="str">
        <f t="shared" si="1346"/>
        <v>PA</v>
      </c>
      <c r="AP2128" s="1" t="str">
        <f t="shared" si="1347"/>
        <v>False</v>
      </c>
      <c r="AR2128" s="1" t="str">
        <f t="shared" si="1353"/>
        <v>DYON</v>
      </c>
      <c r="AY2128" s="1" t="str">
        <f t="shared" si="1348"/>
        <v>PF</v>
      </c>
      <c r="AZ2128" s="1">
        <v>0</v>
      </c>
      <c r="BA2128" s="1">
        <v>0</v>
      </c>
      <c r="BB2128" s="1">
        <v>0</v>
      </c>
      <c r="BC2128" s="1">
        <v>0</v>
      </c>
      <c r="BD2128" s="1">
        <v>0</v>
      </c>
      <c r="BE2128" s="1" t="str">
        <f t="shared" si="1354"/>
        <v>ION GOMMA TWILL CANVAS</v>
      </c>
      <c r="BF2128" s="1" t="str">
        <f t="shared" si="1349"/>
        <v>Bonis SpA</v>
      </c>
    </row>
    <row r="2129" spans="2:58" x14ac:dyDescent="0.25">
      <c r="B2129" s="1">
        <v>2521</v>
      </c>
      <c r="C2129" s="1" t="str">
        <f t="shared" si="1350"/>
        <v>DYON4190S7/C1</v>
      </c>
      <c r="E2129" s="1" t="str">
        <f>"40"</f>
        <v>40</v>
      </c>
      <c r="F2129" s="1" t="str">
        <f t="shared" si="1338"/>
        <v>BONIS SPA</v>
      </c>
      <c r="G2129" s="1" t="str">
        <f t="shared" si="1327"/>
        <v>STOCK SCAFFALE MP</v>
      </c>
      <c r="H2129" s="1" t="str">
        <f t="shared" si="1351"/>
        <v>WHI</v>
      </c>
      <c r="K2129" s="1">
        <v>4</v>
      </c>
      <c r="L2129" s="1" t="str">
        <f t="shared" si="1339"/>
        <v>01</v>
      </c>
      <c r="M2129" s="1" t="str">
        <f t="shared" si="1329"/>
        <v>409</v>
      </c>
      <c r="N2129" s="1" t="str">
        <f t="shared" si="1352"/>
        <v>001</v>
      </c>
      <c r="O2129" s="1" t="str">
        <f t="shared" si="1340"/>
        <v>00</v>
      </c>
      <c r="P2129" s="1" t="str">
        <f t="shared" si="1341"/>
        <v>S</v>
      </c>
      <c r="Q2129" s="1" t="str">
        <f t="shared" si="1342"/>
        <v>P</v>
      </c>
      <c r="R2129" s="1" t="str">
        <f t="shared" si="1343"/>
        <v>01</v>
      </c>
      <c r="S2129" s="1" t="str">
        <f t="shared" si="1328"/>
        <v>04</v>
      </c>
      <c r="T2129" s="1" t="str">
        <f t="shared" si="1344"/>
        <v>False</v>
      </c>
      <c r="U2129" s="1" t="str">
        <f t="shared" si="1345"/>
        <v>True</v>
      </c>
      <c r="V2129" s="1" t="str">
        <f>"U0032560"</f>
        <v>U0032560</v>
      </c>
      <c r="W2129" s="1">
        <v>1</v>
      </c>
      <c r="Y2129" s="1">
        <v>0</v>
      </c>
      <c r="Z2129" s="1">
        <v>0</v>
      </c>
      <c r="AB2129" s="1" t="str">
        <f t="shared" si="1330"/>
        <v>SMU</v>
      </c>
      <c r="AI2129" s="1" t="str">
        <f>"106"</f>
        <v>106</v>
      </c>
      <c r="AJ2129" s="1" t="str">
        <f t="shared" si="1335"/>
        <v>WOMAN</v>
      </c>
      <c r="AK2129" s="1" t="str">
        <f t="shared" si="1346"/>
        <v>PA</v>
      </c>
      <c r="AP2129" s="1" t="str">
        <f t="shared" si="1347"/>
        <v>False</v>
      </c>
      <c r="AR2129" s="1" t="str">
        <f t="shared" si="1353"/>
        <v>DYON</v>
      </c>
      <c r="AY2129" s="1" t="str">
        <f t="shared" si="1348"/>
        <v>PF</v>
      </c>
      <c r="AZ2129" s="1">
        <v>0</v>
      </c>
      <c r="BA2129" s="1">
        <v>0</v>
      </c>
      <c r="BB2129" s="1">
        <v>0</v>
      </c>
      <c r="BC2129" s="1">
        <v>0</v>
      </c>
      <c r="BD2129" s="1">
        <v>0</v>
      </c>
      <c r="BE2129" s="1" t="str">
        <f t="shared" si="1354"/>
        <v>ION GOMMA TWILL CANVAS</v>
      </c>
      <c r="BF2129" s="1" t="str">
        <f t="shared" si="1349"/>
        <v>Bonis SpA</v>
      </c>
    </row>
    <row r="2130" spans="2:58" x14ac:dyDescent="0.25">
      <c r="B2130" s="1">
        <v>2521</v>
      </c>
      <c r="C2130" s="1" t="str">
        <f t="shared" si="1350"/>
        <v>DYON4190S7/C1</v>
      </c>
      <c r="E2130" s="1" t="str">
        <f>"41"</f>
        <v>41</v>
      </c>
      <c r="F2130" s="1" t="str">
        <f t="shared" si="1338"/>
        <v>BONIS SPA</v>
      </c>
      <c r="G2130" s="1" t="str">
        <f t="shared" si="1327"/>
        <v>STOCK SCAFFALE MP</v>
      </c>
      <c r="H2130" s="1" t="str">
        <f t="shared" si="1351"/>
        <v>WHI</v>
      </c>
      <c r="K2130" s="1">
        <v>1</v>
      </c>
      <c r="L2130" s="1" t="str">
        <f t="shared" si="1339"/>
        <v>01</v>
      </c>
      <c r="M2130" s="1" t="str">
        <f t="shared" si="1329"/>
        <v>409</v>
      </c>
      <c r="N2130" s="1" t="str">
        <f t="shared" si="1352"/>
        <v>001</v>
      </c>
      <c r="O2130" s="1" t="str">
        <f t="shared" si="1340"/>
        <v>00</v>
      </c>
      <c r="P2130" s="1" t="str">
        <f t="shared" si="1341"/>
        <v>S</v>
      </c>
      <c r="Q2130" s="1" t="str">
        <f t="shared" si="1342"/>
        <v>P</v>
      </c>
      <c r="R2130" s="1" t="str">
        <f t="shared" si="1343"/>
        <v>01</v>
      </c>
      <c r="S2130" s="1" t="str">
        <f t="shared" si="1328"/>
        <v>04</v>
      </c>
      <c r="T2130" s="1" t="str">
        <f t="shared" si="1344"/>
        <v>False</v>
      </c>
      <c r="U2130" s="1" t="str">
        <f t="shared" si="1345"/>
        <v>True</v>
      </c>
      <c r="V2130" s="1" t="str">
        <f>"U0032560"</f>
        <v>U0032560</v>
      </c>
      <c r="W2130" s="1">
        <v>1</v>
      </c>
      <c r="Y2130" s="1">
        <v>0</v>
      </c>
      <c r="Z2130" s="1">
        <v>0</v>
      </c>
      <c r="AB2130" s="1" t="str">
        <f t="shared" si="1330"/>
        <v>SMU</v>
      </c>
      <c r="AI2130" s="1" t="str">
        <f>"P11"</f>
        <v>P11</v>
      </c>
      <c r="AJ2130" s="1" t="str">
        <f t="shared" si="1335"/>
        <v>WOMAN</v>
      </c>
      <c r="AK2130" s="1" t="str">
        <f t="shared" si="1346"/>
        <v>PA</v>
      </c>
      <c r="AP2130" s="1" t="str">
        <f t="shared" si="1347"/>
        <v>False</v>
      </c>
      <c r="AR2130" s="1" t="str">
        <f t="shared" si="1353"/>
        <v>DYON</v>
      </c>
      <c r="AY2130" s="1" t="str">
        <f t="shared" si="1348"/>
        <v>PF</v>
      </c>
      <c r="AZ2130" s="1">
        <v>0</v>
      </c>
      <c r="BA2130" s="1">
        <v>0</v>
      </c>
      <c r="BB2130" s="1">
        <v>0</v>
      </c>
      <c r="BC2130" s="1">
        <v>0</v>
      </c>
      <c r="BD2130" s="1">
        <v>0</v>
      </c>
      <c r="BE2130" s="1" t="str">
        <f t="shared" si="1354"/>
        <v>ION GOMMA TWILL CANVAS</v>
      </c>
      <c r="BF2130" s="1" t="str">
        <f t="shared" si="1349"/>
        <v>Bonis SpA</v>
      </c>
    </row>
    <row r="2131" spans="2:58" x14ac:dyDescent="0.25">
      <c r="B2131" s="1">
        <v>2527</v>
      </c>
      <c r="C2131" s="1" t="str">
        <f t="shared" ref="C2131:C2136" si="1355">"RUMBA4187S7/C1"</f>
        <v>RUMBA4187S7/C1</v>
      </c>
      <c r="E2131" s="1" t="str">
        <f>"37"</f>
        <v>37</v>
      </c>
      <c r="F2131" s="1" t="str">
        <f t="shared" si="1338"/>
        <v>BONIS SPA</v>
      </c>
      <c r="G2131" s="1" t="str">
        <f t="shared" si="1327"/>
        <v>STOCK SCAFFALE MP</v>
      </c>
      <c r="H2131" s="1" t="str">
        <f>"DKBL"</f>
        <v>DKBL</v>
      </c>
      <c r="K2131" s="1">
        <v>4</v>
      </c>
      <c r="L2131" s="1" t="str">
        <f t="shared" si="1339"/>
        <v>01</v>
      </c>
      <c r="M2131" s="1" t="str">
        <f t="shared" si="1329"/>
        <v>409</v>
      </c>
      <c r="N2131" s="1" t="str">
        <f t="shared" ref="N2131:N2152" si="1356">"003"</f>
        <v>003</v>
      </c>
      <c r="O2131" s="1" t="str">
        <f t="shared" si="1340"/>
        <v>00</v>
      </c>
      <c r="P2131" s="1" t="str">
        <f t="shared" si="1341"/>
        <v>S</v>
      </c>
      <c r="Q2131" s="1" t="str">
        <f t="shared" si="1342"/>
        <v>P</v>
      </c>
      <c r="R2131" s="1" t="str">
        <f t="shared" si="1343"/>
        <v>01</v>
      </c>
      <c r="S2131" s="1" t="str">
        <f t="shared" si="1328"/>
        <v>04</v>
      </c>
      <c r="T2131" s="1" t="str">
        <f t="shared" si="1344"/>
        <v>False</v>
      </c>
      <c r="U2131" s="1" t="str">
        <f t="shared" si="1345"/>
        <v>True</v>
      </c>
      <c r="V2131" s="1" t="str">
        <f>"U0032556"</f>
        <v>U0032556</v>
      </c>
      <c r="W2131" s="1">
        <v>1</v>
      </c>
      <c r="Y2131" s="1">
        <v>0</v>
      </c>
      <c r="Z2131" s="1">
        <v>0</v>
      </c>
      <c r="AB2131" s="1" t="str">
        <f t="shared" si="1330"/>
        <v>SMU</v>
      </c>
      <c r="AI2131" s="1" t="str">
        <f>"106"</f>
        <v>106</v>
      </c>
      <c r="AJ2131" s="1" t="str">
        <f t="shared" si="1335"/>
        <v>WOMAN</v>
      </c>
      <c r="AK2131" s="1" t="str">
        <f t="shared" si="1346"/>
        <v>PA</v>
      </c>
      <c r="AP2131" s="1" t="str">
        <f t="shared" si="1347"/>
        <v>False</v>
      </c>
      <c r="AR2131" s="1" t="str">
        <f t="shared" ref="AR2131:AR2136" si="1357">"RUMBA"</f>
        <v>RUMBA</v>
      </c>
      <c r="AY2131" s="1" t="str">
        <f t="shared" si="1348"/>
        <v>PF</v>
      </c>
      <c r="AZ2131" s="1">
        <v>0</v>
      </c>
      <c r="BA2131" s="1">
        <v>0</v>
      </c>
      <c r="BB2131" s="1">
        <v>0</v>
      </c>
      <c r="BC2131" s="1">
        <v>0</v>
      </c>
      <c r="BD2131" s="1">
        <v>0</v>
      </c>
      <c r="BE2131" s="1" t="str">
        <f t="shared" ref="BE2131:BE2136" si="1358">"SUOLA RUMBA TWILL CANVAS"</f>
        <v>SUOLA RUMBA TWILL CANVAS</v>
      </c>
      <c r="BF2131" s="1" t="str">
        <f t="shared" si="1349"/>
        <v>Bonis SpA</v>
      </c>
    </row>
    <row r="2132" spans="2:58" x14ac:dyDescent="0.25">
      <c r="B2132" s="1">
        <v>2527</v>
      </c>
      <c r="C2132" s="1" t="str">
        <f t="shared" si="1355"/>
        <v>RUMBA4187S7/C1</v>
      </c>
      <c r="E2132" s="1" t="str">
        <f>"39"</f>
        <v>39</v>
      </c>
      <c r="F2132" s="1" t="str">
        <f t="shared" si="1338"/>
        <v>BONIS SPA</v>
      </c>
      <c r="G2132" s="1" t="str">
        <f t="shared" si="1327"/>
        <v>STOCK SCAFFALE MP</v>
      </c>
      <c r="H2132" s="1" t="str">
        <f>"DKBL"</f>
        <v>DKBL</v>
      </c>
      <c r="K2132" s="1">
        <v>3</v>
      </c>
      <c r="L2132" s="1" t="str">
        <f t="shared" si="1339"/>
        <v>01</v>
      </c>
      <c r="M2132" s="1" t="str">
        <f t="shared" si="1329"/>
        <v>409</v>
      </c>
      <c r="N2132" s="1" t="str">
        <f t="shared" si="1356"/>
        <v>003</v>
      </c>
      <c r="O2132" s="1" t="str">
        <f t="shared" si="1340"/>
        <v>00</v>
      </c>
      <c r="P2132" s="1" t="str">
        <f t="shared" si="1341"/>
        <v>S</v>
      </c>
      <c r="Q2132" s="1" t="str">
        <f t="shared" si="1342"/>
        <v>P</v>
      </c>
      <c r="R2132" s="1" t="str">
        <f t="shared" si="1343"/>
        <v>01</v>
      </c>
      <c r="S2132" s="1" t="str">
        <f t="shared" si="1328"/>
        <v>04</v>
      </c>
      <c r="T2132" s="1" t="str">
        <f t="shared" si="1344"/>
        <v>False</v>
      </c>
      <c r="U2132" s="1" t="str">
        <f t="shared" si="1345"/>
        <v>True</v>
      </c>
      <c r="V2132" s="1" t="str">
        <f>"U0032556"</f>
        <v>U0032556</v>
      </c>
      <c r="W2132" s="1">
        <v>1</v>
      </c>
      <c r="Y2132" s="1">
        <v>0</v>
      </c>
      <c r="Z2132" s="1">
        <v>0</v>
      </c>
      <c r="AB2132" s="1" t="str">
        <f t="shared" si="1330"/>
        <v>SMU</v>
      </c>
      <c r="AI2132" s="1" t="str">
        <f>"106"</f>
        <v>106</v>
      </c>
      <c r="AJ2132" s="1" t="str">
        <f t="shared" si="1335"/>
        <v>WOMAN</v>
      </c>
      <c r="AK2132" s="1" t="str">
        <f t="shared" si="1346"/>
        <v>PA</v>
      </c>
      <c r="AP2132" s="1" t="str">
        <f t="shared" si="1347"/>
        <v>False</v>
      </c>
      <c r="AR2132" s="1" t="str">
        <f t="shared" si="1357"/>
        <v>RUMBA</v>
      </c>
      <c r="AY2132" s="1" t="str">
        <f t="shared" si="1348"/>
        <v>PF</v>
      </c>
      <c r="AZ2132" s="1">
        <v>0</v>
      </c>
      <c r="BA2132" s="1">
        <v>0</v>
      </c>
      <c r="BB2132" s="1">
        <v>0</v>
      </c>
      <c r="BC2132" s="1">
        <v>0</v>
      </c>
      <c r="BD2132" s="1">
        <v>0</v>
      </c>
      <c r="BE2132" s="1" t="str">
        <f t="shared" si="1358"/>
        <v>SUOLA RUMBA TWILL CANVAS</v>
      </c>
      <c r="BF2132" s="1" t="str">
        <f t="shared" si="1349"/>
        <v>Bonis SpA</v>
      </c>
    </row>
    <row r="2133" spans="2:58" x14ac:dyDescent="0.25">
      <c r="B2133" s="1">
        <v>2527</v>
      </c>
      <c r="C2133" s="1" t="str">
        <f t="shared" si="1355"/>
        <v>RUMBA4187S7/C1</v>
      </c>
      <c r="E2133" s="1" t="str">
        <f>"39"</f>
        <v>39</v>
      </c>
      <c r="F2133" s="1" t="str">
        <f t="shared" si="1338"/>
        <v>BONIS SPA</v>
      </c>
      <c r="G2133" s="1" t="str">
        <f t="shared" si="1327"/>
        <v>STOCK SCAFFALE MP</v>
      </c>
      <c r="H2133" s="1" t="str">
        <f>"DKBL"</f>
        <v>DKBL</v>
      </c>
      <c r="K2133" s="1">
        <v>2</v>
      </c>
      <c r="L2133" s="1" t="str">
        <f t="shared" si="1339"/>
        <v>01</v>
      </c>
      <c r="M2133" s="1" t="str">
        <f t="shared" si="1329"/>
        <v>409</v>
      </c>
      <c r="N2133" s="1" t="str">
        <f t="shared" si="1356"/>
        <v>003</v>
      </c>
      <c r="O2133" s="1" t="str">
        <f t="shared" si="1340"/>
        <v>00</v>
      </c>
      <c r="P2133" s="1" t="str">
        <f t="shared" si="1341"/>
        <v>S</v>
      </c>
      <c r="Q2133" s="1" t="str">
        <f t="shared" si="1342"/>
        <v>P</v>
      </c>
      <c r="R2133" s="1" t="str">
        <f t="shared" si="1343"/>
        <v>01</v>
      </c>
      <c r="S2133" s="1" t="str">
        <f t="shared" si="1328"/>
        <v>04</v>
      </c>
      <c r="T2133" s="1" t="str">
        <f t="shared" si="1344"/>
        <v>False</v>
      </c>
      <c r="U2133" s="1" t="str">
        <f t="shared" si="1345"/>
        <v>True</v>
      </c>
      <c r="V2133" s="1" t="str">
        <f>"U0032554"</f>
        <v>U0032554</v>
      </c>
      <c r="W2133" s="1">
        <v>1</v>
      </c>
      <c r="Y2133" s="1">
        <v>0</v>
      </c>
      <c r="Z2133" s="1">
        <v>0</v>
      </c>
      <c r="AB2133" s="1" t="str">
        <f t="shared" si="1330"/>
        <v>SMU</v>
      </c>
      <c r="AI2133" s="1" t="str">
        <f>"106"</f>
        <v>106</v>
      </c>
      <c r="AJ2133" s="1" t="str">
        <f t="shared" si="1335"/>
        <v>WOMAN</v>
      </c>
      <c r="AK2133" s="1" t="str">
        <f t="shared" si="1346"/>
        <v>PA</v>
      </c>
      <c r="AP2133" s="1" t="str">
        <f t="shared" si="1347"/>
        <v>False</v>
      </c>
      <c r="AR2133" s="1" t="str">
        <f t="shared" si="1357"/>
        <v>RUMBA</v>
      </c>
      <c r="AY2133" s="1" t="str">
        <f t="shared" si="1348"/>
        <v>PF</v>
      </c>
      <c r="AZ2133" s="1">
        <v>0</v>
      </c>
      <c r="BA2133" s="1">
        <v>0</v>
      </c>
      <c r="BB2133" s="1">
        <v>0</v>
      </c>
      <c r="BC2133" s="1">
        <v>0</v>
      </c>
      <c r="BD2133" s="1">
        <v>0</v>
      </c>
      <c r="BE2133" s="1" t="str">
        <f t="shared" si="1358"/>
        <v>SUOLA RUMBA TWILL CANVAS</v>
      </c>
      <c r="BF2133" s="1" t="str">
        <f t="shared" si="1349"/>
        <v>Bonis SpA</v>
      </c>
    </row>
    <row r="2134" spans="2:58" x14ac:dyDescent="0.25">
      <c r="B2134" s="1">
        <v>2527</v>
      </c>
      <c r="C2134" s="1" t="str">
        <f t="shared" si="1355"/>
        <v>RUMBA4187S7/C1</v>
      </c>
      <c r="E2134" s="1" t="str">
        <f>"40"</f>
        <v>40</v>
      </c>
      <c r="F2134" s="1" t="str">
        <f t="shared" si="1338"/>
        <v>BONIS SPA</v>
      </c>
      <c r="G2134" s="1" t="str">
        <f t="shared" si="1327"/>
        <v>STOCK SCAFFALE MP</v>
      </c>
      <c r="H2134" s="1" t="str">
        <f>"DKBL"</f>
        <v>DKBL</v>
      </c>
      <c r="K2134" s="1">
        <v>1</v>
      </c>
      <c r="L2134" s="1" t="str">
        <f t="shared" si="1339"/>
        <v>01</v>
      </c>
      <c r="M2134" s="1" t="str">
        <f t="shared" si="1329"/>
        <v>409</v>
      </c>
      <c r="N2134" s="1" t="str">
        <f t="shared" si="1356"/>
        <v>003</v>
      </c>
      <c r="O2134" s="1" t="str">
        <f t="shared" si="1340"/>
        <v>00</v>
      </c>
      <c r="P2134" s="1" t="str">
        <f t="shared" si="1341"/>
        <v>S</v>
      </c>
      <c r="Q2134" s="1" t="str">
        <f t="shared" si="1342"/>
        <v>P</v>
      </c>
      <c r="R2134" s="1" t="str">
        <f t="shared" si="1343"/>
        <v>01</v>
      </c>
      <c r="S2134" s="1" t="str">
        <f t="shared" si="1328"/>
        <v>04</v>
      </c>
      <c r="T2134" s="1" t="str">
        <f t="shared" si="1344"/>
        <v>False</v>
      </c>
      <c r="U2134" s="1" t="str">
        <f t="shared" si="1345"/>
        <v>True</v>
      </c>
      <c r="V2134" s="1" t="str">
        <f>"U0032553"</f>
        <v>U0032553</v>
      </c>
      <c r="W2134" s="1">
        <v>1</v>
      </c>
      <c r="Y2134" s="1">
        <v>0</v>
      </c>
      <c r="Z2134" s="1">
        <v>0</v>
      </c>
      <c r="AB2134" s="1" t="str">
        <f t="shared" si="1330"/>
        <v>SMU</v>
      </c>
      <c r="AI2134" s="1" t="str">
        <f>"106"</f>
        <v>106</v>
      </c>
      <c r="AJ2134" s="1" t="str">
        <f t="shared" si="1335"/>
        <v>WOMAN</v>
      </c>
      <c r="AK2134" s="1" t="str">
        <f t="shared" si="1346"/>
        <v>PA</v>
      </c>
      <c r="AP2134" s="1" t="str">
        <f t="shared" si="1347"/>
        <v>False</v>
      </c>
      <c r="AR2134" s="1" t="str">
        <f t="shared" si="1357"/>
        <v>RUMBA</v>
      </c>
      <c r="AY2134" s="1" t="str">
        <f t="shared" si="1348"/>
        <v>PF</v>
      </c>
      <c r="AZ2134" s="1">
        <v>0</v>
      </c>
      <c r="BA2134" s="1">
        <v>0</v>
      </c>
      <c r="BB2134" s="1">
        <v>0</v>
      </c>
      <c r="BC2134" s="1">
        <v>0</v>
      </c>
      <c r="BD2134" s="1">
        <v>0</v>
      </c>
      <c r="BE2134" s="1" t="str">
        <f t="shared" si="1358"/>
        <v>SUOLA RUMBA TWILL CANVAS</v>
      </c>
      <c r="BF2134" s="1" t="str">
        <f t="shared" si="1349"/>
        <v>Bonis SpA</v>
      </c>
    </row>
    <row r="2135" spans="2:58" x14ac:dyDescent="0.25">
      <c r="B2135" s="1">
        <v>2527</v>
      </c>
      <c r="C2135" s="1" t="str">
        <f t="shared" si="1355"/>
        <v>RUMBA4187S7/C1</v>
      </c>
      <c r="E2135" s="1" t="str">
        <f>"40"</f>
        <v>40</v>
      </c>
      <c r="F2135" s="1" t="str">
        <f t="shared" si="1338"/>
        <v>BONIS SPA</v>
      </c>
      <c r="G2135" s="1" t="str">
        <f t="shared" si="1327"/>
        <v>STOCK SCAFFALE MP</v>
      </c>
      <c r="H2135" s="1" t="str">
        <f>"DKBL"</f>
        <v>DKBL</v>
      </c>
      <c r="K2135" s="1">
        <v>3</v>
      </c>
      <c r="L2135" s="1" t="str">
        <f t="shared" si="1339"/>
        <v>01</v>
      </c>
      <c r="M2135" s="1" t="str">
        <f t="shared" si="1329"/>
        <v>409</v>
      </c>
      <c r="N2135" s="1" t="str">
        <f t="shared" si="1356"/>
        <v>003</v>
      </c>
      <c r="O2135" s="1" t="str">
        <f t="shared" si="1340"/>
        <v>00</v>
      </c>
      <c r="P2135" s="1" t="str">
        <f t="shared" si="1341"/>
        <v>S</v>
      </c>
      <c r="Q2135" s="1" t="str">
        <f t="shared" si="1342"/>
        <v>P</v>
      </c>
      <c r="R2135" s="1" t="str">
        <f t="shared" si="1343"/>
        <v>01</v>
      </c>
      <c r="S2135" s="1" t="str">
        <f t="shared" si="1328"/>
        <v>04</v>
      </c>
      <c r="T2135" s="1" t="str">
        <f t="shared" si="1344"/>
        <v>False</v>
      </c>
      <c r="U2135" s="1" t="str">
        <f t="shared" si="1345"/>
        <v>True</v>
      </c>
      <c r="V2135" s="1" t="str">
        <f>"U0032556"</f>
        <v>U0032556</v>
      </c>
      <c r="W2135" s="1">
        <v>1</v>
      </c>
      <c r="Y2135" s="1">
        <v>0</v>
      </c>
      <c r="Z2135" s="1">
        <v>0</v>
      </c>
      <c r="AB2135" s="1" t="str">
        <f t="shared" si="1330"/>
        <v>SMU</v>
      </c>
      <c r="AI2135" s="1" t="str">
        <f>"106"</f>
        <v>106</v>
      </c>
      <c r="AJ2135" s="1" t="str">
        <f t="shared" si="1335"/>
        <v>WOMAN</v>
      </c>
      <c r="AK2135" s="1" t="str">
        <f t="shared" si="1346"/>
        <v>PA</v>
      </c>
      <c r="AP2135" s="1" t="str">
        <f t="shared" si="1347"/>
        <v>False</v>
      </c>
      <c r="AR2135" s="1" t="str">
        <f t="shared" si="1357"/>
        <v>RUMBA</v>
      </c>
      <c r="AY2135" s="1" t="str">
        <f t="shared" si="1348"/>
        <v>PF</v>
      </c>
      <c r="AZ2135" s="1">
        <v>0</v>
      </c>
      <c r="BA2135" s="1">
        <v>0</v>
      </c>
      <c r="BB2135" s="1">
        <v>0</v>
      </c>
      <c r="BC2135" s="1">
        <v>0</v>
      </c>
      <c r="BD2135" s="1">
        <v>0</v>
      </c>
      <c r="BE2135" s="1" t="str">
        <f t="shared" si="1358"/>
        <v>SUOLA RUMBA TWILL CANVAS</v>
      </c>
      <c r="BF2135" s="1" t="str">
        <f t="shared" si="1349"/>
        <v>Bonis SpA</v>
      </c>
    </row>
    <row r="2136" spans="2:58" x14ac:dyDescent="0.25">
      <c r="B2136" s="1">
        <v>2527</v>
      </c>
      <c r="C2136" s="1" t="str">
        <f t="shared" si="1355"/>
        <v>RUMBA4187S7/C1</v>
      </c>
      <c r="E2136" s="1" t="str">
        <f>"41"</f>
        <v>41</v>
      </c>
      <c r="F2136" s="1" t="str">
        <f t="shared" si="1338"/>
        <v>BONIS SPA</v>
      </c>
      <c r="G2136" s="1" t="str">
        <f t="shared" si="1327"/>
        <v>STOCK SCAFFALE MP</v>
      </c>
      <c r="H2136" s="1" t="str">
        <f>"WHI"</f>
        <v>WHI</v>
      </c>
      <c r="K2136" s="1">
        <v>1</v>
      </c>
      <c r="L2136" s="1" t="str">
        <f t="shared" si="1339"/>
        <v>01</v>
      </c>
      <c r="M2136" s="1" t="str">
        <f t="shared" si="1329"/>
        <v>409</v>
      </c>
      <c r="N2136" s="1" t="str">
        <f t="shared" si="1356"/>
        <v>003</v>
      </c>
      <c r="O2136" s="1" t="str">
        <f t="shared" si="1340"/>
        <v>00</v>
      </c>
      <c r="P2136" s="1" t="str">
        <f t="shared" si="1341"/>
        <v>S</v>
      </c>
      <c r="Q2136" s="1" t="str">
        <f t="shared" si="1342"/>
        <v>P</v>
      </c>
      <c r="R2136" s="1" t="str">
        <f t="shared" si="1343"/>
        <v>01</v>
      </c>
      <c r="S2136" s="1" t="str">
        <f t="shared" si="1328"/>
        <v>04</v>
      </c>
      <c r="T2136" s="1" t="str">
        <f t="shared" si="1344"/>
        <v>False</v>
      </c>
      <c r="U2136" s="1" t="str">
        <f t="shared" si="1345"/>
        <v>True</v>
      </c>
      <c r="V2136" s="1" t="str">
        <f>"U0032556"</f>
        <v>U0032556</v>
      </c>
      <c r="W2136" s="1">
        <v>1</v>
      </c>
      <c r="Y2136" s="1">
        <v>0</v>
      </c>
      <c r="Z2136" s="1">
        <v>0</v>
      </c>
      <c r="AB2136" s="1" t="str">
        <f t="shared" si="1330"/>
        <v>SMU</v>
      </c>
      <c r="AI2136" s="1" t="str">
        <f t="shared" ref="AI2136:AI2150" si="1359">"P11"</f>
        <v>P11</v>
      </c>
      <c r="AJ2136" s="1" t="str">
        <f t="shared" si="1335"/>
        <v>WOMAN</v>
      </c>
      <c r="AK2136" s="1" t="str">
        <f t="shared" si="1346"/>
        <v>PA</v>
      </c>
      <c r="AP2136" s="1" t="str">
        <f t="shared" si="1347"/>
        <v>False</v>
      </c>
      <c r="AR2136" s="1" t="str">
        <f t="shared" si="1357"/>
        <v>RUMBA</v>
      </c>
      <c r="AY2136" s="1" t="str">
        <f t="shared" si="1348"/>
        <v>PF</v>
      </c>
      <c r="AZ2136" s="1">
        <v>0</v>
      </c>
      <c r="BA2136" s="1">
        <v>0</v>
      </c>
      <c r="BB2136" s="1">
        <v>0</v>
      </c>
      <c r="BC2136" s="1">
        <v>0</v>
      </c>
      <c r="BD2136" s="1">
        <v>0</v>
      </c>
      <c r="BE2136" s="1" t="str">
        <f t="shared" si="1358"/>
        <v>SUOLA RUMBA TWILL CANVAS</v>
      </c>
      <c r="BF2136" s="1" t="str">
        <f t="shared" si="1349"/>
        <v>Bonis SpA</v>
      </c>
    </row>
    <row r="2137" spans="2:58" x14ac:dyDescent="0.25">
      <c r="B2137" s="1">
        <v>2527</v>
      </c>
      <c r="C2137" s="1" t="str">
        <f t="shared" ref="C2137:C2152" si="1360">"GALAD4185S7/CY1"</f>
        <v>GALAD4185S7/CY1</v>
      </c>
      <c r="E2137" s="1" t="str">
        <f>"36"</f>
        <v>36</v>
      </c>
      <c r="F2137" s="1" t="str">
        <f t="shared" si="1338"/>
        <v>BONIS SPA</v>
      </c>
      <c r="G2137" s="1" t="str">
        <f t="shared" si="1327"/>
        <v>STOCK SCAFFALE MP</v>
      </c>
      <c r="H2137" s="1" t="str">
        <f t="shared" ref="H2137:H2152" si="1361">"RED"</f>
        <v>RED</v>
      </c>
      <c r="K2137" s="1">
        <v>1</v>
      </c>
      <c r="L2137" s="1" t="str">
        <f t="shared" si="1339"/>
        <v>01</v>
      </c>
      <c r="M2137" s="1" t="str">
        <f t="shared" si="1329"/>
        <v>409</v>
      </c>
      <c r="N2137" s="1" t="str">
        <f t="shared" si="1356"/>
        <v>003</v>
      </c>
      <c r="O2137" s="1" t="str">
        <f t="shared" si="1340"/>
        <v>00</v>
      </c>
      <c r="P2137" s="1" t="str">
        <f t="shared" si="1341"/>
        <v>S</v>
      </c>
      <c r="Q2137" s="1" t="str">
        <f t="shared" si="1342"/>
        <v>P</v>
      </c>
      <c r="R2137" s="1" t="str">
        <f t="shared" si="1343"/>
        <v>01</v>
      </c>
      <c r="S2137" s="1" t="str">
        <f t="shared" si="1328"/>
        <v>04</v>
      </c>
      <c r="T2137" s="1" t="str">
        <f t="shared" si="1344"/>
        <v>False</v>
      </c>
      <c r="U2137" s="1" t="str">
        <f t="shared" si="1345"/>
        <v>True</v>
      </c>
      <c r="V2137" s="1" t="str">
        <f>"U0032554"</f>
        <v>U0032554</v>
      </c>
      <c r="W2137" s="1">
        <v>1</v>
      </c>
      <c r="Y2137" s="1">
        <v>0</v>
      </c>
      <c r="Z2137" s="1">
        <v>0</v>
      </c>
      <c r="AB2137" s="1" t="str">
        <f t="shared" si="1330"/>
        <v>SMU</v>
      </c>
      <c r="AI2137" s="1" t="str">
        <f t="shared" si="1359"/>
        <v>P11</v>
      </c>
      <c r="AJ2137" s="1" t="str">
        <f t="shared" si="1335"/>
        <v>WOMAN</v>
      </c>
      <c r="AK2137" s="1" t="str">
        <f t="shared" si="1346"/>
        <v>PA</v>
      </c>
      <c r="AP2137" s="1" t="str">
        <f t="shared" si="1347"/>
        <v>False</v>
      </c>
      <c r="AR2137" s="1" t="str">
        <f t="shared" ref="AR2137:AR2152" si="1362">"GALAD"</f>
        <v>GALAD</v>
      </c>
      <c r="AY2137" s="1" t="str">
        <f t="shared" si="1348"/>
        <v>PF</v>
      </c>
      <c r="AZ2137" s="1">
        <v>0</v>
      </c>
      <c r="BA2137" s="1">
        <v>0</v>
      </c>
      <c r="BB2137" s="1">
        <v>0</v>
      </c>
      <c r="BC2137" s="1">
        <v>0</v>
      </c>
      <c r="BD2137" s="1">
        <v>0</v>
      </c>
      <c r="BE2137" s="1" t="str">
        <f t="shared" ref="BE2137:BE2152" si="1363">"D GOMMA D.H.TWILL CANVAS+SINT."</f>
        <v>D GOMMA D.H.TWILL CANVAS+SINT.</v>
      </c>
      <c r="BF2137" s="1" t="str">
        <f t="shared" si="1349"/>
        <v>Bonis SpA</v>
      </c>
    </row>
    <row r="2138" spans="2:58" x14ac:dyDescent="0.25">
      <c r="B2138" s="1">
        <v>2527</v>
      </c>
      <c r="C2138" s="1" t="str">
        <f t="shared" si="1360"/>
        <v>GALAD4185S7/CY1</v>
      </c>
      <c r="E2138" s="1" t="str">
        <f>"37"</f>
        <v>37</v>
      </c>
      <c r="F2138" s="1" t="str">
        <f t="shared" si="1338"/>
        <v>BONIS SPA</v>
      </c>
      <c r="G2138" s="1" t="str">
        <f t="shared" si="1327"/>
        <v>STOCK SCAFFALE MP</v>
      </c>
      <c r="H2138" s="1" t="str">
        <f t="shared" si="1361"/>
        <v>RED</v>
      </c>
      <c r="K2138" s="1">
        <v>2</v>
      </c>
      <c r="L2138" s="1" t="str">
        <f t="shared" si="1339"/>
        <v>01</v>
      </c>
      <c r="M2138" s="1" t="str">
        <f t="shared" si="1329"/>
        <v>409</v>
      </c>
      <c r="N2138" s="1" t="str">
        <f t="shared" si="1356"/>
        <v>003</v>
      </c>
      <c r="O2138" s="1" t="str">
        <f t="shared" si="1340"/>
        <v>00</v>
      </c>
      <c r="P2138" s="1" t="str">
        <f t="shared" si="1341"/>
        <v>S</v>
      </c>
      <c r="Q2138" s="1" t="str">
        <f t="shared" si="1342"/>
        <v>P</v>
      </c>
      <c r="R2138" s="1" t="str">
        <f t="shared" si="1343"/>
        <v>01</v>
      </c>
      <c r="S2138" s="1" t="str">
        <f t="shared" si="1328"/>
        <v>04</v>
      </c>
      <c r="T2138" s="1" t="str">
        <f t="shared" si="1344"/>
        <v>False</v>
      </c>
      <c r="U2138" s="1" t="str">
        <f t="shared" si="1345"/>
        <v>True</v>
      </c>
      <c r="V2138" s="1" t="str">
        <f>"U0032554"</f>
        <v>U0032554</v>
      </c>
      <c r="W2138" s="1">
        <v>1</v>
      </c>
      <c r="Y2138" s="1">
        <v>0</v>
      </c>
      <c r="Z2138" s="1">
        <v>0</v>
      </c>
      <c r="AB2138" s="1" t="str">
        <f t="shared" si="1330"/>
        <v>SMU</v>
      </c>
      <c r="AI2138" s="1" t="str">
        <f t="shared" si="1359"/>
        <v>P11</v>
      </c>
      <c r="AJ2138" s="1" t="str">
        <f t="shared" si="1335"/>
        <v>WOMAN</v>
      </c>
      <c r="AK2138" s="1" t="str">
        <f t="shared" si="1346"/>
        <v>PA</v>
      </c>
      <c r="AP2138" s="1" t="str">
        <f t="shared" si="1347"/>
        <v>False</v>
      </c>
      <c r="AR2138" s="1" t="str">
        <f t="shared" si="1362"/>
        <v>GALAD</v>
      </c>
      <c r="AY2138" s="1" t="str">
        <f t="shared" si="1348"/>
        <v>PF</v>
      </c>
      <c r="AZ2138" s="1">
        <v>0</v>
      </c>
      <c r="BA2138" s="1">
        <v>0</v>
      </c>
      <c r="BB2138" s="1">
        <v>0</v>
      </c>
      <c r="BC2138" s="1">
        <v>0</v>
      </c>
      <c r="BD2138" s="1">
        <v>0</v>
      </c>
      <c r="BE2138" s="1" t="str">
        <f t="shared" si="1363"/>
        <v>D GOMMA D.H.TWILL CANVAS+SINT.</v>
      </c>
      <c r="BF2138" s="1" t="str">
        <f t="shared" si="1349"/>
        <v>Bonis SpA</v>
      </c>
    </row>
    <row r="2139" spans="2:58" x14ac:dyDescent="0.25">
      <c r="B2139" s="1">
        <v>2527</v>
      </c>
      <c r="C2139" s="1" t="str">
        <f t="shared" si="1360"/>
        <v>GALAD4185S7/CY1</v>
      </c>
      <c r="E2139" s="1" t="str">
        <f>"38"</f>
        <v>38</v>
      </c>
      <c r="F2139" s="1" t="str">
        <f t="shared" si="1338"/>
        <v>BONIS SPA</v>
      </c>
      <c r="G2139" s="1" t="str">
        <f t="shared" si="1327"/>
        <v>STOCK SCAFFALE MP</v>
      </c>
      <c r="H2139" s="1" t="str">
        <f t="shared" si="1361"/>
        <v>RED</v>
      </c>
      <c r="K2139" s="1">
        <v>2</v>
      </c>
      <c r="L2139" s="1" t="str">
        <f t="shared" si="1339"/>
        <v>01</v>
      </c>
      <c r="M2139" s="1" t="str">
        <f t="shared" si="1329"/>
        <v>409</v>
      </c>
      <c r="N2139" s="1" t="str">
        <f t="shared" si="1356"/>
        <v>003</v>
      </c>
      <c r="O2139" s="1" t="str">
        <f t="shared" si="1340"/>
        <v>00</v>
      </c>
      <c r="P2139" s="1" t="str">
        <f t="shared" si="1341"/>
        <v>S</v>
      </c>
      <c r="Q2139" s="1" t="str">
        <f t="shared" si="1342"/>
        <v>P</v>
      </c>
      <c r="R2139" s="1" t="str">
        <f t="shared" si="1343"/>
        <v>01</v>
      </c>
      <c r="S2139" s="1" t="str">
        <f t="shared" si="1328"/>
        <v>04</v>
      </c>
      <c r="T2139" s="1" t="str">
        <f t="shared" si="1344"/>
        <v>False</v>
      </c>
      <c r="U2139" s="1" t="str">
        <f t="shared" si="1345"/>
        <v>True</v>
      </c>
      <c r="V2139" s="1" t="str">
        <f>"U0032554"</f>
        <v>U0032554</v>
      </c>
      <c r="W2139" s="1">
        <v>1</v>
      </c>
      <c r="Y2139" s="1">
        <v>0</v>
      </c>
      <c r="Z2139" s="1">
        <v>0</v>
      </c>
      <c r="AB2139" s="1" t="str">
        <f t="shared" si="1330"/>
        <v>SMU</v>
      </c>
      <c r="AI2139" s="1" t="str">
        <f t="shared" si="1359"/>
        <v>P11</v>
      </c>
      <c r="AJ2139" s="1" t="str">
        <f t="shared" si="1335"/>
        <v>WOMAN</v>
      </c>
      <c r="AK2139" s="1" t="str">
        <f t="shared" si="1346"/>
        <v>PA</v>
      </c>
      <c r="AP2139" s="1" t="str">
        <f t="shared" si="1347"/>
        <v>False</v>
      </c>
      <c r="AR2139" s="1" t="str">
        <f t="shared" si="1362"/>
        <v>GALAD</v>
      </c>
      <c r="AY2139" s="1" t="str">
        <f t="shared" si="1348"/>
        <v>PF</v>
      </c>
      <c r="AZ2139" s="1">
        <v>0</v>
      </c>
      <c r="BA2139" s="1">
        <v>0</v>
      </c>
      <c r="BB2139" s="1">
        <v>0</v>
      </c>
      <c r="BC2139" s="1">
        <v>0</v>
      </c>
      <c r="BD2139" s="1">
        <v>0</v>
      </c>
      <c r="BE2139" s="1" t="str">
        <f t="shared" si="1363"/>
        <v>D GOMMA D.H.TWILL CANVAS+SINT.</v>
      </c>
      <c r="BF2139" s="1" t="str">
        <f t="shared" si="1349"/>
        <v>Bonis SpA</v>
      </c>
    </row>
    <row r="2140" spans="2:58" x14ac:dyDescent="0.25">
      <c r="B2140" s="1">
        <v>2527</v>
      </c>
      <c r="C2140" s="1" t="str">
        <f t="shared" si="1360"/>
        <v>GALAD4185S7/CY1</v>
      </c>
      <c r="E2140" s="1" t="str">
        <f>"39"</f>
        <v>39</v>
      </c>
      <c r="F2140" s="1" t="str">
        <f t="shared" si="1338"/>
        <v>BONIS SPA</v>
      </c>
      <c r="G2140" s="1" t="str">
        <f t="shared" si="1327"/>
        <v>STOCK SCAFFALE MP</v>
      </c>
      <c r="H2140" s="1" t="str">
        <f t="shared" si="1361"/>
        <v>RED</v>
      </c>
      <c r="K2140" s="1">
        <v>3</v>
      </c>
      <c r="L2140" s="1" t="str">
        <f t="shared" si="1339"/>
        <v>01</v>
      </c>
      <c r="M2140" s="1" t="str">
        <f t="shared" si="1329"/>
        <v>409</v>
      </c>
      <c r="N2140" s="1" t="str">
        <f t="shared" si="1356"/>
        <v>003</v>
      </c>
      <c r="O2140" s="1" t="str">
        <f t="shared" si="1340"/>
        <v>00</v>
      </c>
      <c r="P2140" s="1" t="str">
        <f t="shared" si="1341"/>
        <v>S</v>
      </c>
      <c r="Q2140" s="1" t="str">
        <f t="shared" si="1342"/>
        <v>P</v>
      </c>
      <c r="R2140" s="1" t="str">
        <f t="shared" si="1343"/>
        <v>01</v>
      </c>
      <c r="S2140" s="1" t="str">
        <f t="shared" si="1328"/>
        <v>04</v>
      </c>
      <c r="T2140" s="1" t="str">
        <f t="shared" si="1344"/>
        <v>False</v>
      </c>
      <c r="U2140" s="1" t="str">
        <f t="shared" si="1345"/>
        <v>True</v>
      </c>
      <c r="V2140" s="1" t="str">
        <f>"U0032554"</f>
        <v>U0032554</v>
      </c>
      <c r="W2140" s="1">
        <v>1</v>
      </c>
      <c r="Y2140" s="1">
        <v>0</v>
      </c>
      <c r="Z2140" s="1">
        <v>0</v>
      </c>
      <c r="AB2140" s="1" t="str">
        <f t="shared" si="1330"/>
        <v>SMU</v>
      </c>
      <c r="AI2140" s="1" t="str">
        <f t="shared" si="1359"/>
        <v>P11</v>
      </c>
      <c r="AJ2140" s="1" t="str">
        <f t="shared" si="1335"/>
        <v>WOMAN</v>
      </c>
      <c r="AK2140" s="1" t="str">
        <f t="shared" si="1346"/>
        <v>PA</v>
      </c>
      <c r="AP2140" s="1" t="str">
        <f t="shared" si="1347"/>
        <v>False</v>
      </c>
      <c r="AR2140" s="1" t="str">
        <f t="shared" si="1362"/>
        <v>GALAD</v>
      </c>
      <c r="AY2140" s="1" t="str">
        <f t="shared" si="1348"/>
        <v>PF</v>
      </c>
      <c r="AZ2140" s="1">
        <v>0</v>
      </c>
      <c r="BA2140" s="1">
        <v>0</v>
      </c>
      <c r="BB2140" s="1">
        <v>0</v>
      </c>
      <c r="BC2140" s="1">
        <v>0</v>
      </c>
      <c r="BD2140" s="1">
        <v>0</v>
      </c>
      <c r="BE2140" s="1" t="str">
        <f t="shared" si="1363"/>
        <v>D GOMMA D.H.TWILL CANVAS+SINT.</v>
      </c>
      <c r="BF2140" s="1" t="str">
        <f t="shared" si="1349"/>
        <v>Bonis SpA</v>
      </c>
    </row>
    <row r="2141" spans="2:58" x14ac:dyDescent="0.25">
      <c r="B2141" s="1">
        <v>2527</v>
      </c>
      <c r="C2141" s="1" t="str">
        <f t="shared" si="1360"/>
        <v>GALAD4185S7/CY1</v>
      </c>
      <c r="E2141" s="1" t="str">
        <f>"40"</f>
        <v>40</v>
      </c>
      <c r="F2141" s="1" t="str">
        <f t="shared" si="1338"/>
        <v>BONIS SPA</v>
      </c>
      <c r="G2141" s="1" t="str">
        <f t="shared" si="1327"/>
        <v>STOCK SCAFFALE MP</v>
      </c>
      <c r="H2141" s="1" t="str">
        <f t="shared" si="1361"/>
        <v>RED</v>
      </c>
      <c r="K2141" s="1">
        <v>2</v>
      </c>
      <c r="L2141" s="1" t="str">
        <f t="shared" si="1339"/>
        <v>01</v>
      </c>
      <c r="M2141" s="1" t="str">
        <f t="shared" si="1329"/>
        <v>409</v>
      </c>
      <c r="N2141" s="1" t="str">
        <f t="shared" si="1356"/>
        <v>003</v>
      </c>
      <c r="O2141" s="1" t="str">
        <f t="shared" si="1340"/>
        <v>00</v>
      </c>
      <c r="P2141" s="1" t="str">
        <f t="shared" si="1341"/>
        <v>S</v>
      </c>
      <c r="Q2141" s="1" t="str">
        <f t="shared" si="1342"/>
        <v>P</v>
      </c>
      <c r="R2141" s="1" t="str">
        <f t="shared" si="1343"/>
        <v>01</v>
      </c>
      <c r="S2141" s="1" t="str">
        <f t="shared" si="1328"/>
        <v>04</v>
      </c>
      <c r="T2141" s="1" t="str">
        <f t="shared" si="1344"/>
        <v>False</v>
      </c>
      <c r="U2141" s="1" t="str">
        <f t="shared" si="1345"/>
        <v>True</v>
      </c>
      <c r="V2141" s="1" t="str">
        <f>"U0032554"</f>
        <v>U0032554</v>
      </c>
      <c r="W2141" s="1">
        <v>1</v>
      </c>
      <c r="Y2141" s="1">
        <v>0</v>
      </c>
      <c r="Z2141" s="1">
        <v>0</v>
      </c>
      <c r="AB2141" s="1" t="str">
        <f t="shared" si="1330"/>
        <v>SMU</v>
      </c>
      <c r="AI2141" s="1" t="str">
        <f t="shared" si="1359"/>
        <v>P11</v>
      </c>
      <c r="AJ2141" s="1" t="str">
        <f t="shared" si="1335"/>
        <v>WOMAN</v>
      </c>
      <c r="AK2141" s="1" t="str">
        <f t="shared" si="1346"/>
        <v>PA</v>
      </c>
      <c r="AP2141" s="1" t="str">
        <f t="shared" si="1347"/>
        <v>False</v>
      </c>
      <c r="AR2141" s="1" t="str">
        <f t="shared" si="1362"/>
        <v>GALAD</v>
      </c>
      <c r="AY2141" s="1" t="str">
        <f t="shared" si="1348"/>
        <v>PF</v>
      </c>
      <c r="AZ2141" s="1">
        <v>0</v>
      </c>
      <c r="BA2141" s="1">
        <v>0</v>
      </c>
      <c r="BB2141" s="1">
        <v>0</v>
      </c>
      <c r="BC2141" s="1">
        <v>0</v>
      </c>
      <c r="BD2141" s="1">
        <v>0</v>
      </c>
      <c r="BE2141" s="1" t="str">
        <f t="shared" si="1363"/>
        <v>D GOMMA D.H.TWILL CANVAS+SINT.</v>
      </c>
      <c r="BF2141" s="1" t="str">
        <f t="shared" si="1349"/>
        <v>Bonis SpA</v>
      </c>
    </row>
    <row r="2142" spans="2:58" x14ac:dyDescent="0.25">
      <c r="B2142" s="1">
        <v>2527</v>
      </c>
      <c r="C2142" s="1" t="str">
        <f t="shared" si="1360"/>
        <v>GALAD4185S7/CY1</v>
      </c>
      <c r="E2142" s="1" t="str">
        <f>"36"</f>
        <v>36</v>
      </c>
      <c r="F2142" s="1" t="str">
        <f t="shared" si="1338"/>
        <v>BONIS SPA</v>
      </c>
      <c r="G2142" s="1" t="str">
        <f t="shared" si="1327"/>
        <v>STOCK SCAFFALE MP</v>
      </c>
      <c r="H2142" s="1" t="str">
        <f t="shared" si="1361"/>
        <v>RED</v>
      </c>
      <c r="K2142" s="1">
        <v>1</v>
      </c>
      <c r="L2142" s="1" t="str">
        <f t="shared" si="1339"/>
        <v>01</v>
      </c>
      <c r="M2142" s="1" t="str">
        <f t="shared" si="1329"/>
        <v>409</v>
      </c>
      <c r="N2142" s="1" t="str">
        <f t="shared" si="1356"/>
        <v>003</v>
      </c>
      <c r="O2142" s="1" t="str">
        <f t="shared" si="1340"/>
        <v>00</v>
      </c>
      <c r="P2142" s="1" t="str">
        <f t="shared" si="1341"/>
        <v>S</v>
      </c>
      <c r="Q2142" s="1" t="str">
        <f t="shared" si="1342"/>
        <v>P</v>
      </c>
      <c r="R2142" s="1" t="str">
        <f t="shared" si="1343"/>
        <v>01</v>
      </c>
      <c r="S2142" s="1" t="str">
        <f t="shared" si="1328"/>
        <v>04</v>
      </c>
      <c r="T2142" s="1" t="str">
        <f t="shared" si="1344"/>
        <v>False</v>
      </c>
      <c r="U2142" s="1" t="str">
        <f t="shared" si="1345"/>
        <v>True</v>
      </c>
      <c r="V2142" s="1" t="str">
        <f>"U0032553"</f>
        <v>U0032553</v>
      </c>
      <c r="W2142" s="1">
        <v>1</v>
      </c>
      <c r="Y2142" s="1">
        <v>0</v>
      </c>
      <c r="Z2142" s="1">
        <v>0</v>
      </c>
      <c r="AB2142" s="1" t="str">
        <f t="shared" si="1330"/>
        <v>SMU</v>
      </c>
      <c r="AI2142" s="1" t="str">
        <f t="shared" si="1359"/>
        <v>P11</v>
      </c>
      <c r="AJ2142" s="1" t="str">
        <f t="shared" si="1335"/>
        <v>WOMAN</v>
      </c>
      <c r="AK2142" s="1" t="str">
        <f t="shared" si="1346"/>
        <v>PA</v>
      </c>
      <c r="AP2142" s="1" t="str">
        <f t="shared" si="1347"/>
        <v>False</v>
      </c>
      <c r="AR2142" s="1" t="str">
        <f t="shared" si="1362"/>
        <v>GALAD</v>
      </c>
      <c r="AY2142" s="1" t="str">
        <f t="shared" si="1348"/>
        <v>PF</v>
      </c>
      <c r="AZ2142" s="1">
        <v>0</v>
      </c>
      <c r="BA2142" s="1">
        <v>0</v>
      </c>
      <c r="BB2142" s="1">
        <v>0</v>
      </c>
      <c r="BC2142" s="1">
        <v>0</v>
      </c>
      <c r="BD2142" s="1">
        <v>0</v>
      </c>
      <c r="BE2142" s="1" t="str">
        <f t="shared" si="1363"/>
        <v>D GOMMA D.H.TWILL CANVAS+SINT.</v>
      </c>
      <c r="BF2142" s="1" t="str">
        <f t="shared" si="1349"/>
        <v>Bonis SpA</v>
      </c>
    </row>
    <row r="2143" spans="2:58" x14ac:dyDescent="0.25">
      <c r="B2143" s="1">
        <v>2527</v>
      </c>
      <c r="C2143" s="1" t="str">
        <f t="shared" si="1360"/>
        <v>GALAD4185S7/CY1</v>
      </c>
      <c r="E2143" s="1" t="str">
        <f>"37"</f>
        <v>37</v>
      </c>
      <c r="F2143" s="1" t="str">
        <f t="shared" si="1338"/>
        <v>BONIS SPA</v>
      </c>
      <c r="G2143" s="1" t="str">
        <f t="shared" si="1327"/>
        <v>STOCK SCAFFALE MP</v>
      </c>
      <c r="H2143" s="1" t="str">
        <f t="shared" si="1361"/>
        <v>RED</v>
      </c>
      <c r="K2143" s="1">
        <v>2</v>
      </c>
      <c r="L2143" s="1" t="str">
        <f t="shared" si="1339"/>
        <v>01</v>
      </c>
      <c r="M2143" s="1" t="str">
        <f t="shared" si="1329"/>
        <v>409</v>
      </c>
      <c r="N2143" s="1" t="str">
        <f t="shared" si="1356"/>
        <v>003</v>
      </c>
      <c r="O2143" s="1" t="str">
        <f t="shared" si="1340"/>
        <v>00</v>
      </c>
      <c r="P2143" s="1" t="str">
        <f t="shared" si="1341"/>
        <v>S</v>
      </c>
      <c r="Q2143" s="1" t="str">
        <f t="shared" si="1342"/>
        <v>P</v>
      </c>
      <c r="R2143" s="1" t="str">
        <f t="shared" si="1343"/>
        <v>01</v>
      </c>
      <c r="S2143" s="1" t="str">
        <f t="shared" si="1328"/>
        <v>04</v>
      </c>
      <c r="T2143" s="1" t="str">
        <f t="shared" si="1344"/>
        <v>False</v>
      </c>
      <c r="U2143" s="1" t="str">
        <f t="shared" si="1345"/>
        <v>True</v>
      </c>
      <c r="V2143" s="1" t="str">
        <f>"U0032553"</f>
        <v>U0032553</v>
      </c>
      <c r="W2143" s="1">
        <v>1</v>
      </c>
      <c r="Y2143" s="1">
        <v>0</v>
      </c>
      <c r="Z2143" s="1">
        <v>0</v>
      </c>
      <c r="AB2143" s="1" t="str">
        <f t="shared" si="1330"/>
        <v>SMU</v>
      </c>
      <c r="AI2143" s="1" t="str">
        <f t="shared" si="1359"/>
        <v>P11</v>
      </c>
      <c r="AJ2143" s="1" t="str">
        <f t="shared" si="1335"/>
        <v>WOMAN</v>
      </c>
      <c r="AK2143" s="1" t="str">
        <f t="shared" si="1346"/>
        <v>PA</v>
      </c>
      <c r="AP2143" s="1" t="str">
        <f t="shared" si="1347"/>
        <v>False</v>
      </c>
      <c r="AR2143" s="1" t="str">
        <f t="shared" si="1362"/>
        <v>GALAD</v>
      </c>
      <c r="AY2143" s="1" t="str">
        <f t="shared" si="1348"/>
        <v>PF</v>
      </c>
      <c r="AZ2143" s="1">
        <v>0</v>
      </c>
      <c r="BA2143" s="1">
        <v>0</v>
      </c>
      <c r="BB2143" s="1">
        <v>0</v>
      </c>
      <c r="BC2143" s="1">
        <v>0</v>
      </c>
      <c r="BD2143" s="1">
        <v>0</v>
      </c>
      <c r="BE2143" s="1" t="str">
        <f t="shared" si="1363"/>
        <v>D GOMMA D.H.TWILL CANVAS+SINT.</v>
      </c>
      <c r="BF2143" s="1" t="str">
        <f t="shared" si="1349"/>
        <v>Bonis SpA</v>
      </c>
    </row>
    <row r="2144" spans="2:58" x14ac:dyDescent="0.25">
      <c r="B2144" s="1">
        <v>2527</v>
      </c>
      <c r="C2144" s="1" t="str">
        <f t="shared" si="1360"/>
        <v>GALAD4185S7/CY1</v>
      </c>
      <c r="E2144" s="1" t="str">
        <f>"38"</f>
        <v>38</v>
      </c>
      <c r="F2144" s="1" t="str">
        <f t="shared" si="1338"/>
        <v>BONIS SPA</v>
      </c>
      <c r="G2144" s="1" t="str">
        <f t="shared" si="1327"/>
        <v>STOCK SCAFFALE MP</v>
      </c>
      <c r="H2144" s="1" t="str">
        <f t="shared" si="1361"/>
        <v>RED</v>
      </c>
      <c r="K2144" s="1">
        <v>3</v>
      </c>
      <c r="L2144" s="1" t="str">
        <f t="shared" si="1339"/>
        <v>01</v>
      </c>
      <c r="M2144" s="1" t="str">
        <f t="shared" si="1329"/>
        <v>409</v>
      </c>
      <c r="N2144" s="1" t="str">
        <f t="shared" si="1356"/>
        <v>003</v>
      </c>
      <c r="O2144" s="1" t="str">
        <f t="shared" si="1340"/>
        <v>00</v>
      </c>
      <c r="P2144" s="1" t="str">
        <f t="shared" si="1341"/>
        <v>S</v>
      </c>
      <c r="Q2144" s="1" t="str">
        <f t="shared" si="1342"/>
        <v>P</v>
      </c>
      <c r="R2144" s="1" t="str">
        <f t="shared" si="1343"/>
        <v>01</v>
      </c>
      <c r="S2144" s="1" t="str">
        <f t="shared" si="1328"/>
        <v>04</v>
      </c>
      <c r="T2144" s="1" t="str">
        <f t="shared" si="1344"/>
        <v>False</v>
      </c>
      <c r="U2144" s="1" t="str">
        <f t="shared" si="1345"/>
        <v>True</v>
      </c>
      <c r="V2144" s="1" t="str">
        <f>"U0032553"</f>
        <v>U0032553</v>
      </c>
      <c r="W2144" s="1">
        <v>1</v>
      </c>
      <c r="Y2144" s="1">
        <v>0</v>
      </c>
      <c r="Z2144" s="1">
        <v>0</v>
      </c>
      <c r="AB2144" s="1" t="str">
        <f t="shared" si="1330"/>
        <v>SMU</v>
      </c>
      <c r="AI2144" s="1" t="str">
        <f t="shared" si="1359"/>
        <v>P11</v>
      </c>
      <c r="AJ2144" s="1" t="str">
        <f t="shared" si="1335"/>
        <v>WOMAN</v>
      </c>
      <c r="AK2144" s="1" t="str">
        <f t="shared" si="1346"/>
        <v>PA</v>
      </c>
      <c r="AP2144" s="1" t="str">
        <f t="shared" si="1347"/>
        <v>False</v>
      </c>
      <c r="AR2144" s="1" t="str">
        <f t="shared" si="1362"/>
        <v>GALAD</v>
      </c>
      <c r="AY2144" s="1" t="str">
        <f t="shared" si="1348"/>
        <v>PF</v>
      </c>
      <c r="AZ2144" s="1">
        <v>0</v>
      </c>
      <c r="BA2144" s="1">
        <v>0</v>
      </c>
      <c r="BB2144" s="1">
        <v>0</v>
      </c>
      <c r="BC2144" s="1">
        <v>0</v>
      </c>
      <c r="BD2144" s="1">
        <v>0</v>
      </c>
      <c r="BE2144" s="1" t="str">
        <f t="shared" si="1363"/>
        <v>D GOMMA D.H.TWILL CANVAS+SINT.</v>
      </c>
      <c r="BF2144" s="1" t="str">
        <f t="shared" si="1349"/>
        <v>Bonis SpA</v>
      </c>
    </row>
    <row r="2145" spans="2:58" x14ac:dyDescent="0.25">
      <c r="B2145" s="1">
        <v>2527</v>
      </c>
      <c r="C2145" s="1" t="str">
        <f t="shared" si="1360"/>
        <v>GALAD4185S7/CY1</v>
      </c>
      <c r="E2145" s="1" t="str">
        <f>"39"</f>
        <v>39</v>
      </c>
      <c r="F2145" s="1" t="str">
        <f t="shared" si="1338"/>
        <v>BONIS SPA</v>
      </c>
      <c r="G2145" s="1" t="str">
        <f t="shared" si="1327"/>
        <v>STOCK SCAFFALE MP</v>
      </c>
      <c r="H2145" s="1" t="str">
        <f t="shared" si="1361"/>
        <v>RED</v>
      </c>
      <c r="K2145" s="1">
        <v>3</v>
      </c>
      <c r="L2145" s="1" t="str">
        <f t="shared" si="1339"/>
        <v>01</v>
      </c>
      <c r="M2145" s="1" t="str">
        <f t="shared" si="1329"/>
        <v>409</v>
      </c>
      <c r="N2145" s="1" t="str">
        <f t="shared" si="1356"/>
        <v>003</v>
      </c>
      <c r="O2145" s="1" t="str">
        <f t="shared" si="1340"/>
        <v>00</v>
      </c>
      <c r="P2145" s="1" t="str">
        <f t="shared" si="1341"/>
        <v>S</v>
      </c>
      <c r="Q2145" s="1" t="str">
        <f t="shared" si="1342"/>
        <v>P</v>
      </c>
      <c r="R2145" s="1" t="str">
        <f t="shared" si="1343"/>
        <v>01</v>
      </c>
      <c r="S2145" s="1" t="str">
        <f t="shared" si="1328"/>
        <v>04</v>
      </c>
      <c r="T2145" s="1" t="str">
        <f t="shared" si="1344"/>
        <v>False</v>
      </c>
      <c r="U2145" s="1" t="str">
        <f t="shared" si="1345"/>
        <v>True</v>
      </c>
      <c r="V2145" s="1" t="str">
        <f>"U0032553"</f>
        <v>U0032553</v>
      </c>
      <c r="W2145" s="1">
        <v>1</v>
      </c>
      <c r="Y2145" s="1">
        <v>0</v>
      </c>
      <c r="Z2145" s="1">
        <v>0</v>
      </c>
      <c r="AB2145" s="1" t="str">
        <f t="shared" si="1330"/>
        <v>SMU</v>
      </c>
      <c r="AI2145" s="1" t="str">
        <f t="shared" si="1359"/>
        <v>P11</v>
      </c>
      <c r="AJ2145" s="1" t="str">
        <f t="shared" si="1335"/>
        <v>WOMAN</v>
      </c>
      <c r="AK2145" s="1" t="str">
        <f t="shared" si="1346"/>
        <v>PA</v>
      </c>
      <c r="AP2145" s="1" t="str">
        <f t="shared" si="1347"/>
        <v>False</v>
      </c>
      <c r="AR2145" s="1" t="str">
        <f t="shared" si="1362"/>
        <v>GALAD</v>
      </c>
      <c r="AY2145" s="1" t="str">
        <f t="shared" si="1348"/>
        <v>PF</v>
      </c>
      <c r="AZ2145" s="1">
        <v>0</v>
      </c>
      <c r="BA2145" s="1">
        <v>0</v>
      </c>
      <c r="BB2145" s="1">
        <v>0</v>
      </c>
      <c r="BC2145" s="1">
        <v>0</v>
      </c>
      <c r="BD2145" s="1">
        <v>0</v>
      </c>
      <c r="BE2145" s="1" t="str">
        <f t="shared" si="1363"/>
        <v>D GOMMA D.H.TWILL CANVAS+SINT.</v>
      </c>
      <c r="BF2145" s="1" t="str">
        <f t="shared" si="1349"/>
        <v>Bonis SpA</v>
      </c>
    </row>
    <row r="2146" spans="2:58" x14ac:dyDescent="0.25">
      <c r="B2146" s="1">
        <v>2527</v>
      </c>
      <c r="C2146" s="1" t="str">
        <f t="shared" si="1360"/>
        <v>GALAD4185S7/CY1</v>
      </c>
      <c r="E2146" s="1" t="str">
        <f>"40"</f>
        <v>40</v>
      </c>
      <c r="F2146" s="1" t="str">
        <f t="shared" si="1338"/>
        <v>BONIS SPA</v>
      </c>
      <c r="G2146" s="1" t="str">
        <f t="shared" si="1327"/>
        <v>STOCK SCAFFALE MP</v>
      </c>
      <c r="H2146" s="1" t="str">
        <f t="shared" si="1361"/>
        <v>RED</v>
      </c>
      <c r="K2146" s="1">
        <v>2</v>
      </c>
      <c r="L2146" s="1" t="str">
        <f t="shared" si="1339"/>
        <v>01</v>
      </c>
      <c r="M2146" s="1" t="str">
        <f t="shared" si="1329"/>
        <v>409</v>
      </c>
      <c r="N2146" s="1" t="str">
        <f t="shared" si="1356"/>
        <v>003</v>
      </c>
      <c r="O2146" s="1" t="str">
        <f t="shared" si="1340"/>
        <v>00</v>
      </c>
      <c r="P2146" s="1" t="str">
        <f t="shared" si="1341"/>
        <v>S</v>
      </c>
      <c r="Q2146" s="1" t="str">
        <f t="shared" si="1342"/>
        <v>P</v>
      </c>
      <c r="R2146" s="1" t="str">
        <f t="shared" si="1343"/>
        <v>01</v>
      </c>
      <c r="S2146" s="1" t="str">
        <f t="shared" si="1328"/>
        <v>04</v>
      </c>
      <c r="T2146" s="1" t="str">
        <f t="shared" si="1344"/>
        <v>False</v>
      </c>
      <c r="U2146" s="1" t="str">
        <f t="shared" si="1345"/>
        <v>True</v>
      </c>
      <c r="V2146" s="1" t="str">
        <f>"U0032553"</f>
        <v>U0032553</v>
      </c>
      <c r="W2146" s="1">
        <v>1</v>
      </c>
      <c r="Y2146" s="1">
        <v>0</v>
      </c>
      <c r="Z2146" s="1">
        <v>0</v>
      </c>
      <c r="AB2146" s="1" t="str">
        <f t="shared" si="1330"/>
        <v>SMU</v>
      </c>
      <c r="AI2146" s="1" t="str">
        <f t="shared" si="1359"/>
        <v>P11</v>
      </c>
      <c r="AJ2146" s="1" t="str">
        <f t="shared" si="1335"/>
        <v>WOMAN</v>
      </c>
      <c r="AK2146" s="1" t="str">
        <f t="shared" si="1346"/>
        <v>PA</v>
      </c>
      <c r="AP2146" s="1" t="str">
        <f t="shared" si="1347"/>
        <v>False</v>
      </c>
      <c r="AR2146" s="1" t="str">
        <f t="shared" si="1362"/>
        <v>GALAD</v>
      </c>
      <c r="AY2146" s="1" t="str">
        <f t="shared" si="1348"/>
        <v>PF</v>
      </c>
      <c r="AZ2146" s="1">
        <v>0</v>
      </c>
      <c r="BA2146" s="1">
        <v>0</v>
      </c>
      <c r="BB2146" s="1">
        <v>0</v>
      </c>
      <c r="BC2146" s="1">
        <v>0</v>
      </c>
      <c r="BD2146" s="1">
        <v>0</v>
      </c>
      <c r="BE2146" s="1" t="str">
        <f t="shared" si="1363"/>
        <v>D GOMMA D.H.TWILL CANVAS+SINT.</v>
      </c>
      <c r="BF2146" s="1" t="str">
        <f t="shared" si="1349"/>
        <v>Bonis SpA</v>
      </c>
    </row>
    <row r="2147" spans="2:58" x14ac:dyDescent="0.25">
      <c r="B2147" s="1">
        <v>2527</v>
      </c>
      <c r="C2147" s="1" t="str">
        <f t="shared" si="1360"/>
        <v>GALAD4185S7/CY1</v>
      </c>
      <c r="E2147" s="1" t="str">
        <f>"36"</f>
        <v>36</v>
      </c>
      <c r="F2147" s="1" t="str">
        <f t="shared" si="1338"/>
        <v>BONIS SPA</v>
      </c>
      <c r="G2147" s="1" t="str">
        <f t="shared" si="1327"/>
        <v>STOCK SCAFFALE MP</v>
      </c>
      <c r="H2147" s="1" t="str">
        <f t="shared" si="1361"/>
        <v>RED</v>
      </c>
      <c r="K2147" s="1">
        <v>1</v>
      </c>
      <c r="L2147" s="1" t="str">
        <f t="shared" si="1339"/>
        <v>01</v>
      </c>
      <c r="M2147" s="1" t="str">
        <f t="shared" si="1329"/>
        <v>409</v>
      </c>
      <c r="N2147" s="1" t="str">
        <f t="shared" si="1356"/>
        <v>003</v>
      </c>
      <c r="O2147" s="1" t="str">
        <f t="shared" si="1340"/>
        <v>00</v>
      </c>
      <c r="P2147" s="1" t="str">
        <f t="shared" si="1341"/>
        <v>S</v>
      </c>
      <c r="Q2147" s="1" t="str">
        <f t="shared" si="1342"/>
        <v>P</v>
      </c>
      <c r="R2147" s="1" t="str">
        <f t="shared" si="1343"/>
        <v>01</v>
      </c>
      <c r="S2147" s="1" t="str">
        <f t="shared" si="1328"/>
        <v>04</v>
      </c>
      <c r="T2147" s="1" t="str">
        <f t="shared" si="1344"/>
        <v>False</v>
      </c>
      <c r="U2147" s="1" t="str">
        <f t="shared" si="1345"/>
        <v>True</v>
      </c>
      <c r="V2147" s="1" t="str">
        <f>"U0032555"</f>
        <v>U0032555</v>
      </c>
      <c r="W2147" s="1">
        <v>1</v>
      </c>
      <c r="Y2147" s="1">
        <v>0</v>
      </c>
      <c r="Z2147" s="1">
        <v>0</v>
      </c>
      <c r="AB2147" s="1" t="str">
        <f t="shared" si="1330"/>
        <v>SMU</v>
      </c>
      <c r="AI2147" s="1" t="str">
        <f t="shared" si="1359"/>
        <v>P11</v>
      </c>
      <c r="AJ2147" s="1" t="str">
        <f t="shared" si="1335"/>
        <v>WOMAN</v>
      </c>
      <c r="AK2147" s="1" t="str">
        <f t="shared" si="1346"/>
        <v>PA</v>
      </c>
      <c r="AP2147" s="1" t="str">
        <f t="shared" si="1347"/>
        <v>False</v>
      </c>
      <c r="AR2147" s="1" t="str">
        <f t="shared" si="1362"/>
        <v>GALAD</v>
      </c>
      <c r="AY2147" s="1" t="str">
        <f t="shared" si="1348"/>
        <v>PF</v>
      </c>
      <c r="AZ2147" s="1">
        <v>0</v>
      </c>
      <c r="BA2147" s="1">
        <v>0</v>
      </c>
      <c r="BB2147" s="1">
        <v>0</v>
      </c>
      <c r="BC2147" s="1">
        <v>0</v>
      </c>
      <c r="BD2147" s="1">
        <v>0</v>
      </c>
      <c r="BE2147" s="1" t="str">
        <f t="shared" si="1363"/>
        <v>D GOMMA D.H.TWILL CANVAS+SINT.</v>
      </c>
      <c r="BF2147" s="1" t="str">
        <f t="shared" si="1349"/>
        <v>Bonis SpA</v>
      </c>
    </row>
    <row r="2148" spans="2:58" x14ac:dyDescent="0.25">
      <c r="B2148" s="1">
        <v>2527</v>
      </c>
      <c r="C2148" s="1" t="str">
        <f t="shared" si="1360"/>
        <v>GALAD4185S7/CY1</v>
      </c>
      <c r="E2148" s="1" t="str">
        <f>"37"</f>
        <v>37</v>
      </c>
      <c r="F2148" s="1" t="str">
        <f t="shared" si="1338"/>
        <v>BONIS SPA</v>
      </c>
      <c r="G2148" s="1" t="str">
        <f t="shared" si="1327"/>
        <v>STOCK SCAFFALE MP</v>
      </c>
      <c r="H2148" s="1" t="str">
        <f t="shared" si="1361"/>
        <v>RED</v>
      </c>
      <c r="K2148" s="1">
        <v>2</v>
      </c>
      <c r="L2148" s="1" t="str">
        <f t="shared" si="1339"/>
        <v>01</v>
      </c>
      <c r="M2148" s="1" t="str">
        <f t="shared" si="1329"/>
        <v>409</v>
      </c>
      <c r="N2148" s="1" t="str">
        <f t="shared" si="1356"/>
        <v>003</v>
      </c>
      <c r="O2148" s="1" t="str">
        <f t="shared" si="1340"/>
        <v>00</v>
      </c>
      <c r="P2148" s="1" t="str">
        <f t="shared" si="1341"/>
        <v>S</v>
      </c>
      <c r="Q2148" s="1" t="str">
        <f t="shared" si="1342"/>
        <v>P</v>
      </c>
      <c r="R2148" s="1" t="str">
        <f t="shared" si="1343"/>
        <v>01</v>
      </c>
      <c r="S2148" s="1" t="str">
        <f t="shared" si="1328"/>
        <v>04</v>
      </c>
      <c r="T2148" s="1" t="str">
        <f t="shared" si="1344"/>
        <v>False</v>
      </c>
      <c r="U2148" s="1" t="str">
        <f t="shared" si="1345"/>
        <v>True</v>
      </c>
      <c r="V2148" s="1" t="str">
        <f>"U0032555"</f>
        <v>U0032555</v>
      </c>
      <c r="W2148" s="1">
        <v>1</v>
      </c>
      <c r="Y2148" s="1">
        <v>0</v>
      </c>
      <c r="Z2148" s="1">
        <v>0</v>
      </c>
      <c r="AB2148" s="1" t="str">
        <f t="shared" si="1330"/>
        <v>SMU</v>
      </c>
      <c r="AI2148" s="1" t="str">
        <f t="shared" si="1359"/>
        <v>P11</v>
      </c>
      <c r="AJ2148" s="1" t="str">
        <f t="shared" si="1335"/>
        <v>WOMAN</v>
      </c>
      <c r="AK2148" s="1" t="str">
        <f t="shared" si="1346"/>
        <v>PA</v>
      </c>
      <c r="AP2148" s="1" t="str">
        <f t="shared" si="1347"/>
        <v>False</v>
      </c>
      <c r="AR2148" s="1" t="str">
        <f t="shared" si="1362"/>
        <v>GALAD</v>
      </c>
      <c r="AY2148" s="1" t="str">
        <f t="shared" si="1348"/>
        <v>PF</v>
      </c>
      <c r="AZ2148" s="1">
        <v>0</v>
      </c>
      <c r="BA2148" s="1">
        <v>0</v>
      </c>
      <c r="BB2148" s="1">
        <v>0</v>
      </c>
      <c r="BC2148" s="1">
        <v>0</v>
      </c>
      <c r="BD2148" s="1">
        <v>0</v>
      </c>
      <c r="BE2148" s="1" t="str">
        <f t="shared" si="1363"/>
        <v>D GOMMA D.H.TWILL CANVAS+SINT.</v>
      </c>
      <c r="BF2148" s="1" t="str">
        <f t="shared" si="1349"/>
        <v>Bonis SpA</v>
      </c>
    </row>
    <row r="2149" spans="2:58" x14ac:dyDescent="0.25">
      <c r="B2149" s="1">
        <v>2527</v>
      </c>
      <c r="C2149" s="1" t="str">
        <f t="shared" si="1360"/>
        <v>GALAD4185S7/CY1</v>
      </c>
      <c r="E2149" s="1" t="str">
        <f>"38"</f>
        <v>38</v>
      </c>
      <c r="F2149" s="1" t="str">
        <f t="shared" si="1338"/>
        <v>BONIS SPA</v>
      </c>
      <c r="G2149" s="1" t="str">
        <f t="shared" si="1327"/>
        <v>STOCK SCAFFALE MP</v>
      </c>
      <c r="H2149" s="1" t="str">
        <f t="shared" si="1361"/>
        <v>RED</v>
      </c>
      <c r="K2149" s="1">
        <v>3</v>
      </c>
      <c r="L2149" s="1" t="str">
        <f t="shared" si="1339"/>
        <v>01</v>
      </c>
      <c r="M2149" s="1" t="str">
        <f t="shared" si="1329"/>
        <v>409</v>
      </c>
      <c r="N2149" s="1" t="str">
        <f t="shared" si="1356"/>
        <v>003</v>
      </c>
      <c r="O2149" s="1" t="str">
        <f t="shared" si="1340"/>
        <v>00</v>
      </c>
      <c r="P2149" s="1" t="str">
        <f t="shared" si="1341"/>
        <v>S</v>
      </c>
      <c r="Q2149" s="1" t="str">
        <f t="shared" si="1342"/>
        <v>P</v>
      </c>
      <c r="R2149" s="1" t="str">
        <f t="shared" si="1343"/>
        <v>01</v>
      </c>
      <c r="S2149" s="1" t="str">
        <f t="shared" si="1328"/>
        <v>04</v>
      </c>
      <c r="T2149" s="1" t="str">
        <f t="shared" si="1344"/>
        <v>False</v>
      </c>
      <c r="U2149" s="1" t="str">
        <f t="shared" si="1345"/>
        <v>True</v>
      </c>
      <c r="V2149" s="1" t="str">
        <f>"U0032555"</f>
        <v>U0032555</v>
      </c>
      <c r="W2149" s="1">
        <v>1</v>
      </c>
      <c r="Y2149" s="1">
        <v>0</v>
      </c>
      <c r="Z2149" s="1">
        <v>0</v>
      </c>
      <c r="AB2149" s="1" t="str">
        <f t="shared" si="1330"/>
        <v>SMU</v>
      </c>
      <c r="AI2149" s="1" t="str">
        <f t="shared" si="1359"/>
        <v>P11</v>
      </c>
      <c r="AJ2149" s="1" t="str">
        <f t="shared" si="1335"/>
        <v>WOMAN</v>
      </c>
      <c r="AK2149" s="1" t="str">
        <f t="shared" si="1346"/>
        <v>PA</v>
      </c>
      <c r="AP2149" s="1" t="str">
        <f t="shared" si="1347"/>
        <v>False</v>
      </c>
      <c r="AR2149" s="1" t="str">
        <f t="shared" si="1362"/>
        <v>GALAD</v>
      </c>
      <c r="AY2149" s="1" t="str">
        <f t="shared" si="1348"/>
        <v>PF</v>
      </c>
      <c r="AZ2149" s="1">
        <v>0</v>
      </c>
      <c r="BA2149" s="1">
        <v>0</v>
      </c>
      <c r="BB2149" s="1">
        <v>0</v>
      </c>
      <c r="BC2149" s="1">
        <v>0</v>
      </c>
      <c r="BD2149" s="1">
        <v>0</v>
      </c>
      <c r="BE2149" s="1" t="str">
        <f t="shared" si="1363"/>
        <v>D GOMMA D.H.TWILL CANVAS+SINT.</v>
      </c>
      <c r="BF2149" s="1" t="str">
        <f t="shared" si="1349"/>
        <v>Bonis SpA</v>
      </c>
    </row>
    <row r="2150" spans="2:58" x14ac:dyDescent="0.25">
      <c r="B2150" s="1">
        <v>2527</v>
      </c>
      <c r="C2150" s="1" t="str">
        <f t="shared" si="1360"/>
        <v>GALAD4185S7/CY1</v>
      </c>
      <c r="E2150" s="1" t="str">
        <f>"39"</f>
        <v>39</v>
      </c>
      <c r="F2150" s="1" t="str">
        <f t="shared" si="1338"/>
        <v>BONIS SPA</v>
      </c>
      <c r="G2150" s="1" t="str">
        <f t="shared" si="1327"/>
        <v>STOCK SCAFFALE MP</v>
      </c>
      <c r="H2150" s="1" t="str">
        <f t="shared" si="1361"/>
        <v>RED</v>
      </c>
      <c r="K2150" s="1">
        <v>3</v>
      </c>
      <c r="L2150" s="1" t="str">
        <f t="shared" si="1339"/>
        <v>01</v>
      </c>
      <c r="M2150" s="1" t="str">
        <f t="shared" si="1329"/>
        <v>409</v>
      </c>
      <c r="N2150" s="1" t="str">
        <f t="shared" si="1356"/>
        <v>003</v>
      </c>
      <c r="O2150" s="1" t="str">
        <f t="shared" si="1340"/>
        <v>00</v>
      </c>
      <c r="P2150" s="1" t="str">
        <f t="shared" si="1341"/>
        <v>S</v>
      </c>
      <c r="Q2150" s="1" t="str">
        <f t="shared" si="1342"/>
        <v>P</v>
      </c>
      <c r="R2150" s="1" t="str">
        <f t="shared" si="1343"/>
        <v>01</v>
      </c>
      <c r="S2150" s="1" t="str">
        <f t="shared" si="1328"/>
        <v>04</v>
      </c>
      <c r="T2150" s="1" t="str">
        <f t="shared" si="1344"/>
        <v>False</v>
      </c>
      <c r="U2150" s="1" t="str">
        <f t="shared" si="1345"/>
        <v>True</v>
      </c>
      <c r="V2150" s="1" t="str">
        <f>"U0032555"</f>
        <v>U0032555</v>
      </c>
      <c r="W2150" s="1">
        <v>1</v>
      </c>
      <c r="Y2150" s="1">
        <v>0</v>
      </c>
      <c r="Z2150" s="1">
        <v>0</v>
      </c>
      <c r="AB2150" s="1" t="str">
        <f t="shared" si="1330"/>
        <v>SMU</v>
      </c>
      <c r="AI2150" s="1" t="str">
        <f t="shared" si="1359"/>
        <v>P11</v>
      </c>
      <c r="AJ2150" s="1" t="str">
        <f t="shared" si="1335"/>
        <v>WOMAN</v>
      </c>
      <c r="AK2150" s="1" t="str">
        <f t="shared" si="1346"/>
        <v>PA</v>
      </c>
      <c r="AP2150" s="1" t="str">
        <f t="shared" si="1347"/>
        <v>False</v>
      </c>
      <c r="AR2150" s="1" t="str">
        <f t="shared" si="1362"/>
        <v>GALAD</v>
      </c>
      <c r="AY2150" s="1" t="str">
        <f t="shared" si="1348"/>
        <v>PF</v>
      </c>
      <c r="AZ2150" s="1">
        <v>0</v>
      </c>
      <c r="BA2150" s="1">
        <v>0</v>
      </c>
      <c r="BB2150" s="1">
        <v>0</v>
      </c>
      <c r="BC2150" s="1">
        <v>0</v>
      </c>
      <c r="BD2150" s="1">
        <v>0</v>
      </c>
      <c r="BE2150" s="1" t="str">
        <f t="shared" si="1363"/>
        <v>D GOMMA D.H.TWILL CANVAS+SINT.</v>
      </c>
      <c r="BF2150" s="1" t="str">
        <f t="shared" si="1349"/>
        <v>Bonis SpA</v>
      </c>
    </row>
    <row r="2151" spans="2:58" x14ac:dyDescent="0.25">
      <c r="B2151" s="1">
        <v>2527</v>
      </c>
      <c r="C2151" s="1" t="str">
        <f t="shared" si="1360"/>
        <v>GALAD4185S7/CY1</v>
      </c>
      <c r="E2151" s="1" t="str">
        <f>"40"</f>
        <v>40</v>
      </c>
      <c r="F2151" s="1" t="str">
        <f t="shared" si="1338"/>
        <v>BONIS SPA</v>
      </c>
      <c r="G2151" s="1" t="str">
        <f t="shared" si="1327"/>
        <v>STOCK SCAFFALE MP</v>
      </c>
      <c r="H2151" s="1" t="str">
        <f t="shared" si="1361"/>
        <v>RED</v>
      </c>
      <c r="K2151" s="1">
        <v>1</v>
      </c>
      <c r="L2151" s="1" t="str">
        <f t="shared" si="1339"/>
        <v>01</v>
      </c>
      <c r="M2151" s="1" t="str">
        <f t="shared" si="1329"/>
        <v>409</v>
      </c>
      <c r="N2151" s="1" t="str">
        <f t="shared" si="1356"/>
        <v>003</v>
      </c>
      <c r="O2151" s="1" t="str">
        <f t="shared" si="1340"/>
        <v>00</v>
      </c>
      <c r="P2151" s="1" t="str">
        <f t="shared" si="1341"/>
        <v>S</v>
      </c>
      <c r="Q2151" s="1" t="str">
        <f t="shared" si="1342"/>
        <v>P</v>
      </c>
      <c r="R2151" s="1" t="str">
        <f t="shared" si="1343"/>
        <v>01</v>
      </c>
      <c r="S2151" s="1" t="str">
        <f t="shared" si="1328"/>
        <v>04</v>
      </c>
      <c r="T2151" s="1" t="str">
        <f t="shared" si="1344"/>
        <v>False</v>
      </c>
      <c r="U2151" s="1" t="str">
        <f t="shared" si="1345"/>
        <v>True</v>
      </c>
      <c r="V2151" s="1" t="str">
        <f>"U0032555"</f>
        <v>U0032555</v>
      </c>
      <c r="W2151" s="1">
        <v>1</v>
      </c>
      <c r="Y2151" s="1">
        <v>0</v>
      </c>
      <c r="Z2151" s="1">
        <v>0</v>
      </c>
      <c r="AB2151" s="1" t="str">
        <f t="shared" si="1330"/>
        <v>SMU</v>
      </c>
      <c r="AI2151" s="1" t="str">
        <f>"106"</f>
        <v>106</v>
      </c>
      <c r="AJ2151" s="1" t="str">
        <f t="shared" si="1335"/>
        <v>WOMAN</v>
      </c>
      <c r="AK2151" s="1" t="str">
        <f t="shared" si="1346"/>
        <v>PA</v>
      </c>
      <c r="AP2151" s="1" t="str">
        <f t="shared" si="1347"/>
        <v>False</v>
      </c>
      <c r="AR2151" s="1" t="str">
        <f t="shared" si="1362"/>
        <v>GALAD</v>
      </c>
      <c r="AY2151" s="1" t="str">
        <f t="shared" si="1348"/>
        <v>PF</v>
      </c>
      <c r="AZ2151" s="1">
        <v>0</v>
      </c>
      <c r="BA2151" s="1">
        <v>0</v>
      </c>
      <c r="BB2151" s="1">
        <v>0</v>
      </c>
      <c r="BC2151" s="1">
        <v>0</v>
      </c>
      <c r="BD2151" s="1">
        <v>0</v>
      </c>
      <c r="BE2151" s="1" t="str">
        <f t="shared" si="1363"/>
        <v>D GOMMA D.H.TWILL CANVAS+SINT.</v>
      </c>
      <c r="BF2151" s="1" t="str">
        <f t="shared" si="1349"/>
        <v>Bonis SpA</v>
      </c>
    </row>
    <row r="2152" spans="2:58" x14ac:dyDescent="0.25">
      <c r="B2152" s="1">
        <v>2527</v>
      </c>
      <c r="C2152" s="1" t="str">
        <f t="shared" si="1360"/>
        <v>GALAD4185S7/CY1</v>
      </c>
      <c r="E2152" s="1" t="str">
        <f>"40"</f>
        <v>40</v>
      </c>
      <c r="F2152" s="1" t="str">
        <f t="shared" si="1338"/>
        <v>BONIS SPA</v>
      </c>
      <c r="G2152" s="1" t="str">
        <f t="shared" si="1327"/>
        <v>STOCK SCAFFALE MP</v>
      </c>
      <c r="H2152" s="1" t="str">
        <f t="shared" si="1361"/>
        <v>RED</v>
      </c>
      <c r="K2152" s="1">
        <v>1</v>
      </c>
      <c r="L2152" s="1" t="str">
        <f t="shared" si="1339"/>
        <v>01</v>
      </c>
      <c r="M2152" s="1" t="str">
        <f t="shared" si="1329"/>
        <v>409</v>
      </c>
      <c r="N2152" s="1" t="str">
        <f t="shared" si="1356"/>
        <v>003</v>
      </c>
      <c r="O2152" s="1" t="str">
        <f t="shared" si="1340"/>
        <v>00</v>
      </c>
      <c r="P2152" s="1" t="str">
        <f t="shared" si="1341"/>
        <v>S</v>
      </c>
      <c r="Q2152" s="1" t="str">
        <f t="shared" si="1342"/>
        <v>P</v>
      </c>
      <c r="R2152" s="1" t="str">
        <f t="shared" si="1343"/>
        <v>01</v>
      </c>
      <c r="S2152" s="1" t="str">
        <f t="shared" si="1328"/>
        <v>04</v>
      </c>
      <c r="T2152" s="1" t="str">
        <f t="shared" si="1344"/>
        <v>False</v>
      </c>
      <c r="U2152" s="1" t="str">
        <f t="shared" si="1345"/>
        <v>True</v>
      </c>
      <c r="V2152" s="1" t="str">
        <f>"U0032556"</f>
        <v>U0032556</v>
      </c>
      <c r="W2152" s="1">
        <v>1</v>
      </c>
      <c r="Y2152" s="1">
        <v>0</v>
      </c>
      <c r="Z2152" s="1">
        <v>0</v>
      </c>
      <c r="AB2152" s="1" t="str">
        <f t="shared" si="1330"/>
        <v>SMU</v>
      </c>
      <c r="AI2152" s="1" t="str">
        <f>"106"</f>
        <v>106</v>
      </c>
      <c r="AJ2152" s="1" t="str">
        <f t="shared" si="1335"/>
        <v>WOMAN</v>
      </c>
      <c r="AK2152" s="1" t="str">
        <f t="shared" si="1346"/>
        <v>PA</v>
      </c>
      <c r="AP2152" s="1" t="str">
        <f t="shared" si="1347"/>
        <v>False</v>
      </c>
      <c r="AR2152" s="1" t="str">
        <f t="shared" si="1362"/>
        <v>GALAD</v>
      </c>
      <c r="AY2152" s="1" t="str">
        <f t="shared" si="1348"/>
        <v>PF</v>
      </c>
      <c r="AZ2152" s="1">
        <v>0</v>
      </c>
      <c r="BA2152" s="1">
        <v>0</v>
      </c>
      <c r="BB2152" s="1">
        <v>0</v>
      </c>
      <c r="BC2152" s="1">
        <v>0</v>
      </c>
      <c r="BD2152" s="1">
        <v>0</v>
      </c>
      <c r="BE2152" s="1" t="str">
        <f t="shared" si="1363"/>
        <v>D GOMMA D.H.TWILL CANVAS+SINT.</v>
      </c>
      <c r="BF2152" s="1" t="str">
        <f t="shared" si="1349"/>
        <v>Bonis SpA</v>
      </c>
    </row>
    <row r="2153" spans="2:58" x14ac:dyDescent="0.25">
      <c r="B2153" s="1">
        <v>2557</v>
      </c>
      <c r="C2153" s="1" t="str">
        <f>"RUMBO4186S7/C1"</f>
        <v>RUMBO4186S7/C1</v>
      </c>
      <c r="E2153" s="1" t="str">
        <f>"40"</f>
        <v>40</v>
      </c>
      <c r="F2153" s="1" t="str">
        <f t="shared" si="1338"/>
        <v>BONIS SPA</v>
      </c>
      <c r="G2153" s="1" t="str">
        <f t="shared" si="1327"/>
        <v>STOCK SCAFFALE MP</v>
      </c>
      <c r="H2153" s="1" t="str">
        <f>"WHI"</f>
        <v>WHI</v>
      </c>
      <c r="K2153" s="1">
        <v>1</v>
      </c>
      <c r="L2153" s="1" t="str">
        <f t="shared" si="1339"/>
        <v>01</v>
      </c>
      <c r="M2153" s="1" t="str">
        <f t="shared" si="1329"/>
        <v>409</v>
      </c>
      <c r="N2153" s="1" t="str">
        <f>"013"</f>
        <v>013</v>
      </c>
      <c r="O2153" s="1" t="str">
        <f t="shared" si="1340"/>
        <v>00</v>
      </c>
      <c r="P2153" s="1" t="str">
        <f t="shared" si="1341"/>
        <v>S</v>
      </c>
      <c r="Q2153" s="1" t="str">
        <f t="shared" si="1342"/>
        <v>P</v>
      </c>
      <c r="R2153" s="1" t="str">
        <f t="shared" si="1343"/>
        <v>01</v>
      </c>
      <c r="S2153" s="1" t="str">
        <f t="shared" si="1328"/>
        <v>04</v>
      </c>
      <c r="T2153" s="1" t="str">
        <f t="shared" si="1344"/>
        <v>False</v>
      </c>
      <c r="U2153" s="1" t="str">
        <f t="shared" si="1345"/>
        <v>True</v>
      </c>
      <c r="V2153" s="1" t="str">
        <f>"U0032197"</f>
        <v>U0032197</v>
      </c>
      <c r="W2153" s="1">
        <v>1</v>
      </c>
      <c r="Y2153" s="1">
        <v>0</v>
      </c>
      <c r="Z2153" s="1">
        <v>0</v>
      </c>
      <c r="AB2153" s="1" t="str">
        <f t="shared" si="1330"/>
        <v>SMU</v>
      </c>
      <c r="AI2153" s="1" t="str">
        <f>"F11"</f>
        <v>F11</v>
      </c>
      <c r="AJ2153" s="1" t="str">
        <f t="shared" ref="AJ2153:AJ2159" si="1364">"MAN"</f>
        <v>MAN</v>
      </c>
      <c r="AK2153" s="1" t="str">
        <f t="shared" si="1346"/>
        <v>PA</v>
      </c>
      <c r="AP2153" s="1" t="str">
        <f t="shared" si="1347"/>
        <v>False</v>
      </c>
      <c r="AR2153" s="1" t="str">
        <f>"RUMBO"</f>
        <v>RUMBO</v>
      </c>
      <c r="AY2153" s="1" t="str">
        <f t="shared" si="1348"/>
        <v>PF</v>
      </c>
      <c r="AZ2153" s="1">
        <v>0</v>
      </c>
      <c r="BA2153" s="1">
        <v>0</v>
      </c>
      <c r="BB2153" s="1">
        <v>0</v>
      </c>
      <c r="BC2153" s="1">
        <v>0</v>
      </c>
      <c r="BD2153" s="1">
        <v>0</v>
      </c>
      <c r="BE2153" s="1" t="str">
        <f>"MBO TWILL CANVAS"</f>
        <v>MBO TWILL CANVAS</v>
      </c>
      <c r="BF2153" s="1" t="str">
        <f t="shared" si="1349"/>
        <v>Bonis SpA</v>
      </c>
    </row>
    <row r="2154" spans="2:58" x14ac:dyDescent="0.25">
      <c r="B2154" s="1">
        <v>2557</v>
      </c>
      <c r="C2154" s="1" t="str">
        <f>"GALAN4182S7/CY1"</f>
        <v>GALAN4182S7/CY1</v>
      </c>
      <c r="E2154" s="1" t="str">
        <f>"42"</f>
        <v>42</v>
      </c>
      <c r="F2154" s="1" t="str">
        <f t="shared" si="1338"/>
        <v>BONIS SPA</v>
      </c>
      <c r="G2154" s="1" t="str">
        <f t="shared" si="1327"/>
        <v>STOCK SCAFFALE MP</v>
      </c>
      <c r="H2154" s="1" t="str">
        <f>"WHI"</f>
        <v>WHI</v>
      </c>
      <c r="K2154" s="1">
        <v>3</v>
      </c>
      <c r="L2154" s="1" t="str">
        <f t="shared" si="1339"/>
        <v>01</v>
      </c>
      <c r="M2154" s="1" t="str">
        <f t="shared" si="1329"/>
        <v>409</v>
      </c>
      <c r="N2154" s="1" t="str">
        <f>"013"</f>
        <v>013</v>
      </c>
      <c r="O2154" s="1" t="str">
        <f t="shared" si="1340"/>
        <v>00</v>
      </c>
      <c r="P2154" s="1" t="str">
        <f t="shared" si="1341"/>
        <v>S</v>
      </c>
      <c r="Q2154" s="1" t="str">
        <f t="shared" si="1342"/>
        <v>P</v>
      </c>
      <c r="R2154" s="1" t="str">
        <f t="shared" si="1343"/>
        <v>01</v>
      </c>
      <c r="S2154" s="1" t="str">
        <f t="shared" si="1328"/>
        <v>04</v>
      </c>
      <c r="T2154" s="1" t="str">
        <f t="shared" si="1344"/>
        <v>False</v>
      </c>
      <c r="U2154" s="1" t="str">
        <f t="shared" si="1345"/>
        <v>True</v>
      </c>
      <c r="V2154" s="1" t="str">
        <f>"U0032197"</f>
        <v>U0032197</v>
      </c>
      <c r="W2154" s="1">
        <v>1</v>
      </c>
      <c r="Y2154" s="1">
        <v>0</v>
      </c>
      <c r="Z2154" s="1">
        <v>0</v>
      </c>
      <c r="AB2154" s="1" t="str">
        <f t="shared" si="1330"/>
        <v>SMU</v>
      </c>
      <c r="AI2154" s="1" t="str">
        <f>"F11"</f>
        <v>F11</v>
      </c>
      <c r="AJ2154" s="1" t="str">
        <f t="shared" si="1364"/>
        <v>MAN</v>
      </c>
      <c r="AK2154" s="1" t="str">
        <f t="shared" si="1346"/>
        <v>PA</v>
      </c>
      <c r="AP2154" s="1" t="str">
        <f t="shared" si="1347"/>
        <v>False</v>
      </c>
      <c r="AR2154" s="1" t="str">
        <f>"GALAN"</f>
        <v>GALAN</v>
      </c>
      <c r="AY2154" s="1" t="str">
        <f t="shared" si="1348"/>
        <v>PF</v>
      </c>
      <c r="AZ2154" s="1">
        <v>0</v>
      </c>
      <c r="BA2154" s="1">
        <v>0</v>
      </c>
      <c r="BB2154" s="1">
        <v>0</v>
      </c>
      <c r="BC2154" s="1">
        <v>0</v>
      </c>
      <c r="BD2154" s="1">
        <v>0</v>
      </c>
      <c r="BE2154" s="1" t="str">
        <f>"LAN+TWILL CANVAS + SIN.LEATHER"</f>
        <v>LAN+TWILL CANVAS + SIN.LEATHER</v>
      </c>
      <c r="BF2154" s="1" t="str">
        <f t="shared" si="1349"/>
        <v>Bonis SpA</v>
      </c>
    </row>
    <row r="2155" spans="2:58" x14ac:dyDescent="0.25">
      <c r="B2155" s="1">
        <v>2557</v>
      </c>
      <c r="C2155" s="1" t="str">
        <f>"GALAN4182S7/CY1"</f>
        <v>GALAN4182S7/CY1</v>
      </c>
      <c r="E2155" s="1" t="str">
        <f>"42"</f>
        <v>42</v>
      </c>
      <c r="F2155" s="1" t="str">
        <f t="shared" si="1338"/>
        <v>BONIS SPA</v>
      </c>
      <c r="G2155" s="1" t="str">
        <f t="shared" si="1327"/>
        <v>STOCK SCAFFALE MP</v>
      </c>
      <c r="H2155" s="1" t="str">
        <f>"DKBL"</f>
        <v>DKBL</v>
      </c>
      <c r="K2155" s="1">
        <v>2</v>
      </c>
      <c r="L2155" s="1" t="str">
        <f t="shared" si="1339"/>
        <v>01</v>
      </c>
      <c r="M2155" s="1" t="str">
        <f t="shared" si="1329"/>
        <v>409</v>
      </c>
      <c r="N2155" s="1" t="str">
        <f>"013"</f>
        <v>013</v>
      </c>
      <c r="O2155" s="1" t="str">
        <f t="shared" si="1340"/>
        <v>00</v>
      </c>
      <c r="P2155" s="1" t="str">
        <f t="shared" si="1341"/>
        <v>S</v>
      </c>
      <c r="Q2155" s="1" t="str">
        <f t="shared" si="1342"/>
        <v>P</v>
      </c>
      <c r="R2155" s="1" t="str">
        <f t="shared" si="1343"/>
        <v>01</v>
      </c>
      <c r="S2155" s="1" t="str">
        <f t="shared" si="1328"/>
        <v>04</v>
      </c>
      <c r="T2155" s="1" t="str">
        <f t="shared" si="1344"/>
        <v>False</v>
      </c>
      <c r="U2155" s="1" t="str">
        <f t="shared" si="1345"/>
        <v>True</v>
      </c>
      <c r="V2155" s="1" t="str">
        <f>"U0032197"</f>
        <v>U0032197</v>
      </c>
      <c r="W2155" s="1">
        <v>1</v>
      </c>
      <c r="Y2155" s="1">
        <v>0</v>
      </c>
      <c r="Z2155" s="1">
        <v>0</v>
      </c>
      <c r="AB2155" s="1" t="str">
        <f t="shared" si="1330"/>
        <v>SMU</v>
      </c>
      <c r="AI2155" s="1" t="str">
        <f>"F11"</f>
        <v>F11</v>
      </c>
      <c r="AJ2155" s="1" t="str">
        <f t="shared" si="1364"/>
        <v>MAN</v>
      </c>
      <c r="AK2155" s="1" t="str">
        <f t="shared" si="1346"/>
        <v>PA</v>
      </c>
      <c r="AP2155" s="1" t="str">
        <f t="shared" si="1347"/>
        <v>False</v>
      </c>
      <c r="AR2155" s="1" t="str">
        <f>"GALAN"</f>
        <v>GALAN</v>
      </c>
      <c r="AY2155" s="1" t="str">
        <f t="shared" si="1348"/>
        <v>PF</v>
      </c>
      <c r="AZ2155" s="1">
        <v>0</v>
      </c>
      <c r="BA2155" s="1">
        <v>0</v>
      </c>
      <c r="BB2155" s="1">
        <v>0</v>
      </c>
      <c r="BC2155" s="1">
        <v>0</v>
      </c>
      <c r="BD2155" s="1">
        <v>0</v>
      </c>
      <c r="BE2155" s="1" t="str">
        <f>"LAN+TWILL CANVAS + SIN.LEATHER"</f>
        <v>LAN+TWILL CANVAS + SIN.LEATHER</v>
      </c>
      <c r="BF2155" s="1" t="str">
        <f t="shared" si="1349"/>
        <v>Bonis SpA</v>
      </c>
    </row>
    <row r="2156" spans="2:58" x14ac:dyDescent="0.25">
      <c r="B2156" s="1">
        <v>2539</v>
      </c>
      <c r="C2156" s="1" t="str">
        <f>"SOLAN4189S7/C1"</f>
        <v>SOLAN4189S7/C1</v>
      </c>
      <c r="E2156" s="1" t="str">
        <f>"42"</f>
        <v>42</v>
      </c>
      <c r="F2156" s="1" t="str">
        <f t="shared" si="1338"/>
        <v>BONIS SPA</v>
      </c>
      <c r="G2156" s="1" t="str">
        <f t="shared" si="1327"/>
        <v>STOCK SCAFFALE MP</v>
      </c>
      <c r="H2156" s="1" t="str">
        <f>"GREY"</f>
        <v>GREY</v>
      </c>
      <c r="K2156" s="1">
        <v>4</v>
      </c>
      <c r="L2156" s="1" t="str">
        <f t="shared" si="1339"/>
        <v>01</v>
      </c>
      <c r="M2156" s="1" t="str">
        <f t="shared" si="1329"/>
        <v>409</v>
      </c>
      <c r="N2156" s="1" t="str">
        <f>"007"</f>
        <v>007</v>
      </c>
      <c r="O2156" s="1" t="str">
        <f t="shared" si="1340"/>
        <v>00</v>
      </c>
      <c r="P2156" s="1" t="str">
        <f t="shared" si="1341"/>
        <v>S</v>
      </c>
      <c r="Q2156" s="1" t="str">
        <f t="shared" si="1342"/>
        <v>P</v>
      </c>
      <c r="R2156" s="1" t="str">
        <f t="shared" si="1343"/>
        <v>01</v>
      </c>
      <c r="S2156" s="1" t="str">
        <f t="shared" si="1328"/>
        <v>04</v>
      </c>
      <c r="T2156" s="1" t="str">
        <f t="shared" si="1344"/>
        <v>False</v>
      </c>
      <c r="U2156" s="1" t="str">
        <f t="shared" si="1345"/>
        <v>True</v>
      </c>
      <c r="V2156" s="1" t="str">
        <f>"U0027728"</f>
        <v>U0027728</v>
      </c>
      <c r="W2156" s="1">
        <v>1</v>
      </c>
      <c r="Y2156" s="1">
        <v>0</v>
      </c>
      <c r="Z2156" s="1">
        <v>0</v>
      </c>
      <c r="AB2156" s="1" t="str">
        <f t="shared" si="1330"/>
        <v>SMU</v>
      </c>
      <c r="AI2156" s="1" t="str">
        <f>"F06"</f>
        <v>F06</v>
      </c>
      <c r="AJ2156" s="1" t="str">
        <f t="shared" si="1364"/>
        <v>MAN</v>
      </c>
      <c r="AK2156" s="1" t="str">
        <f t="shared" si="1346"/>
        <v>PA</v>
      </c>
      <c r="AP2156" s="1" t="str">
        <f t="shared" si="1347"/>
        <v>False</v>
      </c>
      <c r="AR2156" s="1" t="str">
        <f>"SOLAN"</f>
        <v>SOLAN</v>
      </c>
      <c r="AY2156" s="1" t="str">
        <f t="shared" si="1348"/>
        <v>PF</v>
      </c>
      <c r="AZ2156" s="1">
        <v>0</v>
      </c>
      <c r="BA2156" s="1">
        <v>0</v>
      </c>
      <c r="BB2156" s="1">
        <v>0</v>
      </c>
      <c r="BC2156" s="1">
        <v>0</v>
      </c>
      <c r="BD2156" s="1">
        <v>0</v>
      </c>
      <c r="BE2156" s="1" t="str">
        <f>"S.CADET GOMMA  TWILL CANVAS"</f>
        <v>S.CADET GOMMA  TWILL CANVAS</v>
      </c>
      <c r="BF2156" s="1" t="str">
        <f t="shared" si="1349"/>
        <v>Bonis SpA</v>
      </c>
    </row>
    <row r="2157" spans="2:58" x14ac:dyDescent="0.25">
      <c r="B2157" s="1">
        <v>2539</v>
      </c>
      <c r="C2157" s="1" t="str">
        <f>"SOLAN4189S7/C1"</f>
        <v>SOLAN4189S7/C1</v>
      </c>
      <c r="E2157" s="1" t="str">
        <f>"42"</f>
        <v>42</v>
      </c>
      <c r="F2157" s="1" t="str">
        <f t="shared" si="1338"/>
        <v>BONIS SPA</v>
      </c>
      <c r="G2157" s="1" t="str">
        <f t="shared" si="1327"/>
        <v>STOCK SCAFFALE MP</v>
      </c>
      <c r="H2157" s="1" t="str">
        <f>"BEI"</f>
        <v>BEI</v>
      </c>
      <c r="K2157" s="1">
        <v>4</v>
      </c>
      <c r="L2157" s="1" t="str">
        <f t="shared" si="1339"/>
        <v>01</v>
      </c>
      <c r="M2157" s="1" t="str">
        <f t="shared" si="1329"/>
        <v>409</v>
      </c>
      <c r="N2157" s="1" t="str">
        <f>"007"</f>
        <v>007</v>
      </c>
      <c r="O2157" s="1" t="str">
        <f t="shared" si="1340"/>
        <v>00</v>
      </c>
      <c r="P2157" s="1" t="str">
        <f t="shared" si="1341"/>
        <v>S</v>
      </c>
      <c r="Q2157" s="1" t="str">
        <f t="shared" si="1342"/>
        <v>P</v>
      </c>
      <c r="R2157" s="1" t="str">
        <f t="shared" si="1343"/>
        <v>01</v>
      </c>
      <c r="S2157" s="1" t="str">
        <f t="shared" si="1328"/>
        <v>04</v>
      </c>
      <c r="T2157" s="1" t="str">
        <f t="shared" si="1344"/>
        <v>False</v>
      </c>
      <c r="U2157" s="1" t="str">
        <f t="shared" si="1345"/>
        <v>True</v>
      </c>
      <c r="V2157" s="1" t="str">
        <f>"U0027728"</f>
        <v>U0027728</v>
      </c>
      <c r="W2157" s="1">
        <v>1</v>
      </c>
      <c r="Y2157" s="1">
        <v>0</v>
      </c>
      <c r="Z2157" s="1">
        <v>0</v>
      </c>
      <c r="AB2157" s="1" t="str">
        <f t="shared" si="1330"/>
        <v>SMU</v>
      </c>
      <c r="AI2157" s="1" t="str">
        <f>"F06"</f>
        <v>F06</v>
      </c>
      <c r="AJ2157" s="1" t="str">
        <f t="shared" si="1364"/>
        <v>MAN</v>
      </c>
      <c r="AK2157" s="1" t="str">
        <f t="shared" si="1346"/>
        <v>PA</v>
      </c>
      <c r="AP2157" s="1" t="str">
        <f t="shared" si="1347"/>
        <v>False</v>
      </c>
      <c r="AR2157" s="1" t="str">
        <f>"SOLAN"</f>
        <v>SOLAN</v>
      </c>
      <c r="AY2157" s="1" t="str">
        <f t="shared" si="1348"/>
        <v>PF</v>
      </c>
      <c r="AZ2157" s="1">
        <v>0</v>
      </c>
      <c r="BA2157" s="1">
        <v>0</v>
      </c>
      <c r="BB2157" s="1">
        <v>0</v>
      </c>
      <c r="BC2157" s="1">
        <v>0</v>
      </c>
      <c r="BD2157" s="1">
        <v>0</v>
      </c>
      <c r="BE2157" s="1" t="str">
        <f>"S.CADET GOMMA  TWILL CANVAS"</f>
        <v>S.CADET GOMMA  TWILL CANVAS</v>
      </c>
      <c r="BF2157" s="1" t="str">
        <f t="shared" si="1349"/>
        <v>Bonis SpA</v>
      </c>
    </row>
    <row r="2158" spans="2:58" x14ac:dyDescent="0.25">
      <c r="B2158" s="1">
        <v>2539</v>
      </c>
      <c r="C2158" s="1" t="str">
        <f>"SOLAN4189S7/C1"</f>
        <v>SOLAN4189S7/C1</v>
      </c>
      <c r="E2158" s="1" t="str">
        <f>"43"</f>
        <v>43</v>
      </c>
      <c r="F2158" s="1" t="str">
        <f t="shared" si="1338"/>
        <v>BONIS SPA</v>
      </c>
      <c r="G2158" s="1" t="str">
        <f t="shared" si="1327"/>
        <v>STOCK SCAFFALE MP</v>
      </c>
      <c r="H2158" s="1" t="str">
        <f>"BEI"</f>
        <v>BEI</v>
      </c>
      <c r="K2158" s="1">
        <v>2</v>
      </c>
      <c r="L2158" s="1" t="str">
        <f t="shared" si="1339"/>
        <v>01</v>
      </c>
      <c r="M2158" s="1" t="str">
        <f t="shared" si="1329"/>
        <v>409</v>
      </c>
      <c r="N2158" s="1" t="str">
        <f>"007"</f>
        <v>007</v>
      </c>
      <c r="O2158" s="1" t="str">
        <f t="shared" si="1340"/>
        <v>00</v>
      </c>
      <c r="P2158" s="1" t="str">
        <f t="shared" si="1341"/>
        <v>S</v>
      </c>
      <c r="Q2158" s="1" t="str">
        <f t="shared" si="1342"/>
        <v>P</v>
      </c>
      <c r="R2158" s="1" t="str">
        <f t="shared" si="1343"/>
        <v>01</v>
      </c>
      <c r="S2158" s="1" t="str">
        <f t="shared" si="1328"/>
        <v>04</v>
      </c>
      <c r="T2158" s="1" t="str">
        <f t="shared" si="1344"/>
        <v>False</v>
      </c>
      <c r="U2158" s="1" t="str">
        <f t="shared" si="1345"/>
        <v>True</v>
      </c>
      <c r="V2158" s="1" t="str">
        <f>"U0027728"</f>
        <v>U0027728</v>
      </c>
      <c r="W2158" s="1">
        <v>1</v>
      </c>
      <c r="Y2158" s="1">
        <v>0</v>
      </c>
      <c r="Z2158" s="1">
        <v>0</v>
      </c>
      <c r="AB2158" s="1" t="str">
        <f t="shared" si="1330"/>
        <v>SMU</v>
      </c>
      <c r="AI2158" s="1" t="str">
        <f>"F06"</f>
        <v>F06</v>
      </c>
      <c r="AJ2158" s="1" t="str">
        <f t="shared" si="1364"/>
        <v>MAN</v>
      </c>
      <c r="AK2158" s="1" t="str">
        <f t="shared" si="1346"/>
        <v>PA</v>
      </c>
      <c r="AP2158" s="1" t="str">
        <f t="shared" si="1347"/>
        <v>False</v>
      </c>
      <c r="AR2158" s="1" t="str">
        <f>"SOLAN"</f>
        <v>SOLAN</v>
      </c>
      <c r="AY2158" s="1" t="str">
        <f t="shared" si="1348"/>
        <v>PF</v>
      </c>
      <c r="AZ2158" s="1">
        <v>0</v>
      </c>
      <c r="BA2158" s="1">
        <v>0</v>
      </c>
      <c r="BB2158" s="1">
        <v>0</v>
      </c>
      <c r="BC2158" s="1">
        <v>0</v>
      </c>
      <c r="BD2158" s="1">
        <v>0</v>
      </c>
      <c r="BE2158" s="1" t="str">
        <f>"S.CADET GOMMA  TWILL CANVAS"</f>
        <v>S.CADET GOMMA  TWILL CANVAS</v>
      </c>
      <c r="BF2158" s="1" t="str">
        <f t="shared" si="1349"/>
        <v>Bonis SpA</v>
      </c>
    </row>
    <row r="2159" spans="2:58" x14ac:dyDescent="0.25">
      <c r="B2159" s="1">
        <v>2539</v>
      </c>
      <c r="C2159" s="1" t="str">
        <f>"SOLAN4189S7/C1"</f>
        <v>SOLAN4189S7/C1</v>
      </c>
      <c r="E2159" s="1" t="str">
        <f>"40"</f>
        <v>40</v>
      </c>
      <c r="F2159" s="1" t="str">
        <f t="shared" si="1338"/>
        <v>BONIS SPA</v>
      </c>
      <c r="G2159" s="1" t="str">
        <f t="shared" si="1327"/>
        <v>STOCK SCAFFALE MP</v>
      </c>
      <c r="H2159" s="1" t="str">
        <f>"BEI"</f>
        <v>BEI</v>
      </c>
      <c r="K2159" s="1">
        <v>1</v>
      </c>
      <c r="L2159" s="1" t="str">
        <f t="shared" si="1339"/>
        <v>01</v>
      </c>
      <c r="M2159" s="1" t="str">
        <f t="shared" si="1329"/>
        <v>409</v>
      </c>
      <c r="N2159" s="1" t="str">
        <f>"007"</f>
        <v>007</v>
      </c>
      <c r="O2159" s="1" t="str">
        <f t="shared" si="1340"/>
        <v>00</v>
      </c>
      <c r="P2159" s="1" t="str">
        <f t="shared" si="1341"/>
        <v>S</v>
      </c>
      <c r="Q2159" s="1" t="str">
        <f t="shared" si="1342"/>
        <v>P</v>
      </c>
      <c r="R2159" s="1" t="str">
        <f t="shared" si="1343"/>
        <v>01</v>
      </c>
      <c r="S2159" s="1" t="str">
        <f t="shared" si="1328"/>
        <v>04</v>
      </c>
      <c r="T2159" s="1" t="str">
        <f t="shared" si="1344"/>
        <v>False</v>
      </c>
      <c r="U2159" s="1" t="str">
        <f t="shared" si="1345"/>
        <v>True</v>
      </c>
      <c r="V2159" s="1" t="str">
        <f>"U0027728"</f>
        <v>U0027728</v>
      </c>
      <c r="W2159" s="1">
        <v>1</v>
      </c>
      <c r="Y2159" s="1">
        <v>0</v>
      </c>
      <c r="Z2159" s="1">
        <v>0</v>
      </c>
      <c r="AB2159" s="1" t="str">
        <f t="shared" si="1330"/>
        <v>SMU</v>
      </c>
      <c r="AI2159" s="1" t="str">
        <f>"F06"</f>
        <v>F06</v>
      </c>
      <c r="AJ2159" s="1" t="str">
        <f t="shared" si="1364"/>
        <v>MAN</v>
      </c>
      <c r="AK2159" s="1" t="str">
        <f t="shared" si="1346"/>
        <v>PA</v>
      </c>
      <c r="AP2159" s="1" t="str">
        <f t="shared" si="1347"/>
        <v>False</v>
      </c>
      <c r="AR2159" s="1" t="str">
        <f>"SOLAN"</f>
        <v>SOLAN</v>
      </c>
      <c r="AY2159" s="1" t="str">
        <f t="shared" si="1348"/>
        <v>PF</v>
      </c>
      <c r="AZ2159" s="1">
        <v>0</v>
      </c>
      <c r="BA2159" s="1">
        <v>0</v>
      </c>
      <c r="BB2159" s="1">
        <v>0</v>
      </c>
      <c r="BC2159" s="1">
        <v>0</v>
      </c>
      <c r="BD2159" s="1">
        <v>0</v>
      </c>
      <c r="BE2159" s="1" t="str">
        <f>"S.CADET GOMMA  TWILL CANVAS"</f>
        <v>S.CADET GOMMA  TWILL CANVAS</v>
      </c>
      <c r="BF2159" s="1" t="str">
        <f t="shared" si="1349"/>
        <v>Bonis SpA</v>
      </c>
    </row>
  </sheetData>
  <autoFilter ref="A1:BR215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Foglio4</vt:lpstr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2018-01-05T15:45:49Z</dcterms:created>
  <dcterms:modified xsi:type="dcterms:W3CDTF">2018-01-08T12:14:22Z</dcterms:modified>
</cp:coreProperties>
</file>